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4DC9BD0F-57C3-41F2-BD3C-0DEAFE01E92E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F093DB3C-6772-4BB2-A5AE-40529CCE5F5F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9" i="1" l="1"/>
  <c r="B30" i="12"/>
  <c r="B28" i="12"/>
  <c r="C30" i="12"/>
  <c r="C27" i="12"/>
  <c r="C18" i="12"/>
  <c r="C9" i="12"/>
  <c r="C12" i="12"/>
  <c r="B21" i="12"/>
  <c r="C21" i="12" s="1"/>
  <c r="B29" i="12"/>
  <c r="B31" i="12" s="1"/>
  <c r="B20" i="12"/>
  <c r="C20" i="12" s="1"/>
  <c r="B11" i="12"/>
  <c r="C11" i="12" s="1"/>
  <c r="B10" i="12"/>
  <c r="B12" i="12"/>
  <c r="B37" i="12"/>
  <c r="B19" i="12"/>
  <c r="B22" i="12" s="1"/>
  <c r="H236" i="1"/>
  <c r="L236" i="1" s="1"/>
  <c r="G236" i="1"/>
  <c r="G233" i="1"/>
  <c r="G522" i="1"/>
  <c r="G523" i="1"/>
  <c r="G521" i="1"/>
  <c r="H513" i="1"/>
  <c r="H512" i="1"/>
  <c r="H511" i="1"/>
  <c r="G513" i="1"/>
  <c r="F513" i="1"/>
  <c r="L513" i="1" s="1"/>
  <c r="F541" i="1" s="1"/>
  <c r="G512" i="1"/>
  <c r="F512" i="1"/>
  <c r="L512" i="1" s="1"/>
  <c r="G511" i="1"/>
  <c r="F511" i="1"/>
  <c r="H533" i="1"/>
  <c r="I518" i="1"/>
  <c r="H518" i="1"/>
  <c r="I513" i="1"/>
  <c r="H532" i="1"/>
  <c r="H517" i="1"/>
  <c r="I517" i="1"/>
  <c r="G517" i="1"/>
  <c r="L517" i="1" s="1"/>
  <c r="G540" i="1" s="1"/>
  <c r="G518" i="1"/>
  <c r="L518" i="1" s="1"/>
  <c r="G541" i="1" s="1"/>
  <c r="H531" i="1"/>
  <c r="J516" i="1"/>
  <c r="I516" i="1"/>
  <c r="H516" i="1"/>
  <c r="F516" i="1"/>
  <c r="G516" i="1" s="1"/>
  <c r="I512" i="1"/>
  <c r="I511" i="1"/>
  <c r="J594" i="1"/>
  <c r="I594" i="1"/>
  <c r="H594" i="1"/>
  <c r="K594" i="1" s="1"/>
  <c r="K595" i="1" s="1"/>
  <c r="G638" i="1" s="1"/>
  <c r="J581" i="1"/>
  <c r="K581" i="1" s="1"/>
  <c r="J582" i="1"/>
  <c r="I582" i="1"/>
  <c r="H582" i="1"/>
  <c r="I581" i="1"/>
  <c r="H581" i="1"/>
  <c r="I585" i="1"/>
  <c r="F268" i="1"/>
  <c r="L268" i="1" s="1"/>
  <c r="H25" i="1"/>
  <c r="F25" i="1"/>
  <c r="F23" i="1"/>
  <c r="F14" i="1"/>
  <c r="C14" i="2" s="1"/>
  <c r="C37" i="10"/>
  <c r="C60" i="2"/>
  <c r="C62" i="2" s="1"/>
  <c r="B2" i="13"/>
  <c r="F8" i="13"/>
  <c r="G8" i="13"/>
  <c r="L196" i="1"/>
  <c r="L214" i="1"/>
  <c r="C17" i="10" s="1"/>
  <c r="L232" i="1"/>
  <c r="D39" i="13"/>
  <c r="F13" i="13"/>
  <c r="G13" i="13"/>
  <c r="L198" i="1"/>
  <c r="L216" i="1"/>
  <c r="L234" i="1"/>
  <c r="F16" i="13"/>
  <c r="G16" i="13"/>
  <c r="L201" i="1"/>
  <c r="E16" i="13" s="1"/>
  <c r="C16" i="13" s="1"/>
  <c r="L219" i="1"/>
  <c r="L237" i="1"/>
  <c r="F5" i="13"/>
  <c r="G5" i="13"/>
  <c r="L192" i="1"/>
  <c r="C104" i="2" s="1"/>
  <c r="L210" i="1"/>
  <c r="L228" i="1"/>
  <c r="L207" i="1"/>
  <c r="L189" i="1"/>
  <c r="L225" i="1"/>
  <c r="L190" i="1"/>
  <c r="L208" i="1"/>
  <c r="C11" i="10" s="1"/>
  <c r="L226" i="1"/>
  <c r="L227" i="1"/>
  <c r="L191" i="1"/>
  <c r="L209" i="1"/>
  <c r="C103" i="2" s="1"/>
  <c r="F6" i="13"/>
  <c r="D6" i="13" s="1"/>
  <c r="C6" i="13" s="1"/>
  <c r="G6" i="13"/>
  <c r="L194" i="1"/>
  <c r="L212" i="1"/>
  <c r="L230" i="1"/>
  <c r="F7" i="13"/>
  <c r="G7" i="13"/>
  <c r="L195" i="1"/>
  <c r="D7" i="13" s="1"/>
  <c r="C7" i="13" s="1"/>
  <c r="L213" i="1"/>
  <c r="L231" i="1"/>
  <c r="F12" i="13"/>
  <c r="G12" i="13"/>
  <c r="D12" i="13" s="1"/>
  <c r="C12" i="13" s="1"/>
  <c r="L197" i="1"/>
  <c r="L215" i="1"/>
  <c r="L233" i="1"/>
  <c r="F14" i="13"/>
  <c r="G14" i="13"/>
  <c r="L199" i="1"/>
  <c r="D14" i="13" s="1"/>
  <c r="C14" i="13" s="1"/>
  <c r="L217" i="1"/>
  <c r="L235" i="1"/>
  <c r="F15" i="13"/>
  <c r="G15" i="13"/>
  <c r="L200" i="1"/>
  <c r="L218" i="1"/>
  <c r="F17" i="13"/>
  <c r="G17" i="13"/>
  <c r="L243" i="1"/>
  <c r="D17" i="13" s="1"/>
  <c r="C17" i="13" s="1"/>
  <c r="F18" i="13"/>
  <c r="G18" i="13"/>
  <c r="L244" i="1"/>
  <c r="C106" i="2" s="1"/>
  <c r="F19" i="13"/>
  <c r="D19" i="13" s="1"/>
  <c r="C19" i="13" s="1"/>
  <c r="G19" i="13"/>
  <c r="L245" i="1"/>
  <c r="F29" i="13"/>
  <c r="G29" i="13"/>
  <c r="L350" i="1"/>
  <c r="L351" i="1"/>
  <c r="L352" i="1"/>
  <c r="I359" i="1"/>
  <c r="I361" i="1" s="1"/>
  <c r="H624" i="1" s="1"/>
  <c r="D29" i="13"/>
  <c r="J282" i="1"/>
  <c r="J330" i="1" s="1"/>
  <c r="J344" i="1" s="1"/>
  <c r="J301" i="1"/>
  <c r="J320" i="1"/>
  <c r="K282" i="1"/>
  <c r="G31" i="13" s="1"/>
  <c r="K301" i="1"/>
  <c r="K320" i="1"/>
  <c r="L269" i="1"/>
  <c r="L273" i="1"/>
  <c r="L274" i="1"/>
  <c r="E111" i="2" s="1"/>
  <c r="L271" i="1"/>
  <c r="E104" i="2" s="1"/>
  <c r="L275" i="1"/>
  <c r="L279" i="1"/>
  <c r="L270" i="1"/>
  <c r="L276" i="1"/>
  <c r="L277" i="1"/>
  <c r="L278" i="1"/>
  <c r="L280" i="1"/>
  <c r="L287" i="1"/>
  <c r="L288" i="1"/>
  <c r="L301" i="1" s="1"/>
  <c r="L289" i="1"/>
  <c r="E103" i="2" s="1"/>
  <c r="L290" i="1"/>
  <c r="L292" i="1"/>
  <c r="L293" i="1"/>
  <c r="L294" i="1"/>
  <c r="L295" i="1"/>
  <c r="L296" i="1"/>
  <c r="L297" i="1"/>
  <c r="L298" i="1"/>
  <c r="L299" i="1"/>
  <c r="L306" i="1"/>
  <c r="L320" i="1" s="1"/>
  <c r="L307" i="1"/>
  <c r="L312" i="1"/>
  <c r="L311" i="1"/>
  <c r="L308" i="1"/>
  <c r="L309" i="1"/>
  <c r="L317" i="1"/>
  <c r="L313" i="1"/>
  <c r="L314" i="1"/>
  <c r="L315" i="1"/>
  <c r="L316" i="1"/>
  <c r="L318" i="1"/>
  <c r="E117" i="2" s="1"/>
  <c r="L325" i="1"/>
  <c r="E106" i="2" s="1"/>
  <c r="L326" i="1"/>
  <c r="L327" i="1"/>
  <c r="L252" i="1"/>
  <c r="L253" i="1"/>
  <c r="L333" i="1"/>
  <c r="H25" i="13" s="1"/>
  <c r="L334" i="1"/>
  <c r="L247" i="1"/>
  <c r="L328" i="1"/>
  <c r="F22" i="13"/>
  <c r="C29" i="13"/>
  <c r="C11" i="13"/>
  <c r="C10" i="13"/>
  <c r="C9" i="13"/>
  <c r="L353" i="1"/>
  <c r="L354" i="1"/>
  <c r="B4" i="12"/>
  <c r="B36" i="12"/>
  <c r="C36" i="12"/>
  <c r="B40" i="12"/>
  <c r="C40" i="12"/>
  <c r="A40" i="12"/>
  <c r="B27" i="12"/>
  <c r="B9" i="12"/>
  <c r="B13" i="12"/>
  <c r="B18" i="12"/>
  <c r="B1" i="12"/>
  <c r="L379" i="1"/>
  <c r="L380" i="1"/>
  <c r="L381" i="1"/>
  <c r="L385" i="1" s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5" i="2" s="1"/>
  <c r="G96" i="2" s="1"/>
  <c r="G51" i="2"/>
  <c r="G53" i="2"/>
  <c r="G54" i="2"/>
  <c r="F2" i="11"/>
  <c r="L603" i="1"/>
  <c r="H653" i="1" s="1"/>
  <c r="L602" i="1"/>
  <c r="G653" i="1" s="1"/>
  <c r="L601" i="1"/>
  <c r="L604" i="1" s="1"/>
  <c r="F653" i="1"/>
  <c r="C40" i="10"/>
  <c r="F52" i="1"/>
  <c r="G52" i="1"/>
  <c r="H52" i="1"/>
  <c r="H104" i="1" s="1"/>
  <c r="I52" i="1"/>
  <c r="G103" i="1"/>
  <c r="G104" i="1" s="1"/>
  <c r="F71" i="1"/>
  <c r="F103" i="1"/>
  <c r="F104" i="1"/>
  <c r="H71" i="1"/>
  <c r="E49" i="2" s="1"/>
  <c r="E54" i="2" s="1"/>
  <c r="H103" i="1"/>
  <c r="F86" i="1"/>
  <c r="H86" i="1"/>
  <c r="I103" i="1"/>
  <c r="I104" i="1" s="1"/>
  <c r="J103" i="1"/>
  <c r="F113" i="1"/>
  <c r="F128" i="1"/>
  <c r="F132" i="1"/>
  <c r="G113" i="1"/>
  <c r="G132" i="1" s="1"/>
  <c r="G128" i="1"/>
  <c r="G154" i="1"/>
  <c r="H618" i="1"/>
  <c r="H113" i="1"/>
  <c r="H128" i="1"/>
  <c r="H132" i="1"/>
  <c r="I113" i="1"/>
  <c r="I132" i="1" s="1"/>
  <c r="I128" i="1"/>
  <c r="J113" i="1"/>
  <c r="J132" i="1" s="1"/>
  <c r="J128" i="1"/>
  <c r="F139" i="1"/>
  <c r="F154" i="1"/>
  <c r="F161" i="1"/>
  <c r="G139" i="1"/>
  <c r="G161" i="1" s="1"/>
  <c r="H139" i="1"/>
  <c r="H154" i="1"/>
  <c r="H161" i="1"/>
  <c r="I139" i="1"/>
  <c r="I154" i="1"/>
  <c r="I161" i="1" s="1"/>
  <c r="C15" i="10"/>
  <c r="C16" i="10"/>
  <c r="C18" i="10"/>
  <c r="C20" i="10"/>
  <c r="L242" i="1"/>
  <c r="C23" i="10" s="1"/>
  <c r="L324" i="1"/>
  <c r="L246" i="1"/>
  <c r="C25" i="10"/>
  <c r="L260" i="1"/>
  <c r="C26" i="10" s="1"/>
  <c r="L261" i="1"/>
  <c r="L342" i="1"/>
  <c r="L341" i="1"/>
  <c r="I655" i="1"/>
  <c r="I660" i="1"/>
  <c r="G651" i="1"/>
  <c r="G652" i="1"/>
  <c r="H651" i="1"/>
  <c r="I651" i="1" s="1"/>
  <c r="F651" i="1"/>
  <c r="F652" i="1"/>
  <c r="I659" i="1"/>
  <c r="C42" i="10"/>
  <c r="C32" i="10"/>
  <c r="L366" i="1"/>
  <c r="C29" i="10" s="1"/>
  <c r="L367" i="1"/>
  <c r="L368" i="1"/>
  <c r="L369" i="1"/>
  <c r="L370" i="1"/>
  <c r="L371" i="1"/>
  <c r="L372" i="1"/>
  <c r="B2" i="10"/>
  <c r="L336" i="1"/>
  <c r="L343" i="1" s="1"/>
  <c r="L337" i="1"/>
  <c r="E127" i="2" s="1"/>
  <c r="L338" i="1"/>
  <c r="L339" i="1"/>
  <c r="K343" i="1"/>
  <c r="L511" i="1"/>
  <c r="F539" i="1" s="1"/>
  <c r="L521" i="1"/>
  <c r="H539" i="1" s="1"/>
  <c r="L522" i="1"/>
  <c r="H540" i="1" s="1"/>
  <c r="L523" i="1"/>
  <c r="L524" i="1" s="1"/>
  <c r="H541" i="1"/>
  <c r="L526" i="1"/>
  <c r="I539" i="1"/>
  <c r="L527" i="1"/>
  <c r="I540" i="1"/>
  <c r="L528" i="1"/>
  <c r="I541" i="1" s="1"/>
  <c r="I542" i="1" s="1"/>
  <c r="L532" i="1"/>
  <c r="J540" i="1"/>
  <c r="L533" i="1"/>
  <c r="J541" i="1"/>
  <c r="E124" i="2"/>
  <c r="E123" i="2"/>
  <c r="K262" i="1"/>
  <c r="J262" i="1"/>
  <c r="I262" i="1"/>
  <c r="H262" i="1"/>
  <c r="G262" i="1"/>
  <c r="F262" i="1"/>
  <c r="C124" i="2"/>
  <c r="C123" i="2"/>
  <c r="A1" i="2"/>
  <c r="A2" i="2"/>
  <c r="C9" i="2"/>
  <c r="D9" i="2"/>
  <c r="E9" i="2"/>
  <c r="F9" i="2"/>
  <c r="F19" i="2" s="1"/>
  <c r="I431" i="1"/>
  <c r="J9" i="1" s="1"/>
  <c r="C10" i="2"/>
  <c r="D10" i="2"/>
  <c r="E10" i="2"/>
  <c r="E19" i="2" s="1"/>
  <c r="F10" i="2"/>
  <c r="I432" i="1"/>
  <c r="J10" i="1" s="1"/>
  <c r="G10" i="2" s="1"/>
  <c r="C11" i="2"/>
  <c r="C12" i="2"/>
  <c r="D12" i="2"/>
  <c r="D19" i="2" s="1"/>
  <c r="E12" i="2"/>
  <c r="F12" i="2"/>
  <c r="I433" i="1"/>
  <c r="J12" i="1" s="1"/>
  <c r="G12" i="2" s="1"/>
  <c r="C13" i="2"/>
  <c r="C19" i="2" s="1"/>
  <c r="D13" i="2"/>
  <c r="E13" i="2"/>
  <c r="F13" i="2"/>
  <c r="I434" i="1"/>
  <c r="J13" i="1"/>
  <c r="G13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 s="1"/>
  <c r="G18" i="2" s="1"/>
  <c r="C22" i="2"/>
  <c r="C32" i="2" s="1"/>
  <c r="D22" i="2"/>
  <c r="D32" i="2" s="1"/>
  <c r="E22" i="2"/>
  <c r="E32" i="2" s="1"/>
  <c r="F22" i="2"/>
  <c r="I440" i="1"/>
  <c r="J23" i="1"/>
  <c r="C23" i="2"/>
  <c r="D23" i="2"/>
  <c r="E23" i="2"/>
  <c r="F23" i="2"/>
  <c r="I441" i="1"/>
  <c r="J24" i="1" s="1"/>
  <c r="C24" i="2"/>
  <c r="D24" i="2"/>
  <c r="E24" i="2"/>
  <c r="F24" i="2"/>
  <c r="I442" i="1"/>
  <c r="J25" i="1"/>
  <c r="G24" i="2"/>
  <c r="C25" i="2"/>
  <c r="D25" i="2"/>
  <c r="E25" i="2"/>
  <c r="F25" i="2"/>
  <c r="C26" i="2"/>
  <c r="F26" i="2"/>
  <c r="F32" i="2" s="1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C42" i="2" s="1"/>
  <c r="C43" i="2" s="1"/>
  <c r="D34" i="2"/>
  <c r="D42" i="2" s="1"/>
  <c r="E34" i="2"/>
  <c r="F34" i="2"/>
  <c r="C35" i="2"/>
  <c r="D35" i="2"/>
  <c r="E35" i="2"/>
  <c r="F35" i="2"/>
  <c r="F42" i="2" s="1"/>
  <c r="F43" i="2" s="1"/>
  <c r="C36" i="2"/>
  <c r="D36" i="2"/>
  <c r="E36" i="2"/>
  <c r="F36" i="2"/>
  <c r="I446" i="1"/>
  <c r="I450" i="1" s="1"/>
  <c r="I451" i="1" s="1"/>
  <c r="H632" i="1" s="1"/>
  <c r="J37" i="1"/>
  <c r="G36" i="2" s="1"/>
  <c r="C37" i="2"/>
  <c r="D37" i="2"/>
  <c r="E37" i="2"/>
  <c r="F37" i="2"/>
  <c r="I447" i="1"/>
  <c r="J38" i="1" s="1"/>
  <c r="G37" i="2" s="1"/>
  <c r="C38" i="2"/>
  <c r="D38" i="2"/>
  <c r="E38" i="2"/>
  <c r="E42" i="2" s="1"/>
  <c r="F38" i="2"/>
  <c r="I448" i="1"/>
  <c r="J40" i="1" s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C48" i="2"/>
  <c r="D48" i="2"/>
  <c r="E48" i="2"/>
  <c r="E55" i="2" s="1"/>
  <c r="E96" i="2" s="1"/>
  <c r="F48" i="2"/>
  <c r="C49" i="2"/>
  <c r="C50" i="2"/>
  <c r="E50" i="2"/>
  <c r="C51" i="2"/>
  <c r="C54" i="2" s="1"/>
  <c r="C55" i="2" s="1"/>
  <c r="D51" i="2"/>
  <c r="E51" i="2"/>
  <c r="F51" i="2"/>
  <c r="D52" i="2"/>
  <c r="C53" i="2"/>
  <c r="D53" i="2"/>
  <c r="E53" i="2"/>
  <c r="F53" i="2"/>
  <c r="F54" i="2" s="1"/>
  <c r="F55" i="2" s="1"/>
  <c r="C58" i="2"/>
  <c r="C59" i="2"/>
  <c r="C61" i="2"/>
  <c r="D61" i="2"/>
  <c r="E61" i="2"/>
  <c r="E62" i="2"/>
  <c r="F61" i="2"/>
  <c r="G61" i="2"/>
  <c r="G62" i="2" s="1"/>
  <c r="G73" i="2" s="1"/>
  <c r="D62" i="2"/>
  <c r="F62" i="2"/>
  <c r="F73" i="2" s="1"/>
  <c r="C64" i="2"/>
  <c r="C70" i="2" s="1"/>
  <c r="C73" i="2" s="1"/>
  <c r="F64" i="2"/>
  <c r="C65" i="2"/>
  <c r="F65" i="2"/>
  <c r="C66" i="2"/>
  <c r="C67" i="2"/>
  <c r="C68" i="2"/>
  <c r="E68" i="2"/>
  <c r="E70" i="2" s="1"/>
  <c r="E73" i="2" s="1"/>
  <c r="F68" i="2"/>
  <c r="C69" i="2"/>
  <c r="D69" i="2"/>
  <c r="D70" i="2"/>
  <c r="D73" i="2" s="1"/>
  <c r="D96" i="2" s="1"/>
  <c r="E69" i="2"/>
  <c r="F69" i="2"/>
  <c r="G69" i="2"/>
  <c r="G70" i="2"/>
  <c r="C71" i="2"/>
  <c r="D71" i="2"/>
  <c r="E71" i="2"/>
  <c r="C72" i="2"/>
  <c r="E72" i="2"/>
  <c r="C77" i="2"/>
  <c r="C83" i="2" s="1"/>
  <c r="D77" i="2"/>
  <c r="D83" i="2" s="1"/>
  <c r="E77" i="2"/>
  <c r="F77" i="2"/>
  <c r="C79" i="2"/>
  <c r="E79" i="2"/>
  <c r="F79" i="2"/>
  <c r="F83" i="2" s="1"/>
  <c r="C80" i="2"/>
  <c r="D80" i="2"/>
  <c r="E80" i="2"/>
  <c r="F80" i="2"/>
  <c r="C81" i="2"/>
  <c r="D81" i="2"/>
  <c r="E81" i="2"/>
  <c r="E83" i="2" s="1"/>
  <c r="F81" i="2"/>
  <c r="C82" i="2"/>
  <c r="C85" i="2"/>
  <c r="C95" i="2" s="1"/>
  <c r="F85" i="2"/>
  <c r="C86" i="2"/>
  <c r="F86" i="2"/>
  <c r="D88" i="2"/>
  <c r="E88" i="2"/>
  <c r="E95" i="2" s="1"/>
  <c r="F88" i="2"/>
  <c r="F95" i="2" s="1"/>
  <c r="G88" i="2"/>
  <c r="G95" i="2" s="1"/>
  <c r="C89" i="2"/>
  <c r="D89" i="2"/>
  <c r="E89" i="2"/>
  <c r="F89" i="2"/>
  <c r="G89" i="2"/>
  <c r="C90" i="2"/>
  <c r="D90" i="2"/>
  <c r="E90" i="2"/>
  <c r="E91" i="2"/>
  <c r="E92" i="2"/>
  <c r="E93" i="2"/>
  <c r="E94" i="2"/>
  <c r="G90" i="2"/>
  <c r="C91" i="2"/>
  <c r="D91" i="2"/>
  <c r="F91" i="2"/>
  <c r="C92" i="2"/>
  <c r="D92" i="2"/>
  <c r="F92" i="2"/>
  <c r="C93" i="2"/>
  <c r="D93" i="2"/>
  <c r="D95" i="2" s="1"/>
  <c r="F93" i="2"/>
  <c r="C94" i="2"/>
  <c r="D94" i="2"/>
  <c r="F94" i="2"/>
  <c r="C101" i="2"/>
  <c r="E105" i="2"/>
  <c r="C102" i="2"/>
  <c r="C105" i="2"/>
  <c r="D107" i="2"/>
  <c r="F107" i="2"/>
  <c r="G107" i="2"/>
  <c r="C110" i="2"/>
  <c r="E110" i="2"/>
  <c r="C111" i="2"/>
  <c r="C112" i="2"/>
  <c r="E112" i="2"/>
  <c r="C113" i="2"/>
  <c r="C115" i="2"/>
  <c r="C117" i="2"/>
  <c r="E113" i="2"/>
  <c r="E114" i="2"/>
  <c r="E115" i="2"/>
  <c r="E116" i="2"/>
  <c r="D119" i="2"/>
  <c r="D120" i="2"/>
  <c r="F120" i="2"/>
  <c r="G120" i="2"/>
  <c r="C122" i="2"/>
  <c r="E122" i="2"/>
  <c r="F122" i="2"/>
  <c r="D126" i="2"/>
  <c r="D136" i="2" s="1"/>
  <c r="D137" i="2" s="1"/>
  <c r="E126" i="2"/>
  <c r="E136" i="2" s="1"/>
  <c r="F126" i="2"/>
  <c r="K411" i="1"/>
  <c r="K419" i="1"/>
  <c r="K426" i="1" s="1"/>
  <c r="G126" i="2" s="1"/>
  <c r="G136" i="2" s="1"/>
  <c r="G137" i="2" s="1"/>
  <c r="K425" i="1"/>
  <c r="L255" i="1"/>
  <c r="C127" i="2"/>
  <c r="L256" i="1"/>
  <c r="C128" i="2" s="1"/>
  <c r="L257" i="1"/>
  <c r="C129" i="2"/>
  <c r="E129" i="2"/>
  <c r="E134" i="2"/>
  <c r="C135" i="2"/>
  <c r="E135" i="2"/>
  <c r="F136" i="2"/>
  <c r="F137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G149" i="2" s="1"/>
  <c r="F149" i="2"/>
  <c r="B150" i="2"/>
  <c r="G150" i="2" s="1"/>
  <c r="C150" i="2"/>
  <c r="D150" i="2"/>
  <c r="E150" i="2"/>
  <c r="F150" i="2"/>
  <c r="B151" i="2"/>
  <c r="C151" i="2"/>
  <c r="D151" i="2"/>
  <c r="E151" i="2"/>
  <c r="F151" i="2"/>
  <c r="B152" i="2"/>
  <c r="G152" i="2" s="1"/>
  <c r="C152" i="2"/>
  <c r="D152" i="2"/>
  <c r="E152" i="2"/>
  <c r="F152" i="2"/>
  <c r="F490" i="1"/>
  <c r="B153" i="2"/>
  <c r="G490" i="1"/>
  <c r="C153" i="2"/>
  <c r="H490" i="1"/>
  <c r="D153" i="2" s="1"/>
  <c r="G153" i="2" s="1"/>
  <c r="I490" i="1"/>
  <c r="E153" i="2"/>
  <c r="J490" i="1"/>
  <c r="F153" i="2"/>
  <c r="B154" i="2"/>
  <c r="C154" i="2"/>
  <c r="D154" i="2"/>
  <c r="E154" i="2"/>
  <c r="F154" i="2"/>
  <c r="G154" i="2"/>
  <c r="B155" i="2"/>
  <c r="C155" i="2"/>
  <c r="D155" i="2"/>
  <c r="E155" i="2"/>
  <c r="F155" i="2"/>
  <c r="G155" i="2"/>
  <c r="F493" i="1"/>
  <c r="B156" i="2" s="1"/>
  <c r="G493" i="1"/>
  <c r="C156" i="2" s="1"/>
  <c r="H493" i="1"/>
  <c r="K493" i="1" s="1"/>
  <c r="I493" i="1"/>
  <c r="E156" i="2" s="1"/>
  <c r="J493" i="1"/>
  <c r="F156" i="2"/>
  <c r="F19" i="1"/>
  <c r="G607" i="1" s="1"/>
  <c r="G19" i="1"/>
  <c r="G608" i="1" s="1"/>
  <c r="H19" i="1"/>
  <c r="G609" i="1" s="1"/>
  <c r="J609" i="1" s="1"/>
  <c r="I19" i="1"/>
  <c r="F33" i="1"/>
  <c r="G33" i="1"/>
  <c r="H33" i="1"/>
  <c r="I33" i="1"/>
  <c r="F43" i="1"/>
  <c r="F44" i="1" s="1"/>
  <c r="H607" i="1" s="1"/>
  <c r="G43" i="1"/>
  <c r="G44" i="1" s="1"/>
  <c r="H608" i="1" s="1"/>
  <c r="H43" i="1"/>
  <c r="H44" i="1" s="1"/>
  <c r="H609" i="1" s="1"/>
  <c r="I43" i="1"/>
  <c r="I44" i="1" s="1"/>
  <c r="H610" i="1" s="1"/>
  <c r="J610" i="1" s="1"/>
  <c r="F169" i="1"/>
  <c r="I169" i="1"/>
  <c r="I184" i="1" s="1"/>
  <c r="F175" i="1"/>
  <c r="F184" i="1" s="1"/>
  <c r="G175" i="1"/>
  <c r="H175" i="1"/>
  <c r="H184" i="1" s="1"/>
  <c r="I175" i="1"/>
  <c r="J175" i="1"/>
  <c r="J184" i="1"/>
  <c r="F180" i="1"/>
  <c r="G180" i="1"/>
  <c r="H180" i="1"/>
  <c r="I180" i="1"/>
  <c r="G184" i="1"/>
  <c r="F203" i="1"/>
  <c r="F249" i="1" s="1"/>
  <c r="F263" i="1" s="1"/>
  <c r="G203" i="1"/>
  <c r="H203" i="1"/>
  <c r="I203" i="1"/>
  <c r="I221" i="1"/>
  <c r="I239" i="1"/>
  <c r="I248" i="1"/>
  <c r="I249" i="1"/>
  <c r="I263" i="1"/>
  <c r="J203" i="1"/>
  <c r="J249" i="1" s="1"/>
  <c r="K203" i="1"/>
  <c r="K249" i="1" s="1"/>
  <c r="K263" i="1" s="1"/>
  <c r="K239" i="1"/>
  <c r="K248" i="1"/>
  <c r="K221" i="1"/>
  <c r="F221" i="1"/>
  <c r="G221" i="1"/>
  <c r="G239" i="1"/>
  <c r="G248" i="1"/>
  <c r="G249" i="1"/>
  <c r="G263" i="1"/>
  <c r="H221" i="1"/>
  <c r="J221" i="1"/>
  <c r="F239" i="1"/>
  <c r="J239" i="1"/>
  <c r="F248" i="1"/>
  <c r="L248" i="1" s="1"/>
  <c r="H248" i="1"/>
  <c r="J248" i="1"/>
  <c r="L262" i="1"/>
  <c r="H622" i="1"/>
  <c r="F282" i="1"/>
  <c r="G282" i="1"/>
  <c r="G330" i="1" s="1"/>
  <c r="G344" i="1" s="1"/>
  <c r="G329" i="1"/>
  <c r="L329" i="1" s="1"/>
  <c r="G301" i="1"/>
  <c r="G320" i="1"/>
  <c r="H282" i="1"/>
  <c r="I282" i="1"/>
  <c r="I320" i="1"/>
  <c r="I301" i="1"/>
  <c r="I329" i="1"/>
  <c r="I330" i="1"/>
  <c r="I344" i="1"/>
  <c r="F301" i="1"/>
  <c r="F330" i="1" s="1"/>
  <c r="F344" i="1" s="1"/>
  <c r="H301" i="1"/>
  <c r="H330" i="1" s="1"/>
  <c r="H344" i="1" s="1"/>
  <c r="F320" i="1"/>
  <c r="H320" i="1"/>
  <c r="F329" i="1"/>
  <c r="H329" i="1"/>
  <c r="K329" i="1"/>
  <c r="K330" i="1" s="1"/>
  <c r="K344" i="1" s="1"/>
  <c r="J329" i="1"/>
  <c r="F354" i="1"/>
  <c r="G354" i="1"/>
  <c r="H354" i="1"/>
  <c r="I354" i="1"/>
  <c r="G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L374" i="1"/>
  <c r="G626" i="1" s="1"/>
  <c r="J626" i="1" s="1"/>
  <c r="F385" i="1"/>
  <c r="G385" i="1"/>
  <c r="H385" i="1"/>
  <c r="I385" i="1"/>
  <c r="F393" i="1"/>
  <c r="G393" i="1"/>
  <c r="H393" i="1"/>
  <c r="H400" i="1" s="1"/>
  <c r="H634" i="1" s="1"/>
  <c r="J634" i="1" s="1"/>
  <c r="I393" i="1"/>
  <c r="I400" i="1" s="1"/>
  <c r="F399" i="1"/>
  <c r="G399" i="1"/>
  <c r="H399" i="1"/>
  <c r="I399" i="1"/>
  <c r="F400" i="1"/>
  <c r="H633" i="1" s="1"/>
  <c r="G400" i="1"/>
  <c r="H635" i="1" s="1"/>
  <c r="J635" i="1" s="1"/>
  <c r="L405" i="1"/>
  <c r="L406" i="1"/>
  <c r="L411" i="1" s="1"/>
  <c r="L407" i="1"/>
  <c r="L408" i="1"/>
  <c r="L409" i="1"/>
  <c r="L410" i="1"/>
  <c r="F411" i="1"/>
  <c r="F426" i="1" s="1"/>
  <c r="G411" i="1"/>
  <c r="G426" i="1" s="1"/>
  <c r="H411" i="1"/>
  <c r="H426" i="1" s="1"/>
  <c r="I411" i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G425" i="1"/>
  <c r="H425" i="1"/>
  <c r="I425" i="1"/>
  <c r="I426" i="1" s="1"/>
  <c r="J425" i="1"/>
  <c r="J426" i="1"/>
  <c r="F438" i="1"/>
  <c r="G629" i="1" s="1"/>
  <c r="G438" i="1"/>
  <c r="H438" i="1"/>
  <c r="F444" i="1"/>
  <c r="F451" i="1" s="1"/>
  <c r="H629" i="1" s="1"/>
  <c r="G444" i="1"/>
  <c r="G451" i="1" s="1"/>
  <c r="H630" i="1" s="1"/>
  <c r="J630" i="1" s="1"/>
  <c r="H444" i="1"/>
  <c r="I444" i="1"/>
  <c r="F450" i="1"/>
  <c r="G450" i="1"/>
  <c r="H450" i="1"/>
  <c r="H451" i="1"/>
  <c r="H631" i="1" s="1"/>
  <c r="J631" i="1" s="1"/>
  <c r="F460" i="1"/>
  <c r="F466" i="1" s="1"/>
  <c r="H612" i="1" s="1"/>
  <c r="G460" i="1"/>
  <c r="G466" i="1" s="1"/>
  <c r="H613" i="1" s="1"/>
  <c r="H460" i="1"/>
  <c r="I460" i="1"/>
  <c r="J460" i="1"/>
  <c r="F464" i="1"/>
  <c r="G464" i="1"/>
  <c r="H464" i="1"/>
  <c r="H466" i="1" s="1"/>
  <c r="H614" i="1" s="1"/>
  <c r="J614" i="1" s="1"/>
  <c r="I464" i="1"/>
  <c r="I466" i="1"/>
  <c r="H615" i="1" s="1"/>
  <c r="J464" i="1"/>
  <c r="J466" i="1"/>
  <c r="H616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9" i="1"/>
  <c r="F524" i="1"/>
  <c r="G514" i="1"/>
  <c r="H514" i="1"/>
  <c r="H519" i="1"/>
  <c r="H524" i="1"/>
  <c r="I514" i="1"/>
  <c r="J514" i="1"/>
  <c r="J519" i="1"/>
  <c r="K514" i="1"/>
  <c r="K535" i="1" s="1"/>
  <c r="I519" i="1"/>
  <c r="K519" i="1"/>
  <c r="G524" i="1"/>
  <c r="I524" i="1"/>
  <c r="J524" i="1"/>
  <c r="J535" i="1" s="1"/>
  <c r="K524" i="1"/>
  <c r="F529" i="1"/>
  <c r="G529" i="1"/>
  <c r="H529" i="1"/>
  <c r="I529" i="1"/>
  <c r="J529" i="1"/>
  <c r="K529" i="1"/>
  <c r="L529" i="1"/>
  <c r="F534" i="1"/>
  <c r="G534" i="1"/>
  <c r="I534" i="1"/>
  <c r="J534" i="1"/>
  <c r="K534" i="1"/>
  <c r="I535" i="1"/>
  <c r="L547" i="1"/>
  <c r="L550" i="1" s="1"/>
  <c r="L548" i="1"/>
  <c r="L549" i="1"/>
  <c r="F550" i="1"/>
  <c r="G550" i="1"/>
  <c r="G561" i="1" s="1"/>
  <c r="H550" i="1"/>
  <c r="I550" i="1"/>
  <c r="I561" i="1"/>
  <c r="J550" i="1"/>
  <c r="J561" i="1" s="1"/>
  <c r="K550" i="1"/>
  <c r="K561" i="1" s="1"/>
  <c r="L552" i="1"/>
  <c r="L553" i="1"/>
  <c r="L555" i="1" s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F561" i="1"/>
  <c r="H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3" i="1"/>
  <c r="K584" i="1"/>
  <c r="K585" i="1"/>
  <c r="K586" i="1"/>
  <c r="K587" i="1"/>
  <c r="H588" i="1"/>
  <c r="H639" i="1" s="1"/>
  <c r="I588" i="1"/>
  <c r="H640" i="1" s="1"/>
  <c r="J640" i="1" s="1"/>
  <c r="K592" i="1"/>
  <c r="K593" i="1"/>
  <c r="I595" i="1"/>
  <c r="J595" i="1"/>
  <c r="F604" i="1"/>
  <c r="G604" i="1"/>
  <c r="H604" i="1"/>
  <c r="I604" i="1"/>
  <c r="J604" i="1"/>
  <c r="K604" i="1"/>
  <c r="G610" i="1"/>
  <c r="G612" i="1"/>
  <c r="J612" i="1" s="1"/>
  <c r="G614" i="1"/>
  <c r="G615" i="1"/>
  <c r="H617" i="1"/>
  <c r="H619" i="1"/>
  <c r="H620" i="1"/>
  <c r="H621" i="1"/>
  <c r="H623" i="1"/>
  <c r="H625" i="1"/>
  <c r="H626" i="1"/>
  <c r="H627" i="1"/>
  <c r="H628" i="1"/>
  <c r="G630" i="1"/>
  <c r="G631" i="1"/>
  <c r="G633" i="1"/>
  <c r="J633" i="1" s="1"/>
  <c r="G634" i="1"/>
  <c r="G635" i="1"/>
  <c r="G639" i="1"/>
  <c r="J639" i="1" s="1"/>
  <c r="G640" i="1"/>
  <c r="G642" i="1"/>
  <c r="J642" i="1"/>
  <c r="H642" i="1"/>
  <c r="G643" i="1"/>
  <c r="J643" i="1" s="1"/>
  <c r="H643" i="1"/>
  <c r="G644" i="1"/>
  <c r="H644" i="1"/>
  <c r="J644" i="1"/>
  <c r="G645" i="1"/>
  <c r="H645" i="1"/>
  <c r="J645" i="1"/>
  <c r="G151" i="2"/>
  <c r="F70" i="2"/>
  <c r="G148" i="2"/>
  <c r="D54" i="2"/>
  <c r="E8" i="13"/>
  <c r="G22" i="2"/>
  <c r="C22" i="13"/>
  <c r="C27" i="10"/>
  <c r="G625" i="1"/>
  <c r="J625" i="1"/>
  <c r="C8" i="13"/>
  <c r="D55" i="2"/>
  <c r="F96" i="2" l="1"/>
  <c r="G42" i="2"/>
  <c r="G43" i="2" s="1"/>
  <c r="D43" i="2"/>
  <c r="C107" i="2"/>
  <c r="C19" i="12"/>
  <c r="C22" i="12" s="1"/>
  <c r="F185" i="1"/>
  <c r="G617" i="1" s="1"/>
  <c r="J617" i="1" s="1"/>
  <c r="J615" i="1"/>
  <c r="J608" i="1"/>
  <c r="J19" i="1"/>
  <c r="G611" i="1" s="1"/>
  <c r="G9" i="2"/>
  <c r="G19" i="2" s="1"/>
  <c r="C39" i="10"/>
  <c r="G519" i="1"/>
  <c r="L516" i="1"/>
  <c r="J607" i="1"/>
  <c r="L426" i="1"/>
  <c r="G628" i="1" s="1"/>
  <c r="J628" i="1" s="1"/>
  <c r="E43" i="2"/>
  <c r="C38" i="10"/>
  <c r="G185" i="1"/>
  <c r="G618" i="1" s="1"/>
  <c r="J618" i="1" s="1"/>
  <c r="C10" i="12"/>
  <c r="C13" i="12" s="1"/>
  <c r="A13" i="12" s="1"/>
  <c r="L561" i="1"/>
  <c r="H638" i="1"/>
  <c r="J263" i="1"/>
  <c r="D5" i="13"/>
  <c r="L282" i="1"/>
  <c r="E101" i="2"/>
  <c r="C10" i="10"/>
  <c r="H249" i="1"/>
  <c r="H263" i="1" s="1"/>
  <c r="H185" i="1"/>
  <c r="G619" i="1" s="1"/>
  <c r="J619" i="1" s="1"/>
  <c r="H534" i="1"/>
  <c r="H535" i="1" s="1"/>
  <c r="L531" i="1"/>
  <c r="F540" i="1"/>
  <c r="K540" i="1" s="1"/>
  <c r="L514" i="1"/>
  <c r="C21" i="10"/>
  <c r="C116" i="2"/>
  <c r="G641" i="1"/>
  <c r="H652" i="1"/>
  <c r="I652" i="1" s="1"/>
  <c r="H637" i="1"/>
  <c r="D15" i="13"/>
  <c r="C15" i="13" s="1"/>
  <c r="C28" i="12"/>
  <c r="C31" i="12" s="1"/>
  <c r="A31" i="12" s="1"/>
  <c r="E120" i="2"/>
  <c r="H542" i="1"/>
  <c r="K582" i="1"/>
  <c r="J588" i="1"/>
  <c r="H641" i="1" s="1"/>
  <c r="A22" i="12"/>
  <c r="G535" i="1"/>
  <c r="C96" i="2"/>
  <c r="F542" i="1"/>
  <c r="I185" i="1"/>
  <c r="G620" i="1" s="1"/>
  <c r="J620" i="1" s="1"/>
  <c r="K588" i="1"/>
  <c r="G637" i="1" s="1"/>
  <c r="K541" i="1"/>
  <c r="J629" i="1"/>
  <c r="L400" i="1"/>
  <c r="C130" i="2"/>
  <c r="C133" i="2" s="1"/>
  <c r="H33" i="13"/>
  <c r="C25" i="13"/>
  <c r="L239" i="1"/>
  <c r="H650" i="1" s="1"/>
  <c r="H654" i="1" s="1"/>
  <c r="E13" i="13"/>
  <c r="J638" i="1"/>
  <c r="J624" i="1"/>
  <c r="G23" i="2"/>
  <c r="G32" i="2" s="1"/>
  <c r="J33" i="1"/>
  <c r="I653" i="1"/>
  <c r="G33" i="13"/>
  <c r="F33" i="13"/>
  <c r="C24" i="10"/>
  <c r="H595" i="1"/>
  <c r="E102" i="2"/>
  <c r="C12" i="10"/>
  <c r="C13" i="10"/>
  <c r="F514" i="1"/>
  <c r="F535" i="1" s="1"/>
  <c r="G613" i="1"/>
  <c r="J613" i="1" s="1"/>
  <c r="J104" i="1"/>
  <c r="J185" i="1" s="1"/>
  <c r="D18" i="13"/>
  <c r="C18" i="13" s="1"/>
  <c r="C29" i="12"/>
  <c r="D156" i="2"/>
  <c r="G156" i="2" s="1"/>
  <c r="L221" i="1"/>
  <c r="G650" i="1" s="1"/>
  <c r="G654" i="1" s="1"/>
  <c r="I438" i="1"/>
  <c r="G632" i="1" s="1"/>
  <c r="J632" i="1" s="1"/>
  <c r="C134" i="2"/>
  <c r="C114" i="2"/>
  <c r="C120" i="2" s="1"/>
  <c r="C35" i="10"/>
  <c r="J43" i="1"/>
  <c r="L203" i="1"/>
  <c r="H239" i="1"/>
  <c r="C19" i="10"/>
  <c r="F31" i="13"/>
  <c r="D38" i="10" l="1"/>
  <c r="C28" i="10"/>
  <c r="E107" i="2"/>
  <c r="E137" i="2" s="1"/>
  <c r="J641" i="1"/>
  <c r="L330" i="1"/>
  <c r="L344" i="1" s="1"/>
  <c r="G623" i="1" s="1"/>
  <c r="J623" i="1" s="1"/>
  <c r="D31" i="13"/>
  <c r="C31" i="13" s="1"/>
  <c r="G662" i="1"/>
  <c r="C5" i="10" s="1"/>
  <c r="G657" i="1"/>
  <c r="C136" i="2"/>
  <c r="C5" i="13"/>
  <c r="D33" i="13"/>
  <c r="D36" i="13" s="1"/>
  <c r="G627" i="1"/>
  <c r="J627" i="1" s="1"/>
  <c r="H636" i="1"/>
  <c r="D21" i="10"/>
  <c r="G621" i="1"/>
  <c r="J621" i="1" s="1"/>
  <c r="G636" i="1"/>
  <c r="G539" i="1"/>
  <c r="L519" i="1"/>
  <c r="L535" i="1" s="1"/>
  <c r="D24" i="10"/>
  <c r="D19" i="10"/>
  <c r="C137" i="2"/>
  <c r="F650" i="1"/>
  <c r="L249" i="1"/>
  <c r="L263" i="1" s="1"/>
  <c r="G622" i="1" s="1"/>
  <c r="J622" i="1" s="1"/>
  <c r="J44" i="1"/>
  <c r="H611" i="1" s="1"/>
  <c r="J611" i="1" s="1"/>
  <c r="G616" i="1"/>
  <c r="J616" i="1" s="1"/>
  <c r="J637" i="1"/>
  <c r="L534" i="1"/>
  <c r="J539" i="1"/>
  <c r="J542" i="1" s="1"/>
  <c r="C36" i="10"/>
  <c r="C41" i="10"/>
  <c r="D35" i="10"/>
  <c r="D13" i="10"/>
  <c r="C13" i="13"/>
  <c r="E33" i="13"/>
  <c r="D35" i="13" s="1"/>
  <c r="D12" i="10"/>
  <c r="H662" i="1"/>
  <c r="C6" i="10" s="1"/>
  <c r="H657" i="1"/>
  <c r="G542" i="1" l="1"/>
  <c r="K539" i="1"/>
  <c r="K542" i="1" s="1"/>
  <c r="D37" i="10"/>
  <c r="D40" i="10"/>
  <c r="D36" i="10"/>
  <c r="J636" i="1"/>
  <c r="D41" i="10"/>
  <c r="D22" i="10"/>
  <c r="D20" i="10"/>
  <c r="D15" i="10"/>
  <c r="C30" i="10"/>
  <c r="D18" i="10"/>
  <c r="D26" i="10"/>
  <c r="D11" i="10"/>
  <c r="D17" i="10"/>
  <c r="D25" i="10"/>
  <c r="D27" i="10"/>
  <c r="D23" i="10"/>
  <c r="D16" i="10"/>
  <c r="D39" i="10"/>
  <c r="D10" i="10"/>
  <c r="I650" i="1"/>
  <c r="I654" i="1" s="1"/>
  <c r="F654" i="1"/>
  <c r="H646" i="1"/>
  <c r="F657" i="1" l="1"/>
  <c r="F662" i="1"/>
  <c r="C4" i="10" s="1"/>
  <c r="I657" i="1"/>
  <c r="I662" i="1"/>
  <c r="C7" i="10" s="1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A2EA2762-362C-4B68-993D-C5F429A0CABE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C537989F-5FFC-426E-9A5C-EFEE2271316A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DF2B3DD5-DA59-4953-89A4-50AAA81D4217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605A873C-5CEF-44BE-8810-4948FDF1984D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5EDF60A2-AC89-4F3F-BD31-7440F93E1499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16B5C15-990A-41C1-9319-2BAF61965F07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04AD2A47-FBF1-45CB-A89B-A244B7F3E4C7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2E36EAF1-CBD2-4F0A-8E00-27491EDC6903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6F66C752-3B55-4194-98C4-342E58C83731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3D688652-FB56-48AE-AF82-471E2A4727F9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DE1BB50C-845B-4C2D-8054-535063C6375E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1865B301-530B-4953-AAFC-F55C7EBA105A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<sst xmlns="http://schemas.openxmlformats.org/spreadsheetml/2006/main" count="3858" uniqueCount="895">
  <si>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</si>
  <si>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</si>
  <si>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</si>
  <si>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</si>
  <si>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</si>
  <si>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</si>
  <si>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</si>
  <si>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</si>
  <si>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</si>
  <si>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</si>
  <si>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</si>
  <si>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</si>
  <si>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</si>
  <si>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</si>
  <si>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</si>
  <si>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</si>
  <si>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</si>
  <si>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</si>
  <si>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</si>
  <si>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</si>
  <si>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</si>
  <si>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</si>
  <si>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</si>
  <si>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</si>
  <si>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</si>
  <si>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</si>
  <si>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</si>
  <si>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</si>
  <si>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</si>
  <si>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</si>
  <si>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</si>
  <si>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</si>
  <si>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</si>
  <si>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</si>
  <si>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</si>
  <si>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</si>
  <si>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</si>
  <si>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</si>
  <si>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</si>
  <si>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</si>
  <si>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</si>
  <si>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</si>
  <si>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</si>
  <si>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</si>
  <si>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</si>
  <si>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</si>
  <si>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</si>
  <si>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</si>
  <si>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</si>
  <si>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</si>
  <si>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</si>
  <si>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</si>
  <si>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</si>
  <si>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</si>
  <si>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</si>
  <si>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</si>
  <si>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</si>
  <si>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</si>
  <si>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</si>
  <si>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</si>
  <si>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</si>
  <si>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</si>
  <si>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</si>
  <si>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</si>
  <si>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</si>
  <si>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</si>
  <si>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</si>
  <si>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</si>
  <si>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</si>
  <si>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</si>
  <si>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</si>
  <si>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</si>
  <si>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</si>
  <si>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</si>
  <si>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</si>
  <si>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</si>
  <si>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</si>
  <si>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</si>
  <si>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</si>
  <si>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</si>
  <si>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</si>
  <si>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</si>
  <si>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</si>
  <si>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</si>
  <si>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</si>
  <si>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</si>
  <si>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</si>
  <si>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</si>
  <si>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</si>
  <si>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</si>
  <si>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</si>
  <si>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</si>
  <si>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</si>
  <si>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</si>
  <si>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</si>
  <si>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</si>
  <si>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</si>
  <si>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</si>
  <si>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</si>
  <si>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</si>
  <si>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</si>
  <si>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</si>
  <si>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</si>
  <si>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</si>
  <si>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</si>
  <si>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</si>
  <si>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</si>
  <si>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</si>
  <si>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</si>
  <si>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</si>
  <si>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</si>
  <si>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</si>
  <si>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</si>
  <si>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</si>
  <si>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</si>
  <si>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</si>
  <si>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</si>
  <si>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</si>
  <si>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</si>
  <si>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</si>
  <si>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</si>
  <si>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</si>
  <si>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</si>
  <si>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</si>
  <si>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</si>
  <si>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</si>
  <si>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</si>
  <si>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</si>
  <si>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</si>
  <si>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</si>
  <si>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</si>
  <si>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</si>
  <si>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</si>
  <si>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</si>
  <si>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</si>
  <si>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</si>
  <si>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</si>
  <si>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</si>
  <si>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</si>
  <si>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</si>
  <si>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</si>
  <si>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</si>
  <si>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</si>
  <si>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</si>
  <si>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</si>
  <si>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</si>
  <si>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</si>
  <si>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</si>
  <si>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</si>
  <si>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</si>
  <si>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</si>
  <si>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</si>
  <si>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</si>
  <si>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</si>
  <si>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</si>
  <si>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</si>
  <si>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</si>
  <si>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</si>
  <si>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</si>
  <si>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</si>
  <si>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</si>
  <si>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</si>
  <si>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</si>
  <si>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</si>
  <si>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</si>
  <si>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</si>
  <si>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</si>
  <si>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</si>
  <si>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</si>
  <si>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</si>
  <si>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</si>
  <si>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</si>
  <si>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</si>
  <si>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</si>
  <si>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</si>
  <si>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</si>
  <si>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</si>
  <si>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</si>
  <si>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</si>
  <si>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</si>
  <si>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</si>
  <si>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</si>
  <si>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</si>
  <si>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</si>
  <si>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</si>
  <si>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</si>
  <si>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</si>
  <si>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</si>
  <si>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</si>
  <si>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</si>
  <si>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</si>
  <si>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</si>
  <si>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</si>
  <si>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</si>
  <si>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</si>
  <si>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</si>
  <si>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</si>
  <si>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</si>
  <si>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</si>
  <si>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</si>
  <si>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</si>
  <si>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</si>
  <si>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</si>
  <si>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</si>
  <si>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</si>
  <si>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</si>
  <si>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</si>
  <si>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</si>
  <si>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</si>
  <si>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</si>
  <si>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</si>
  <si>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</si>
  <si>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</si>
  <si>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</si>
  <si>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</si>
  <si>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</si>
  <si>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</si>
  <si>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</si>
  <si>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</si>
  <si>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</si>
  <si>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</si>
  <si>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</si>
  <si>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</si>
  <si>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</si>
  <si>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</si>
  <si>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</si>
  <si>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</si>
  <si>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</si>
  <si>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</si>
  <si>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</si>
  <si>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</si>
  <si>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</si>
  <si>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</si>
  <si>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</si>
  <si>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</si>
  <si>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</si>
  <si>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</si>
  <si>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</si>
  <si>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</si>
  <si>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</si>
  <si>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</si>
  <si>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</si>
  <si>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</si>
  <si>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</si>
  <si>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</si>
  <si>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</si>
  <si>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</si>
  <si>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</si>
  <si>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</si>
  <si>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</si>
  <si>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</si>
  <si>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</si>
  <si>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</si>
  <si>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</si>
  <si>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</si>
  <si>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</si>
  <si>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</si>
  <si>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</si>
  <si>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</si>
  <si>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</si>
  <si>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</si>
  <si>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</si>
  <si>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</si>
  <si>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</si>
  <si>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</si>
  <si>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</si>
  <si>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</si>
  <si>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</si>
  <si>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</si>
  <si>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</si>
  <si>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</si>
  <si>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</si>
  <si>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</si>
  <si>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</si>
  <si>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</si>
  <si>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</si>
  <si>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</si>
  <si>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</si>
  <si>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</si>
  <si>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</si>
  <si>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</si>
  <si>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</si>
  <si>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</si>
  <si>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</si>
  <si>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</si>
  <si>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</si>
  <si>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</si>
  <si>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</si>
  <si>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</si>
  <si>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</si>
  <si>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</si>
  <si>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</si>
  <si>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</si>
  <si>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</si>
  <si>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</si>
  <si>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</si>
  <si>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</si>
  <si>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</si>
  <si>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</si>
  <si>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</si>
  <si>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</si>
  <si>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</si>
  <si>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</si>
  <si>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</si>
  <si>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</si>
  <si>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</si>
  <si>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</si>
  <si>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</si>
  <si>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</si>
  <si>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</si>
  <si>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</si>
  <si>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</si>
  <si>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</si>
  <si>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</si>
  <si>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</si>
  <si>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</si>
  <si>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</si>
  <si>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</si>
  <si>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</si>
  <si>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</si>
  <si>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</si>
  <si>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</si>
  <si>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</si>
  <si>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</si>
  <si>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</si>
  <si>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</si>
  <si>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</si>
  <si>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</si>
  <si>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</si>
  <si>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</si>
  <si>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</si>
  <si>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</si>
  <si>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</si>
  <si>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</si>
  <si>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</si>
  <si>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</si>
  <si>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</si>
  <si>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</si>
  <si>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</si>
  <si>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</si>
  <si>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</si>
  <si>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</si>
  <si>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</si>
  <si>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</si>
  <si>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</si>
  <si>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</si>
  <si>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</si>
  <si>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</si>
  <si>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</si>
  <si>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</si>
  <si>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</si>
  <si>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</si>
  <si>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</si>
  <si>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</si>
  <si>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</si>
  <si>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</si>
  <si>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</si>
  <si>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</si>
  <si>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</si>
  <si>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</si>
  <si>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</si>
  <si>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</si>
  <si>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</si>
  <si>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</si>
  <si>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</si>
  <si>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</si>
  <si>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</si>
  <si>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</si>
  <si>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</si>
  <si>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</si>
  <si>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</si>
  <si>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</si>
  <si>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</si>
  <si>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</si>
  <si>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</si>
  <si>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</si>
  <si>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</si>
  <si>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</si>
  <si>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</si>
  <si>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</si>
  <si>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</si>
  <si>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</si>
  <si>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</si>
  <si>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</si>
  <si>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</si>
  <si>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</si>
  <si>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</si>
  <si>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</si>
  <si>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</si>
  <si>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</si>
  <si>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</si>
  <si>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</si>
  <si>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</si>
  <si>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</si>
  <si>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</si>
  <si>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</si>
  <si>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</si>
  <si>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</si>
  <si>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</si>
  <si>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</si>
  <si>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</si>
  <si>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</si>
  <si>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</si>
  <si>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</si>
  <si>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</si>
  <si>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</si>
  <si>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</si>
  <si>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</si>
  <si>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</si>
  <si>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</si>
  <si>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</si>
  <si>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</si>
  <si>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</si>
  <si>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</si>
  <si>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</si>
  <si>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</si>
  <si>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</si>
  <si>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</si>
  <si>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</si>
  <si>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</si>
  <si>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</si>
  <si>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</si>
  <si>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</si>
  <si>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</si>
  <si>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</si>
  <si>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</si>
  <si>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</si>
  <si>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</si>
  <si>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</si>
  <si>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</si>
  <si>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</si>
  <si>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</si>
  <si>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</si>
  <si>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</si>
  <si>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</si>
  <si>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</si>
  <si>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</si>
  <si>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</si>
  <si>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</si>
  <si>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</si>
  <si>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</si>
  <si>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</si>
  <si>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</si>
  <si>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</si>
  <si>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</si>
  <si>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</si>
  <si>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</si>
  <si>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</si>
  <si>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</si>
  <si>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</si>
  <si>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</si>
  <si>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</si>
  <si>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</si>
  <si>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</si>
  <si>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</si>
  <si>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</si>
  <si>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</si>
  <si>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</si>
  <si>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</si>
  <si>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</si>
  <si>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</si>
  <si>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</si>
  <si>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</si>
  <si>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</si>
  <si>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</si>
  <si>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</si>
  <si>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</si>
  <si>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</si>
  <si>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</si>
  <si>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</si>
  <si>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</si>
  <si>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</si>
  <si>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</si>
  <si>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</si>
  <si>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</si>
  <si>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</si>
  <si>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</si>
  <si>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</si>
  <si>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</si>
  <si>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</si>
  <si>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</si>
  <si>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</si>
  <si>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</si>
  <si>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</si>
  <si>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</si>
  <si>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</si>
  <si>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</si>
  <si>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</si>
  <si>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</si>
  <si>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</si>
  <si>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</si>
  <si>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</si>
  <si>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</si>
  <si>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</si>
  <si>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</si>
  <si>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</si>
  <si>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</si>
  <si>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</si>
  <si>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</si>
  <si>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</si>
  <si>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</si>
  <si>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</si>
  <si>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</si>
  <si>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</si>
  <si>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</si>
  <si>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</si>
  <si>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</si>
  <si>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</si>
  <si>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</si>
  <si>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</si>
  <si>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</si>
  <si>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</si>
  <si>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</si>
  <si>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</si>
  <si>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</si>
  <si>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</si>
  <si>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</si>
  <si>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</si>
  <si>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</si>
  <si>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</si>
  <si>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</si>
  <si>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</si>
  <si>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</si>
  <si>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</si>
  <si>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</si>
  <si>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</si>
  <si>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</si>
  <si>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</si>
  <si>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</si>
  <si>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</si>
  <si>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</si>
  <si>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</si>
  <si>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</si>
  <si>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</si>
  <si>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</si>
  <si>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</si>
  <si>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</si>
  <si>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</si>
  <si>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</si>
  <si>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</si>
  <si>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</si>
  <si>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</si>
  <si>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</si>
  <si>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</si>
  <si>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</si>
  <si>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</si>
  <si>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</si>
  <si>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</si>
  <si>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</si>
  <si>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</si>
  <si>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</si>
  <si>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</si>
  <si>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</si>
  <si>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</si>
  <si>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</si>
  <si>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</si>
  <si>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</si>
  <si>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</si>
  <si>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</si>
  <si>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</si>
  <si>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</si>
  <si>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</si>
  <si>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</si>
  <si>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</si>
  <si>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</si>
  <si>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</si>
  <si>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</si>
  <si>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</si>
  <si>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</si>
  <si>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</si>
  <si>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</si>
  <si>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</si>
  <si>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</si>
  <si>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</si>
  <si>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</si>
  <si>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</si>
  <si>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</si>
  <si>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</si>
  <si>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</si>
  <si>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</si>
  <si>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</si>
  <si>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</si>
  <si>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</si>
  <si>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</si>
  <si>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</si>
  <si>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</si>
  <si>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</si>
  <si>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</si>
  <si>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</si>
  <si>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</si>
  <si>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</si>
  <si>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</si>
  <si>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</si>
  <si>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</si>
  <si>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</si>
  <si>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</si>
  <si>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</si>
  <si>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</si>
  <si>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</si>
  <si>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</si>
  <si>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</si>
  <si>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</si>
  <si>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</si>
  <si>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</si>
  <si>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</si>
  <si>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</si>
  <si>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</si>
  <si>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</si>
  <si>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</si>
  <si>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</si>
  <si>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</si>
  <si>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</si>
  <si>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</si>
  <si>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</si>
  <si>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</si>
  <si>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</si>
  <si>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</si>
  <si>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</si>
  <si>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</si>
  <si>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</si>
  <si>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</si>
  <si>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</si>
  <si>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</si>
  <si>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</si>
  <si>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</si>
  <si>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</si>
  <si>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</si>
  <si>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</si>
  <si>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</si>
  <si>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</si>
  <si>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</si>
  <si>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</si>
  <si>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</si>
  <si>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</si>
  <si>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</si>
  <si>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</si>
  <si>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</si>
  <si>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</si>
  <si>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</si>
  <si>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</si>
  <si>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</si>
  <si>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</si>
  <si>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</si>
  <si>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</si>
  <si>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</si>
  <si>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</si>
  <si>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</si>
  <si>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</si>
  <si>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</si>
  <si>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</si>
  <si>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</si>
  <si>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</si>
  <si>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</si>
  <si>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</si>
  <si>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</si>
  <si>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</si>
  <si>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</si>
  <si>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</si>
  <si>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</si>
  <si>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</si>
  <si>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</si>
  <si>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</si>
  <si>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</si>
  <si>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</si>
  <si>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</si>
  <si>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</si>
  <si>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</si>
  <si>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</si>
  <si>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</si>
  <si>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</si>
  <si>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</si>
  <si>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</si>
  <si>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</si>
  <si>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</si>
  <si>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</si>
  <si>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</si>
  <si>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</si>
  <si>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</si>
  <si>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</si>
  <si>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</si>
  <si>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</si>
  <si>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</si>
  <si>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</si>
  <si>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</si>
  <si>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</si>
  <si>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</si>
  <si>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</si>
  <si>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</si>
  <si>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</si>
  <si>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</si>
  <si>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</si>
  <si>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</si>
  <si>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</si>
  <si>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</si>
  <si>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</si>
  <si>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</si>
  <si>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</si>
  <si>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</si>
  <si>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</si>
  <si>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</si>
  <si>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</si>
  <si>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</si>
  <si>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</si>
  <si>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</si>
  <si>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</si>
  <si>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</si>
  <si>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</si>
  <si>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</si>
  <si>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</si>
  <si>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</si>
  <si>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</si>
  <si>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</si>
  <si>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</si>
  <si>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</si>
  <si>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</si>
  <si>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</si>
  <si>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</si>
  <si>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</si>
  <si>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</si>
  <si>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</si>
  <si>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</si>
  <si>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</si>
  <si>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</si>
  <si>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</si>
  <si>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</si>
  <si>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</si>
  <si>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</si>
  <si>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</si>
  <si>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</si>
  <si>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</si>
  <si>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</si>
  <si>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</si>
  <si>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</si>
  <si>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</si>
  <si>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</si>
  <si>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</si>
  <si>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</si>
  <si>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</si>
  <si>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</si>
  <si>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</si>
  <si>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</si>
  <si>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</si>
  <si>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</si>
  <si>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</si>
  <si>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</si>
  <si>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</si>
  <si>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</si>
  <si>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</si>
  <si>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</si>
  <si>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</si>
  <si>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</si>
  <si>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</si>
  <si>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</si>
  <si>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</si>
  <si>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</si>
  <si>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</si>
  <si>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</si>
  <si>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</si>
  <si>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</si>
  <si>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</si>
  <si>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</si>
  <si>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</si>
  <si>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</si>
  <si>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</si>
  <si>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</si>
  <si>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</si>
  <si>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</si>
  <si>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</si>
  <si>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</si>
  <si>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</si>
  <si>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</si>
  <si>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</si>
  <si>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</si>
  <si>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</si>
  <si>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</si>
  <si>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</si>
  <si>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</si>
  <si>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</si>
  <si>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</si>
  <si>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</si>
  <si>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</si>
  <si>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</si>
  <si>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</si>
  <si>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</si>
  <si>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</si>
  <si>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</si>
  <si>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</si>
  <si>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</si>
  <si>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</si>
  <si>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</si>
  <si>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</si>
  <si>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</si>
  <si>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</si>
  <si>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</si>
  <si>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</si>
  <si>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</si>
  <si>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</si>
  <si>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</si>
  <si>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</si>
  <si>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</si>
  <si>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</si>
  <si>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</si>
  <si>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</si>
  <si>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</si>
  <si>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</si>
  <si>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</si>
  <si>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</si>
  <si>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</si>
  <si>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</si>
  <si>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</si>
  <si>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</si>
  <si>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</si>
  <si>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</si>
  <si>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</si>
  <si>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</si>
  <si>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</si>
  <si>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</si>
  <si>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</si>
  <si>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</si>
  <si>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</si>
  <si>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</si>
  <si>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</si>
  <si>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</si>
  <si>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</si>
  <si>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</si>
  <si>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</si>
  <si>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</si>
  <si>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</si>
  <si>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</si>
  <si>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</si>
  <si>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</si>
  <si>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</si>
  <si>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</si>
  <si>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</si>
  <si>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</si>
  <si>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</si>
  <si>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</si>
  <si>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</si>
  <si>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</si>
  <si>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</si>
  <si>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</si>
  <si>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</si>
  <si>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</si>
  <si>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</si>
  <si>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</si>
  <si>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</si>
  <si>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</si>
  <si>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</si>
  <si>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</si>
  <si>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</si>
  <si>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</si>
  <si>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</si>
  <si>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</si>
  <si>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</si>
  <si>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</si>
  <si>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</si>
  <si>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</si>
  <si>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</si>
  <si>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</si>
  <si>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</si>
  <si>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</si>
  <si>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</si>
  <si>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</si>
  <si>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</si>
  <si>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</si>
  <si>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</si>
  <si>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</si>
  <si>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</si>
  <si>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</si>
  <si>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</si>
  <si>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</si>
  <si>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</si>
  <si>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</si>
  <si>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</si>
  <si>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</si>
  <si>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</si>
  <si>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</si>
  <si>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</si>
  <si>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</si>
  <si>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</si>
  <si>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</si>
  <si>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</si>
  <si>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</si>
  <si>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</si>
  <si>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</si>
  <si>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</si>
  <si>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</si>
  <si>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</si>
  <si>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</si>
  <si>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</si>
  <si>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</si>
  <si>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</si>
  <si>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</si>
  <si>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</si>
  <si>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Laconia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</si>
</sst>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262C-B168-4E4B-A4A7-487131AF73AE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55" sqref="H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285</v>
      </c>
      <c r="C2" s="21">
        <v>285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200</v>
      </c>
      <c r="G9" s="18">
        <v>350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-391174.12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265862.96999999997</v>
      </c>
      <c r="G13" s="18">
        <v>57433.84</v>
      </c>
      <c r="H13" s="18">
        <v>1422296.51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112695.6+1478.1+851.96</f>
        <v>115025.66000000002</v>
      </c>
      <c r="G14" s="18">
        <v>438.1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29280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47390.54</v>
      </c>
      <c r="G17" s="18"/>
      <c r="H17" s="18">
        <v>826.52</v>
      </c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37305.049999999996</v>
      </c>
      <c r="G19" s="41">
        <f>SUM(G9:G18)</f>
        <v>87501.94</v>
      </c>
      <c r="H19" s="41">
        <f>SUM(H9:H18)</f>
        <v>1423123.03</v>
      </c>
      <c r="I19" s="41">
        <f>SUM(I9:I18)</f>
        <v>0</v>
      </c>
      <c r="J19" s="41">
        <f>SUM(J9:J18)</f>
        <v>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f>-1342865.21-78748.24</f>
        <v>-1421613.45</v>
      </c>
      <c r="G23" s="18">
        <v>78748.240000000005</v>
      </c>
      <c r="H23" s="18">
        <v>1342865.21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>
        <v>117.52</v>
      </c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1060092.06+4111.59+64648.1</f>
        <v>1128851.7500000002</v>
      </c>
      <c r="G25" s="18"/>
      <c r="H25" s="18">
        <f>188.21+4711.85</f>
        <v>4900.0600000000004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75236.09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330066.75</v>
      </c>
      <c r="G32" s="18">
        <v>8636.18</v>
      </c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37305.050000000279</v>
      </c>
      <c r="G33" s="41">
        <f>SUM(G23:G32)</f>
        <v>87501.94</v>
      </c>
      <c r="H33" s="41">
        <f>SUM(H23:H32)</f>
        <v>1423001.36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>
        <v>58.77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0</v>
      </c>
      <c r="H41" s="18">
        <v>62.9</v>
      </c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/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0</v>
      </c>
      <c r="G43" s="41">
        <f>SUM(G35:G42)</f>
        <v>0</v>
      </c>
      <c r="H43" s="41">
        <f>SUM(H35:H42)</f>
        <v>121.67</v>
      </c>
      <c r="I43" s="41">
        <f>SUM(I35:I42)</f>
        <v>0</v>
      </c>
      <c r="J43" s="41">
        <f>SUM(J35:J42)</f>
        <v>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37305.050000000279</v>
      </c>
      <c r="G44" s="41">
        <f>G43+G33</f>
        <v>87501.94</v>
      </c>
      <c r="H44" s="41">
        <f>H43+H33</f>
        <v>1423123.03</v>
      </c>
      <c r="I44" s="41">
        <f>I43+I33</f>
        <v>0</v>
      </c>
      <c r="J44" s="41">
        <f>J43+J33</f>
        <v>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15626622.25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15626622.25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>
        <v>14778.96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2665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95582.33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>
        <v>38193.660000000003</v>
      </c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361220.95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25000</v>
      </c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484468.28</v>
      </c>
      <c r="G71" s="45" t="s">
        <v>312</v>
      </c>
      <c r="H71" s="41">
        <f>SUM(H55:H70)</f>
        <v>52972.62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/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453587.51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5729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6850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36795.86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351.2</v>
      </c>
      <c r="G102" s="18"/>
      <c r="H102" s="18">
        <v>261104.96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12930.2</v>
      </c>
      <c r="G103" s="41">
        <f>SUM(G88:G102)</f>
        <v>453587.51</v>
      </c>
      <c r="H103" s="41">
        <f>SUM(H88:H102)</f>
        <v>297900.82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16124020.729999999</v>
      </c>
      <c r="G104" s="41">
        <f>G52+G103</f>
        <v>453587.51</v>
      </c>
      <c r="H104" s="41">
        <f>H52+H71+H86+H103</f>
        <v>350873.44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6460883-226132.63</f>
        <v>6234750.3700000001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4731202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226132.63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>
        <v>29772.89</v>
      </c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11192085.000000002</v>
      </c>
      <c r="G113" s="41">
        <f>SUM(G109:G112)</f>
        <v>29772.89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795040.16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108875.88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680715.4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39001.99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14700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v>127683.94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1599331.44</v>
      </c>
      <c r="G128" s="41">
        <f>SUM(G115:G127)</f>
        <v>39001.99</v>
      </c>
      <c r="H128" s="41">
        <f>SUM(H115:H127)</f>
        <v>127683.94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12791416.440000001</v>
      </c>
      <c r="G132" s="41">
        <f>G113+SUM(G128:G129)</f>
        <v>68774.880000000005</v>
      </c>
      <c r="H132" s="41">
        <f>H113+SUM(H128:H131)</f>
        <v>127683.94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>
        <v>843386.92</v>
      </c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1418502.33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928428.28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170163.53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247662.19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694349.66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271609.77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10543.63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271609.77</v>
      </c>
      <c r="G154" s="41">
        <f>SUM(G142:G153)</f>
        <v>694349.66</v>
      </c>
      <c r="H154" s="41">
        <f>SUM(H142:H153)</f>
        <v>3618686.88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271609.77</v>
      </c>
      <c r="G161" s="41">
        <f>G139+G154+SUM(G155:G160)</f>
        <v>694349.66</v>
      </c>
      <c r="H161" s="41">
        <f>H139+H154+SUM(H155:H160)</f>
        <v>3618686.88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29187046.940000001</v>
      </c>
      <c r="G185" s="47">
        <f>G104+G132+G161+G184</f>
        <v>1216712.05</v>
      </c>
      <c r="H185" s="47">
        <f>H104+H132+H161+H184</f>
        <v>4097244.26</v>
      </c>
      <c r="I185" s="47">
        <f>I104+I132+I161+I184</f>
        <v>0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3015138.1</v>
      </c>
      <c r="G189" s="18">
        <v>1344364.92</v>
      </c>
      <c r="H189" s="18">
        <v>36546.85</v>
      </c>
      <c r="I189" s="18">
        <v>131889.45000000001</v>
      </c>
      <c r="J189" s="18">
        <v>3820.6</v>
      </c>
      <c r="K189" s="18"/>
      <c r="L189" s="19">
        <f>SUM(F189:K189)</f>
        <v>4531759.919999999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1284763.99</v>
      </c>
      <c r="G190" s="18">
        <v>575210.81999999995</v>
      </c>
      <c r="H190" s="18">
        <v>486318.68</v>
      </c>
      <c r="I190" s="18">
        <v>3550.14</v>
      </c>
      <c r="J190" s="18"/>
      <c r="K190" s="18">
        <v>749</v>
      </c>
      <c r="L190" s="19">
        <f>SUM(F190:K190)</f>
        <v>2350592.6300000004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8771.73</v>
      </c>
      <c r="G192" s="18">
        <v>4123.8</v>
      </c>
      <c r="H192" s="18"/>
      <c r="I192" s="18">
        <v>397.84</v>
      </c>
      <c r="J192" s="18"/>
      <c r="K192" s="18"/>
      <c r="L192" s="19">
        <f>SUM(F192:K192)</f>
        <v>13293.369999999999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570256.19999999995</v>
      </c>
      <c r="G194" s="18">
        <v>255182.16</v>
      </c>
      <c r="H194" s="18">
        <v>15911.88</v>
      </c>
      <c r="I194" s="18">
        <v>5361.99</v>
      </c>
      <c r="J194" s="18">
        <v>2975.02</v>
      </c>
      <c r="K194" s="18"/>
      <c r="L194" s="19">
        <f t="shared" ref="L194:L200" si="0">SUM(F194:K194)</f>
        <v>849687.25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222012.6</v>
      </c>
      <c r="G195" s="18">
        <v>133775.63</v>
      </c>
      <c r="H195" s="18">
        <v>42178.46</v>
      </c>
      <c r="I195" s="18">
        <v>44006.92</v>
      </c>
      <c r="J195" s="18">
        <v>63621.93</v>
      </c>
      <c r="K195" s="18"/>
      <c r="L195" s="19">
        <f t="shared" si="0"/>
        <v>505595.54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152598.96</v>
      </c>
      <c r="G196" s="18">
        <v>72185.919999999998</v>
      </c>
      <c r="H196" s="18">
        <v>50525.04</v>
      </c>
      <c r="I196" s="18">
        <v>2949.43</v>
      </c>
      <c r="J196" s="18"/>
      <c r="K196" s="18">
        <v>14926.47</v>
      </c>
      <c r="L196" s="19">
        <f t="shared" si="0"/>
        <v>293185.81999999995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458361.84</v>
      </c>
      <c r="G197" s="18">
        <v>210816.34</v>
      </c>
      <c r="H197" s="18">
        <v>16019.75</v>
      </c>
      <c r="I197" s="18">
        <v>4120.29</v>
      </c>
      <c r="J197" s="18"/>
      <c r="K197" s="18">
        <v>2747</v>
      </c>
      <c r="L197" s="19">
        <f t="shared" si="0"/>
        <v>692065.22000000009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94392.04</v>
      </c>
      <c r="G198" s="18">
        <v>42805.49</v>
      </c>
      <c r="H198" s="18">
        <v>44319.31</v>
      </c>
      <c r="I198" s="18">
        <v>204.45</v>
      </c>
      <c r="J198" s="18"/>
      <c r="K198" s="18"/>
      <c r="L198" s="19">
        <f t="shared" si="0"/>
        <v>181721.29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274078.71000000002</v>
      </c>
      <c r="G199" s="18">
        <v>122339.96</v>
      </c>
      <c r="H199" s="18">
        <v>123450.75</v>
      </c>
      <c r="I199" s="18">
        <v>264819.89</v>
      </c>
      <c r="J199" s="18">
        <v>6987.53</v>
      </c>
      <c r="K199" s="18"/>
      <c r="L199" s="19">
        <f t="shared" si="0"/>
        <v>791676.84000000008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223677.37</v>
      </c>
      <c r="I200" s="18">
        <v>3666.16</v>
      </c>
      <c r="J200" s="18"/>
      <c r="K200" s="18"/>
      <c r="L200" s="19">
        <f t="shared" si="0"/>
        <v>227343.53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6080374.1699999999</v>
      </c>
      <c r="G203" s="41">
        <f t="shared" si="1"/>
        <v>2760805.0399999996</v>
      </c>
      <c r="H203" s="41">
        <f t="shared" si="1"/>
        <v>1038948.09</v>
      </c>
      <c r="I203" s="41">
        <f t="shared" si="1"/>
        <v>460966.56</v>
      </c>
      <c r="J203" s="41">
        <f t="shared" si="1"/>
        <v>77405.08</v>
      </c>
      <c r="K203" s="41">
        <f t="shared" si="1"/>
        <v>18422.47</v>
      </c>
      <c r="L203" s="41">
        <f t="shared" si="1"/>
        <v>10436921.409999998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1993302.45</v>
      </c>
      <c r="G207" s="18">
        <v>889370.25</v>
      </c>
      <c r="H207" s="18">
        <v>37871.75</v>
      </c>
      <c r="I207" s="18">
        <v>72521.97</v>
      </c>
      <c r="J207" s="18">
        <v>26875.599999999999</v>
      </c>
      <c r="K207" s="18"/>
      <c r="L207" s="19">
        <f>SUM(F207:K207)</f>
        <v>3019942.0200000005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677496.11</v>
      </c>
      <c r="G208" s="18">
        <v>302413.36</v>
      </c>
      <c r="H208" s="18">
        <v>108571.96</v>
      </c>
      <c r="I208" s="18">
        <v>8404.07</v>
      </c>
      <c r="J208" s="18">
        <v>994.1</v>
      </c>
      <c r="K208" s="18">
        <v>100</v>
      </c>
      <c r="L208" s="19">
        <f>SUM(F208:K208)</f>
        <v>1097979.6000000001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42861.87</v>
      </c>
      <c r="G210" s="18">
        <v>19244.48</v>
      </c>
      <c r="H210" s="18">
        <v>10400</v>
      </c>
      <c r="I210" s="18">
        <v>5772.97</v>
      </c>
      <c r="J210" s="18"/>
      <c r="K210" s="18"/>
      <c r="L210" s="19">
        <f>SUM(F210:K210)</f>
        <v>78279.320000000007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299031.5</v>
      </c>
      <c r="G212" s="18">
        <v>133776.81</v>
      </c>
      <c r="H212" s="18">
        <v>50020.12</v>
      </c>
      <c r="I212" s="18">
        <v>3164.53</v>
      </c>
      <c r="J212" s="18"/>
      <c r="K212" s="18"/>
      <c r="L212" s="19">
        <f t="shared" ref="L212:L218" si="2">SUM(F212:K212)</f>
        <v>485992.96000000002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110003.56</v>
      </c>
      <c r="G213" s="18">
        <v>66200.53</v>
      </c>
      <c r="H213" s="18">
        <v>18126.919999999998</v>
      </c>
      <c r="I213" s="18">
        <v>17778.3</v>
      </c>
      <c r="J213" s="18">
        <v>16488.650000000001</v>
      </c>
      <c r="K213" s="18"/>
      <c r="L213" s="19">
        <f t="shared" si="2"/>
        <v>228597.96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76299.490000000005</v>
      </c>
      <c r="G214" s="18">
        <v>36436.61</v>
      </c>
      <c r="H214" s="18">
        <v>25262.57</v>
      </c>
      <c r="I214" s="18">
        <v>1474.72</v>
      </c>
      <c r="J214" s="18"/>
      <c r="K214" s="18">
        <v>7463.23</v>
      </c>
      <c r="L214" s="19">
        <f t="shared" si="2"/>
        <v>146936.62000000002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287348.03999999998</v>
      </c>
      <c r="G215" s="18">
        <v>128525.67</v>
      </c>
      <c r="H215" s="18">
        <v>19374.27</v>
      </c>
      <c r="I215" s="18">
        <v>2500</v>
      </c>
      <c r="J215" s="18"/>
      <c r="K215" s="18">
        <v>2106.25</v>
      </c>
      <c r="L215" s="19">
        <f t="shared" si="2"/>
        <v>439854.23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47196.02</v>
      </c>
      <c r="G216" s="18">
        <v>21746.41</v>
      </c>
      <c r="H216" s="18">
        <v>22159.65</v>
      </c>
      <c r="I216" s="18">
        <v>102.23</v>
      </c>
      <c r="J216" s="18"/>
      <c r="K216" s="18"/>
      <c r="L216" s="19">
        <f t="shared" si="2"/>
        <v>91204.309999999983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223326.06</v>
      </c>
      <c r="G217" s="18">
        <v>99658.95</v>
      </c>
      <c r="H217" s="18">
        <v>76753.38</v>
      </c>
      <c r="I217" s="18">
        <v>255527.89</v>
      </c>
      <c r="J217" s="18">
        <v>180.96</v>
      </c>
      <c r="K217" s="18"/>
      <c r="L217" s="19">
        <f t="shared" si="2"/>
        <v>655447.24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119662.48</v>
      </c>
      <c r="I218" s="18">
        <v>1833.08</v>
      </c>
      <c r="J218" s="18"/>
      <c r="K218" s="18"/>
      <c r="L218" s="19">
        <f t="shared" si="2"/>
        <v>121495.56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3756865.1000000006</v>
      </c>
      <c r="G221" s="41">
        <f>SUM(G207:G220)</f>
        <v>1697373.0699999998</v>
      </c>
      <c r="H221" s="41">
        <f>SUM(H207:H220)</f>
        <v>488203.10000000003</v>
      </c>
      <c r="I221" s="41">
        <f>SUM(I207:I220)</f>
        <v>369079.76000000007</v>
      </c>
      <c r="J221" s="41">
        <f>SUM(J207:J220)</f>
        <v>44539.31</v>
      </c>
      <c r="K221" s="41">
        <f t="shared" si="3"/>
        <v>9669.48</v>
      </c>
      <c r="L221" s="41">
        <f t="shared" si="3"/>
        <v>6365729.8200000003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2300099.31</v>
      </c>
      <c r="G225" s="18">
        <v>1026143.57</v>
      </c>
      <c r="H225" s="18">
        <v>46788.34</v>
      </c>
      <c r="I225" s="18">
        <v>112705.91</v>
      </c>
      <c r="J225" s="18">
        <v>40344.78</v>
      </c>
      <c r="K225" s="18"/>
      <c r="L225" s="19">
        <f>SUM(F225:K225)</f>
        <v>3526081.9099999997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764567.32</v>
      </c>
      <c r="G226" s="18">
        <v>342902.36</v>
      </c>
      <c r="H226" s="18">
        <v>464496.44</v>
      </c>
      <c r="I226" s="18">
        <v>1517.6</v>
      </c>
      <c r="J226" s="18">
        <v>1097.06</v>
      </c>
      <c r="K226" s="18">
        <v>619</v>
      </c>
      <c r="L226" s="19">
        <f>SUM(F226:K226)</f>
        <v>1575199.78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1029868.4</v>
      </c>
      <c r="G227" s="18">
        <v>461805.8</v>
      </c>
      <c r="H227" s="18">
        <v>18658.93</v>
      </c>
      <c r="I227" s="18">
        <v>37237.019999999997</v>
      </c>
      <c r="J227" s="18">
        <v>428.49</v>
      </c>
      <c r="K227" s="18">
        <v>80</v>
      </c>
      <c r="L227" s="19">
        <f>SUM(F227:K227)</f>
        <v>1548078.64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152156.16</v>
      </c>
      <c r="G228" s="18">
        <v>68043.02</v>
      </c>
      <c r="H228" s="18">
        <v>62251.360000000001</v>
      </c>
      <c r="I228" s="18">
        <v>13843.2</v>
      </c>
      <c r="J228" s="18"/>
      <c r="K228" s="18"/>
      <c r="L228" s="19">
        <f>SUM(F228:K228)</f>
        <v>296293.74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231414.05</v>
      </c>
      <c r="G230" s="18">
        <v>103775.47</v>
      </c>
      <c r="H230" s="18">
        <v>16155.76</v>
      </c>
      <c r="I230" s="18">
        <v>1844</v>
      </c>
      <c r="J230" s="18"/>
      <c r="K230" s="18">
        <v>120</v>
      </c>
      <c r="L230" s="19">
        <f t="shared" ref="L230:L236" si="4">SUM(F230:K230)</f>
        <v>353309.28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143595.25</v>
      </c>
      <c r="G231" s="18">
        <v>90813.2</v>
      </c>
      <c r="H231" s="18">
        <v>30217.759999999998</v>
      </c>
      <c r="I231" s="18">
        <v>52692.22</v>
      </c>
      <c r="J231" s="18">
        <v>41660.160000000003</v>
      </c>
      <c r="K231" s="18"/>
      <c r="L231" s="19">
        <f t="shared" si="4"/>
        <v>358978.59000000008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193578.38</v>
      </c>
      <c r="G232" s="18">
        <v>89801.52</v>
      </c>
      <c r="H232" s="18">
        <v>39042.080000000002</v>
      </c>
      <c r="I232" s="18">
        <v>2279.11</v>
      </c>
      <c r="J232" s="18"/>
      <c r="K232" s="18">
        <v>11534.09</v>
      </c>
      <c r="L232" s="19">
        <f t="shared" si="4"/>
        <v>336235.18000000005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305092.96000000002</v>
      </c>
      <c r="G233" s="18">
        <f>140086.02</f>
        <v>140086.01999999999</v>
      </c>
      <c r="H233" s="18">
        <v>33265.78</v>
      </c>
      <c r="I233" s="18">
        <v>1600</v>
      </c>
      <c r="J233" s="18"/>
      <c r="K233" s="18">
        <v>4670.3900000000003</v>
      </c>
      <c r="L233" s="19">
        <f t="shared" si="4"/>
        <v>484715.15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72939.3</v>
      </c>
      <c r="G234" s="18">
        <v>32983.24</v>
      </c>
      <c r="H234" s="18">
        <v>34246.74</v>
      </c>
      <c r="I234" s="18">
        <v>157.99</v>
      </c>
      <c r="J234" s="18"/>
      <c r="K234" s="18"/>
      <c r="L234" s="19">
        <f t="shared" si="4"/>
        <v>140327.26999999999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241493.57</v>
      </c>
      <c r="G235" s="18">
        <v>107906.6</v>
      </c>
      <c r="H235" s="18">
        <v>194375.11</v>
      </c>
      <c r="I235" s="18">
        <v>292451.76</v>
      </c>
      <c r="J235" s="18">
        <v>4268.63</v>
      </c>
      <c r="K235" s="18"/>
      <c r="L235" s="19">
        <f t="shared" si="4"/>
        <v>840495.67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>
        <f>0.04-0.04</f>
        <v>0</v>
      </c>
      <c r="H236" s="18">
        <f>252670.47+0.04</f>
        <v>252670.51</v>
      </c>
      <c r="I236" s="18">
        <v>2832.94</v>
      </c>
      <c r="J236" s="18"/>
      <c r="K236" s="18"/>
      <c r="L236" s="19">
        <f t="shared" si="4"/>
        <v>255503.45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5434804.6999999993</v>
      </c>
      <c r="G239" s="41">
        <f t="shared" si="5"/>
        <v>2464260.8000000003</v>
      </c>
      <c r="H239" s="41">
        <f t="shared" si="5"/>
        <v>1192168.81</v>
      </c>
      <c r="I239" s="41">
        <f t="shared" si="5"/>
        <v>519161.75</v>
      </c>
      <c r="J239" s="41">
        <f t="shared" si="5"/>
        <v>87799.12</v>
      </c>
      <c r="K239" s="41">
        <f t="shared" si="5"/>
        <v>17023.48</v>
      </c>
      <c r="L239" s="41">
        <f t="shared" si="5"/>
        <v>9715218.6599999983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132874.54</v>
      </c>
      <c r="G243" s="18">
        <v>61108.07</v>
      </c>
      <c r="H243" s="18">
        <v>6694.93</v>
      </c>
      <c r="I243" s="18">
        <v>17439.84</v>
      </c>
      <c r="J243" s="18">
        <v>1718.69</v>
      </c>
      <c r="K243" s="18">
        <v>3490</v>
      </c>
      <c r="L243" s="19">
        <f t="shared" si="6"/>
        <v>223326.07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45000</v>
      </c>
      <c r="I247" s="18"/>
      <c r="J247" s="18"/>
      <c r="K247" s="18"/>
      <c r="L247" s="19">
        <f t="shared" si="6"/>
        <v>45000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132874.54</v>
      </c>
      <c r="G248" s="41">
        <f t="shared" si="7"/>
        <v>61108.07</v>
      </c>
      <c r="H248" s="41">
        <f t="shared" si="7"/>
        <v>51694.93</v>
      </c>
      <c r="I248" s="41">
        <f t="shared" si="7"/>
        <v>17439.84</v>
      </c>
      <c r="J248" s="41">
        <f t="shared" si="7"/>
        <v>1718.69</v>
      </c>
      <c r="K248" s="41">
        <f t="shared" si="7"/>
        <v>3490</v>
      </c>
      <c r="L248" s="41">
        <f>SUM(F248:K248)</f>
        <v>268326.07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15404918.509999998</v>
      </c>
      <c r="G249" s="41">
        <f t="shared" si="8"/>
        <v>6983546.9800000004</v>
      </c>
      <c r="H249" s="41">
        <f t="shared" si="8"/>
        <v>2771014.93</v>
      </c>
      <c r="I249" s="41">
        <f t="shared" si="8"/>
        <v>1366647.9100000001</v>
      </c>
      <c r="J249" s="41">
        <f t="shared" si="8"/>
        <v>211462.2</v>
      </c>
      <c r="K249" s="41">
        <f t="shared" si="8"/>
        <v>48605.43</v>
      </c>
      <c r="L249" s="41">
        <f t="shared" si="8"/>
        <v>26786195.959999993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1888949.31</v>
      </c>
      <c r="L252" s="19">
        <f>SUM(F252:K252)</f>
        <v>1888949.31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511901.67</v>
      </c>
      <c r="L253" s="19">
        <f>SUM(F253:K253)</f>
        <v>511901.67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2400850.98</v>
      </c>
      <c r="L262" s="41">
        <f t="shared" si="9"/>
        <v>2400850.98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15404918.509999998</v>
      </c>
      <c r="G263" s="42">
        <f t="shared" si="11"/>
        <v>6983546.9800000004</v>
      </c>
      <c r="H263" s="42">
        <f t="shared" si="11"/>
        <v>2771014.93</v>
      </c>
      <c r="I263" s="42">
        <f t="shared" si="11"/>
        <v>1366647.9100000001</v>
      </c>
      <c r="J263" s="42">
        <f t="shared" si="11"/>
        <v>211462.2</v>
      </c>
      <c r="K263" s="42">
        <f t="shared" si="11"/>
        <v>2449456.41</v>
      </c>
      <c r="L263" s="42">
        <f t="shared" si="11"/>
        <v>29187046.939999994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718909.46</f>
        <v>718909.46</v>
      </c>
      <c r="G268" s="18">
        <v>234455.12</v>
      </c>
      <c r="H268" s="18">
        <v>132409.24</v>
      </c>
      <c r="I268" s="18">
        <v>88634.29</v>
      </c>
      <c r="J268" s="18"/>
      <c r="K268" s="18"/>
      <c r="L268" s="19">
        <f>SUM(F268:K268)</f>
        <v>1174408.1099999999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113061.66</v>
      </c>
      <c r="G269" s="18">
        <v>44479.43</v>
      </c>
      <c r="H269" s="18">
        <v>67076.58</v>
      </c>
      <c r="I269" s="18">
        <v>5184.42</v>
      </c>
      <c r="J269" s="18"/>
      <c r="K269" s="18"/>
      <c r="L269" s="19">
        <f>SUM(F269:K269)</f>
        <v>229802.09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6092.73</v>
      </c>
      <c r="G271" s="18"/>
      <c r="H271" s="18"/>
      <c r="I271" s="18"/>
      <c r="J271" s="18"/>
      <c r="K271" s="18"/>
      <c r="L271" s="19">
        <f>SUM(F271:K271)</f>
        <v>6092.73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29126.240000000002</v>
      </c>
      <c r="G273" s="18">
        <v>9962.09</v>
      </c>
      <c r="H273" s="18">
        <v>54721.48</v>
      </c>
      <c r="I273" s="18"/>
      <c r="J273" s="18">
        <v>5333.99</v>
      </c>
      <c r="K273" s="18">
        <v>44</v>
      </c>
      <c r="L273" s="19">
        <f t="shared" ref="L273:L279" si="12">SUM(F273:K273)</f>
        <v>99187.8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3468.34</v>
      </c>
      <c r="G274" s="18"/>
      <c r="H274" s="18">
        <v>106143.07</v>
      </c>
      <c r="I274" s="18">
        <v>6072.17</v>
      </c>
      <c r="J274" s="18">
        <v>122142.09</v>
      </c>
      <c r="K274" s="18"/>
      <c r="L274" s="19">
        <f t="shared" si="12"/>
        <v>237825.66999999998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>
        <v>1760</v>
      </c>
      <c r="I275" s="18"/>
      <c r="J275" s="18"/>
      <c r="K275" s="18"/>
      <c r="L275" s="19">
        <f t="shared" si="12"/>
        <v>1760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6561.28</v>
      </c>
      <c r="I279" s="18"/>
      <c r="J279" s="18"/>
      <c r="K279" s="18"/>
      <c r="L279" s="19">
        <f t="shared" si="12"/>
        <v>6561.28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870658.42999999993</v>
      </c>
      <c r="G282" s="42">
        <f t="shared" si="13"/>
        <v>288896.64000000001</v>
      </c>
      <c r="H282" s="42">
        <f t="shared" si="13"/>
        <v>368671.65</v>
      </c>
      <c r="I282" s="42">
        <f t="shared" si="13"/>
        <v>99890.87999999999</v>
      </c>
      <c r="J282" s="42">
        <f t="shared" si="13"/>
        <v>127476.08</v>
      </c>
      <c r="K282" s="42">
        <f t="shared" si="13"/>
        <v>44</v>
      </c>
      <c r="L282" s="41">
        <f t="shared" si="13"/>
        <v>1755637.68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237608.12</v>
      </c>
      <c r="G287" s="18">
        <v>67286.28</v>
      </c>
      <c r="H287" s="18">
        <v>66251.16</v>
      </c>
      <c r="I287" s="18">
        <v>39734.870000000003</v>
      </c>
      <c r="J287" s="18"/>
      <c r="K287" s="18"/>
      <c r="L287" s="19">
        <f>SUM(F287:K287)</f>
        <v>410880.43000000005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56530.84</v>
      </c>
      <c r="G288" s="18">
        <v>22239.72</v>
      </c>
      <c r="H288" s="18">
        <v>33538.29</v>
      </c>
      <c r="I288" s="18">
        <v>1318.19</v>
      </c>
      <c r="J288" s="18"/>
      <c r="K288" s="18"/>
      <c r="L288" s="19">
        <f>SUM(F288:K288)</f>
        <v>113627.04000000001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3046.36</v>
      </c>
      <c r="G290" s="18"/>
      <c r="H290" s="18"/>
      <c r="I290" s="18"/>
      <c r="J290" s="18"/>
      <c r="K290" s="18"/>
      <c r="L290" s="19">
        <f>SUM(F290:K290)</f>
        <v>3046.36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14563.12</v>
      </c>
      <c r="G292" s="18">
        <v>4981.05</v>
      </c>
      <c r="H292" s="18">
        <v>27360.74</v>
      </c>
      <c r="I292" s="18"/>
      <c r="J292" s="18"/>
      <c r="K292" s="18">
        <v>22</v>
      </c>
      <c r="L292" s="19">
        <f t="shared" ref="L292:L298" si="14">SUM(F292:K292)</f>
        <v>46926.91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1734.18</v>
      </c>
      <c r="G293" s="18"/>
      <c r="H293" s="18">
        <v>46685.63</v>
      </c>
      <c r="I293" s="18">
        <v>3036.11</v>
      </c>
      <c r="J293" s="18">
        <v>28921.64</v>
      </c>
      <c r="K293" s="18"/>
      <c r="L293" s="19">
        <f t="shared" si="14"/>
        <v>80377.56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>
        <v>880</v>
      </c>
      <c r="I294" s="18"/>
      <c r="J294" s="18"/>
      <c r="K294" s="18"/>
      <c r="L294" s="19">
        <f t="shared" si="14"/>
        <v>880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>
        <v>3280.64</v>
      </c>
      <c r="I298" s="18"/>
      <c r="J298" s="18"/>
      <c r="K298" s="18"/>
      <c r="L298" s="19">
        <f t="shared" si="14"/>
        <v>3280.64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313482.61999999994</v>
      </c>
      <c r="G301" s="42">
        <f t="shared" si="15"/>
        <v>94507.05</v>
      </c>
      <c r="H301" s="42">
        <f t="shared" si="15"/>
        <v>177996.46000000002</v>
      </c>
      <c r="I301" s="42">
        <f t="shared" si="15"/>
        <v>44089.170000000006</v>
      </c>
      <c r="J301" s="42">
        <f t="shared" si="15"/>
        <v>28921.64</v>
      </c>
      <c r="K301" s="42">
        <f t="shared" si="15"/>
        <v>22</v>
      </c>
      <c r="L301" s="41">
        <f t="shared" si="15"/>
        <v>659018.94000000006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516915.91</v>
      </c>
      <c r="G306" s="18">
        <v>148442.32</v>
      </c>
      <c r="H306" s="18">
        <v>129921.25</v>
      </c>
      <c r="I306" s="18">
        <v>79152.37</v>
      </c>
      <c r="J306" s="18"/>
      <c r="K306" s="18"/>
      <c r="L306" s="19">
        <f>SUM(F306:K306)</f>
        <v>874431.85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87365.83</v>
      </c>
      <c r="G307" s="18">
        <v>34370.47</v>
      </c>
      <c r="H307" s="18">
        <v>51831.9</v>
      </c>
      <c r="I307" s="18">
        <v>2037.2</v>
      </c>
      <c r="J307" s="18"/>
      <c r="K307" s="18"/>
      <c r="L307" s="19">
        <f>SUM(F307:K307)</f>
        <v>175605.40000000002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35843.5</v>
      </c>
      <c r="G308" s="18">
        <v>10651.66</v>
      </c>
      <c r="H308" s="18">
        <v>8026.7</v>
      </c>
      <c r="I308" s="18">
        <v>25664.27</v>
      </c>
      <c r="J308" s="18">
        <v>71293.61</v>
      </c>
      <c r="K308" s="18">
        <v>1422</v>
      </c>
      <c r="L308" s="19">
        <f>SUM(F308:K308)</f>
        <v>152901.74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4708.01</v>
      </c>
      <c r="G309" s="18"/>
      <c r="H309" s="18"/>
      <c r="I309" s="18"/>
      <c r="J309" s="18"/>
      <c r="K309" s="18"/>
      <c r="L309" s="19">
        <f>SUM(F309:K309)</f>
        <v>4708.01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22506.639999999999</v>
      </c>
      <c r="G311" s="18">
        <v>7755.38</v>
      </c>
      <c r="H311" s="18">
        <v>45274.55</v>
      </c>
      <c r="I311" s="18">
        <v>1000</v>
      </c>
      <c r="J311" s="18"/>
      <c r="K311" s="18">
        <v>34</v>
      </c>
      <c r="L311" s="19">
        <f t="shared" ref="L311:L317" si="16">SUM(F311:K311)</f>
        <v>76570.570000000007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2680.08</v>
      </c>
      <c r="G312" s="18"/>
      <c r="H312" s="18">
        <v>77261.2</v>
      </c>
      <c r="I312" s="18">
        <v>6692.3</v>
      </c>
      <c r="J312" s="18">
        <v>46997.57</v>
      </c>
      <c r="K312" s="18">
        <v>5973.86</v>
      </c>
      <c r="L312" s="19">
        <f t="shared" si="16"/>
        <v>139605.00999999998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>
        <v>1360</v>
      </c>
      <c r="I313" s="18"/>
      <c r="J313" s="18"/>
      <c r="K313" s="18"/>
      <c r="L313" s="19">
        <f t="shared" si="16"/>
        <v>1360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8200.08</v>
      </c>
      <c r="I317" s="18"/>
      <c r="J317" s="18"/>
      <c r="K317" s="18"/>
      <c r="L317" s="19">
        <f t="shared" si="16"/>
        <v>8200.08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670019.97</v>
      </c>
      <c r="G320" s="42">
        <f t="shared" si="17"/>
        <v>201219.83000000002</v>
      </c>
      <c r="H320" s="42">
        <f t="shared" si="17"/>
        <v>321875.68000000005</v>
      </c>
      <c r="I320" s="42">
        <f t="shared" si="17"/>
        <v>114546.14</v>
      </c>
      <c r="J320" s="42">
        <f t="shared" si="17"/>
        <v>118291.18</v>
      </c>
      <c r="K320" s="42">
        <f t="shared" si="17"/>
        <v>7429.86</v>
      </c>
      <c r="L320" s="41">
        <f t="shared" si="17"/>
        <v>1433382.6600000001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178433</v>
      </c>
      <c r="G325" s="18">
        <v>18001.400000000001</v>
      </c>
      <c r="H325" s="18">
        <v>24509.26</v>
      </c>
      <c r="I325" s="18">
        <v>20208.54</v>
      </c>
      <c r="J325" s="18">
        <v>7499.99</v>
      </c>
      <c r="K325" s="18">
        <v>115</v>
      </c>
      <c r="L325" s="19">
        <f t="shared" si="18"/>
        <v>248767.19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178433</v>
      </c>
      <c r="G329" s="41">
        <f t="shared" si="19"/>
        <v>18001.400000000001</v>
      </c>
      <c r="H329" s="41">
        <f t="shared" si="19"/>
        <v>24509.26</v>
      </c>
      <c r="I329" s="41">
        <f t="shared" si="19"/>
        <v>20208.54</v>
      </c>
      <c r="J329" s="41">
        <f t="shared" si="19"/>
        <v>7499.99</v>
      </c>
      <c r="K329" s="41">
        <f t="shared" si="19"/>
        <v>115</v>
      </c>
      <c r="L329" s="41">
        <f t="shared" si="18"/>
        <v>248767.19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2032594.0199999998</v>
      </c>
      <c r="G330" s="41">
        <f t="shared" si="20"/>
        <v>602624.92000000004</v>
      </c>
      <c r="H330" s="41">
        <f t="shared" si="20"/>
        <v>893053.05000000016</v>
      </c>
      <c r="I330" s="41">
        <f t="shared" si="20"/>
        <v>278734.73</v>
      </c>
      <c r="J330" s="41">
        <f t="shared" si="20"/>
        <v>282188.89</v>
      </c>
      <c r="K330" s="41">
        <f t="shared" si="20"/>
        <v>7610.86</v>
      </c>
      <c r="L330" s="41">
        <f t="shared" si="20"/>
        <v>4096806.47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>
        <v>437.79</v>
      </c>
      <c r="L342" s="19">
        <f t="shared" si="21"/>
        <v>437.79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437.79</v>
      </c>
      <c r="L343" s="41">
        <f>SUM(L333:L342)</f>
        <v>437.79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2032594.0199999998</v>
      </c>
      <c r="G344" s="41">
        <f>G330</f>
        <v>602624.92000000004</v>
      </c>
      <c r="H344" s="41">
        <f>H330</f>
        <v>893053.05000000016</v>
      </c>
      <c r="I344" s="41">
        <f>I330</f>
        <v>278734.73</v>
      </c>
      <c r="J344" s="41">
        <f>J330</f>
        <v>282188.89</v>
      </c>
      <c r="K344" s="47">
        <f>K330+K343</f>
        <v>8048.65</v>
      </c>
      <c r="L344" s="41">
        <f>L330+L343</f>
        <v>4097244.2600000002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184429.19</v>
      </c>
      <c r="G350" s="18">
        <v>85297.36</v>
      </c>
      <c r="H350" s="18">
        <v>20471.89</v>
      </c>
      <c r="I350" s="18">
        <v>266351.18</v>
      </c>
      <c r="J350" s="18">
        <v>4665.75</v>
      </c>
      <c r="K350" s="18"/>
      <c r="L350" s="13">
        <f>SUM(F350:K350)</f>
        <v>561215.37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128569.08</v>
      </c>
      <c r="G351" s="18">
        <v>49389.15</v>
      </c>
      <c r="H351" s="18">
        <v>3950.98</v>
      </c>
      <c r="I351" s="18">
        <v>158974.12</v>
      </c>
      <c r="J351" s="18">
        <v>565.03</v>
      </c>
      <c r="K351" s="18"/>
      <c r="L351" s="19">
        <f>SUM(F351:K351)</f>
        <v>341448.36000000004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114474.62</v>
      </c>
      <c r="G352" s="18">
        <v>36642.910000000003</v>
      </c>
      <c r="H352" s="18">
        <v>8919.6</v>
      </c>
      <c r="I352" s="18">
        <v>187084.76</v>
      </c>
      <c r="J352" s="18">
        <v>7655.93</v>
      </c>
      <c r="K352" s="18"/>
      <c r="L352" s="19">
        <f>SUM(F352:K352)</f>
        <v>354777.82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427472.89</v>
      </c>
      <c r="G354" s="47">
        <f t="shared" si="22"/>
        <v>171329.42</v>
      </c>
      <c r="H354" s="47">
        <f t="shared" si="22"/>
        <v>33342.47</v>
      </c>
      <c r="I354" s="47">
        <f t="shared" si="22"/>
        <v>612410.06000000006</v>
      </c>
      <c r="J354" s="47">
        <f t="shared" si="22"/>
        <v>12886.71</v>
      </c>
      <c r="K354" s="47">
        <f t="shared" si="22"/>
        <v>0</v>
      </c>
      <c r="L354" s="47">
        <f t="shared" si="22"/>
        <v>1257441.55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247878.23</v>
      </c>
      <c r="G359" s="18">
        <v>142561.79999999999</v>
      </c>
      <c r="H359" s="18">
        <v>175395.34</v>
      </c>
      <c r="I359" s="56">
        <f>SUM(F359:H359)</f>
        <v>565835.37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18472.95</v>
      </c>
      <c r="G360" s="63">
        <v>16412.32</v>
      </c>
      <c r="H360" s="63">
        <v>11689.42</v>
      </c>
      <c r="I360" s="56">
        <f>SUM(F360:H360)</f>
        <v>46574.69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266351.18</v>
      </c>
      <c r="G361" s="47">
        <f>SUM(G359:G360)</f>
        <v>158974.12</v>
      </c>
      <c r="H361" s="47">
        <f>SUM(H359:H360)</f>
        <v>187084.76</v>
      </c>
      <c r="I361" s="47">
        <f>SUM(I359:I360)</f>
        <v>612410.06000000006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0</v>
      </c>
      <c r="I438" s="13">
        <f>SUM(I431:I437)</f>
        <v>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0</v>
      </c>
      <c r="I450" s="83">
        <f>SUM(I446:I449)</f>
        <v>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0</v>
      </c>
      <c r="I451" s="42">
        <f>I444+I450</f>
        <v>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/>
      <c r="G455" s="18"/>
      <c r="H455" s="18">
        <v>121.67</v>
      </c>
      <c r="I455" s="18"/>
      <c r="J455" s="18"/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29187046.940000001</v>
      </c>
      <c r="G458" s="18">
        <v>1216712.05</v>
      </c>
      <c r="H458" s="18">
        <v>4097244.26</v>
      </c>
      <c r="I458" s="18"/>
      <c r="J458" s="18"/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29187046.940000001</v>
      </c>
      <c r="G460" s="53">
        <f>SUM(G458:G459)</f>
        <v>1216712.05</v>
      </c>
      <c r="H460" s="53">
        <f>SUM(H458:H459)</f>
        <v>4097244.26</v>
      </c>
      <c r="I460" s="53">
        <f>SUM(I458:I459)</f>
        <v>0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29187046.940000001</v>
      </c>
      <c r="G462" s="18">
        <v>1257441.55</v>
      </c>
      <c r="H462" s="18">
        <v>4097244.26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>
        <v>-40729.5</v>
      </c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29187046.940000001</v>
      </c>
      <c r="G464" s="53">
        <f>SUM(G462:G463)</f>
        <v>1216712.05</v>
      </c>
      <c r="H464" s="53">
        <f>SUM(H462:H463)</f>
        <v>4097244.26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0</v>
      </c>
      <c r="G466" s="53">
        <f>(G455+G460)- G464</f>
        <v>0</v>
      </c>
      <c r="H466" s="53">
        <f>(H455+H460)- H464</f>
        <v>121.66999999992549</v>
      </c>
      <c r="I466" s="53">
        <f>(I455+I460)- I464</f>
        <v>0</v>
      </c>
      <c r="J466" s="53">
        <f>(J455+J460)- J464</f>
        <v>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113061.66+1284763.99-72252</f>
        <v>1325573.6499999999</v>
      </c>
      <c r="G511" s="18">
        <f>44479.43+575210.82-(72252*0.39)</f>
        <v>591511.97</v>
      </c>
      <c r="H511" s="18">
        <f>67076.58+486318.68-1150</f>
        <v>552245.26</v>
      </c>
      <c r="I511" s="18">
        <f>5184.42+3550.14</f>
        <v>8734.56</v>
      </c>
      <c r="J511" s="18"/>
      <c r="K511" s="18"/>
      <c r="L511" s="88">
        <f>SUM(F511:K511)</f>
        <v>2478065.44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677496.11+56530.84-72252</f>
        <v>661774.94999999995</v>
      </c>
      <c r="G512" s="18">
        <f>22239.72+302413.36-(72252*0.39)</f>
        <v>296474.79999999993</v>
      </c>
      <c r="H512" s="18">
        <f>33538.29+108571.96-1150</f>
        <v>140960.25</v>
      </c>
      <c r="I512" s="18">
        <f>1318.19+8404.07</f>
        <v>9722.26</v>
      </c>
      <c r="J512" s="18">
        <v>994.1</v>
      </c>
      <c r="K512" s="18"/>
      <c r="L512" s="88">
        <f>SUM(F512:K512)</f>
        <v>1109926.3600000001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87365.83+764567.32-71975.18</f>
        <v>779957.97</v>
      </c>
      <c r="G513" s="18">
        <f>34370.37+342902.36-(71975.18*0.39)</f>
        <v>349202.40979999996</v>
      </c>
      <c r="H513" s="18">
        <f>51831.9+464496.44-1150</f>
        <v>515178.34</v>
      </c>
      <c r="I513" s="18">
        <f>2037.2+1517.6</f>
        <v>3554.8</v>
      </c>
      <c r="J513" s="18">
        <v>1097.06</v>
      </c>
      <c r="K513" s="18"/>
      <c r="L513" s="88">
        <f>SUM(F513:K513)</f>
        <v>1648990.5798000002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2767306.57</v>
      </c>
      <c r="G514" s="108">
        <f t="shared" ref="G514:L514" si="35">SUM(G511:G513)</f>
        <v>1237189.1797999998</v>
      </c>
      <c r="H514" s="108">
        <f t="shared" si="35"/>
        <v>1208383.8500000001</v>
      </c>
      <c r="I514" s="108">
        <f t="shared" si="35"/>
        <v>22011.62</v>
      </c>
      <c r="J514" s="108">
        <f t="shared" si="35"/>
        <v>2091.16</v>
      </c>
      <c r="K514" s="108">
        <f t="shared" si="35"/>
        <v>0</v>
      </c>
      <c r="L514" s="89">
        <f t="shared" si="35"/>
        <v>5236982.3798000002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224414.2</f>
        <v>224414.2</v>
      </c>
      <c r="G516" s="18">
        <f>(F516*0.39)</f>
        <v>87521.538</v>
      </c>
      <c r="H516" s="18">
        <f>43589.13+4000</f>
        <v>47589.13</v>
      </c>
      <c r="I516" s="18">
        <f>1461.89+952.06</f>
        <v>2413.9499999999998</v>
      </c>
      <c r="J516" s="18">
        <f>2975.02</f>
        <v>2975.02</v>
      </c>
      <c r="K516" s="18"/>
      <c r="L516" s="88">
        <f>SUM(F516:K516)</f>
        <v>364913.83800000005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37260</v>
      </c>
      <c r="G517" s="18">
        <f>(F517*0.39)</f>
        <v>14531.4</v>
      </c>
      <c r="H517" s="18">
        <f>41287+21794.57</f>
        <v>63081.57</v>
      </c>
      <c r="I517" s="18">
        <f>706+476.03</f>
        <v>1182.03</v>
      </c>
      <c r="J517" s="18"/>
      <c r="K517" s="18"/>
      <c r="L517" s="88">
        <f>SUM(F517:K517)</f>
        <v>116055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24840</v>
      </c>
      <c r="G518" s="18">
        <f>(F518*0.39)</f>
        <v>9687.6</v>
      </c>
      <c r="H518" s="18">
        <f>3999.62+38000.78</f>
        <v>42000.4</v>
      </c>
      <c r="I518" s="18">
        <f>475.59+435.69</f>
        <v>911.28</v>
      </c>
      <c r="J518" s="18"/>
      <c r="K518" s="18"/>
      <c r="L518" s="88">
        <f>SUM(F518:K518)</f>
        <v>77439.28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286514.2</v>
      </c>
      <c r="G519" s="89">
        <f t="shared" ref="G519:L519" si="36">SUM(G516:G518)</f>
        <v>111740.538</v>
      </c>
      <c r="H519" s="89">
        <f t="shared" si="36"/>
        <v>152671.1</v>
      </c>
      <c r="I519" s="89">
        <f t="shared" si="36"/>
        <v>4507.2599999999993</v>
      </c>
      <c r="J519" s="89">
        <f t="shared" si="36"/>
        <v>2975.02</v>
      </c>
      <c r="K519" s="89">
        <f t="shared" si="36"/>
        <v>0</v>
      </c>
      <c r="L519" s="89">
        <f t="shared" si="36"/>
        <v>558408.11800000002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72252</v>
      </c>
      <c r="G521" s="18">
        <f>F521*0.39</f>
        <v>28178.280000000002</v>
      </c>
      <c r="H521" s="18">
        <v>1150</v>
      </c>
      <c r="I521" s="18"/>
      <c r="J521" s="18"/>
      <c r="K521" s="18">
        <v>749</v>
      </c>
      <c r="L521" s="88">
        <f>SUM(F521:K521)</f>
        <v>102329.28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72252</v>
      </c>
      <c r="G522" s="18">
        <f>F522*0.39</f>
        <v>28178.280000000002</v>
      </c>
      <c r="H522" s="18">
        <v>1150</v>
      </c>
      <c r="I522" s="18"/>
      <c r="J522" s="18"/>
      <c r="K522" s="18">
        <v>100</v>
      </c>
      <c r="L522" s="88">
        <f>SUM(F522:K522)</f>
        <v>101680.28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71975.179999999993</v>
      </c>
      <c r="G523" s="18">
        <f>F523*0.39</f>
        <v>28070.320199999998</v>
      </c>
      <c r="H523" s="18">
        <v>1150</v>
      </c>
      <c r="I523" s="18"/>
      <c r="J523" s="18"/>
      <c r="K523" s="18">
        <v>619</v>
      </c>
      <c r="L523" s="88">
        <f>SUM(F523:K523)</f>
        <v>101814.50019999999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216479.18</v>
      </c>
      <c r="G524" s="89">
        <f t="shared" ref="G524:L524" si="37">SUM(G521:G523)</f>
        <v>84426.8802</v>
      </c>
      <c r="H524" s="89">
        <f t="shared" si="37"/>
        <v>3450</v>
      </c>
      <c r="I524" s="89">
        <f t="shared" si="37"/>
        <v>0</v>
      </c>
      <c r="J524" s="89">
        <f t="shared" si="37"/>
        <v>0</v>
      </c>
      <c r="K524" s="89">
        <f t="shared" si="37"/>
        <v>1468</v>
      </c>
      <c r="L524" s="89">
        <f t="shared" si="37"/>
        <v>305824.06020000001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6561.28+79510.11</f>
        <v>86071.39</v>
      </c>
      <c r="I531" s="18"/>
      <c r="J531" s="18"/>
      <c r="K531" s="18"/>
      <c r="L531" s="88">
        <f>SUM(F531:K531)</f>
        <v>86071.39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f>3280.64+2957.89+29579.14+4496.96</f>
        <v>40314.629999999997</v>
      </c>
      <c r="I532" s="18"/>
      <c r="J532" s="18"/>
      <c r="K532" s="18"/>
      <c r="L532" s="88">
        <f>SUM(F532:K532)</f>
        <v>40314.629999999997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f>8200.08+4571.27+45713.2+48181.37</f>
        <v>106665.92</v>
      </c>
      <c r="I533" s="18"/>
      <c r="J533" s="18"/>
      <c r="K533" s="18"/>
      <c r="L533" s="88">
        <f>SUM(F533:K533)</f>
        <v>106665.92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233051.94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233051.94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3270299.95</v>
      </c>
      <c r="G535" s="89">
        <f t="shared" ref="G535:L535" si="40">G514+G519+G524+G529+G534</f>
        <v>1433356.5979999998</v>
      </c>
      <c r="H535" s="89">
        <f t="shared" si="40"/>
        <v>1597556.8900000001</v>
      </c>
      <c r="I535" s="89">
        <f t="shared" si="40"/>
        <v>26518.879999999997</v>
      </c>
      <c r="J535" s="89">
        <f t="shared" si="40"/>
        <v>5066.18</v>
      </c>
      <c r="K535" s="89">
        <f t="shared" si="40"/>
        <v>1468</v>
      </c>
      <c r="L535" s="89">
        <f t="shared" si="40"/>
        <v>6334266.4980000006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2478065.44</v>
      </c>
      <c r="G539" s="87">
        <f>L516</f>
        <v>364913.83800000005</v>
      </c>
      <c r="H539" s="87">
        <f>L521</f>
        <v>102329.28</v>
      </c>
      <c r="I539" s="87">
        <f>L526</f>
        <v>0</v>
      </c>
      <c r="J539" s="87">
        <f>L531</f>
        <v>86071.39</v>
      </c>
      <c r="K539" s="87">
        <f>SUM(F539:J539)</f>
        <v>3031379.9479999999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1109926.3600000001</v>
      </c>
      <c r="G540" s="87">
        <f>L517</f>
        <v>116055</v>
      </c>
      <c r="H540" s="87">
        <f>L522</f>
        <v>101680.28</v>
      </c>
      <c r="I540" s="87">
        <f>L527</f>
        <v>0</v>
      </c>
      <c r="J540" s="87">
        <f>L532</f>
        <v>40314.629999999997</v>
      </c>
      <c r="K540" s="87">
        <f>SUM(F540:J540)</f>
        <v>1367976.27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1648990.5798000002</v>
      </c>
      <c r="G541" s="87">
        <f>L518</f>
        <v>77439.28</v>
      </c>
      <c r="H541" s="87">
        <f>L523</f>
        <v>101814.50019999999</v>
      </c>
      <c r="I541" s="87">
        <f>L528</f>
        <v>0</v>
      </c>
      <c r="J541" s="87">
        <f>L533</f>
        <v>106665.92</v>
      </c>
      <c r="K541" s="87">
        <f>SUM(F541:J541)</f>
        <v>1934910.28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5236982.3798000002</v>
      </c>
      <c r="G542" s="89">
        <f t="shared" si="41"/>
        <v>558408.11800000002</v>
      </c>
      <c r="H542" s="89">
        <f t="shared" si="41"/>
        <v>305824.06020000001</v>
      </c>
      <c r="I542" s="89">
        <f t="shared" si="41"/>
        <v>0</v>
      </c>
      <c r="J542" s="89">
        <f t="shared" si="41"/>
        <v>233051.94</v>
      </c>
      <c r="K542" s="89">
        <f t="shared" si="41"/>
        <v>6334266.4980000006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91089.59</v>
      </c>
      <c r="G569" s="18">
        <v>13122.97</v>
      </c>
      <c r="H569" s="18">
        <v>81990.600000000006</v>
      </c>
      <c r="I569" s="87">
        <f t="shared" si="46"/>
        <v>186203.16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201988.45</v>
      </c>
      <c r="G572" s="18">
        <v>9090.27</v>
      </c>
      <c r="H572" s="18">
        <v>346550</v>
      </c>
      <c r="I572" s="87">
        <f t="shared" si="46"/>
        <v>557628.72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143927.26+3666.16</f>
        <v>147593.42000000001</v>
      </c>
      <c r="I581" s="18">
        <f>71963.62+1833.08</f>
        <v>73796.7</v>
      </c>
      <c r="J581" s="18">
        <f>111216.56+2832.94</f>
        <v>114049.5</v>
      </c>
      <c r="K581" s="104">
        <f t="shared" ref="K581:K587" si="47">SUM(H581:J581)</f>
        <v>335439.62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65074.02+14436.09</f>
        <v>79510.11</v>
      </c>
      <c r="I582" s="18">
        <f>32537.03+4496.96</f>
        <v>37033.99</v>
      </c>
      <c r="J582" s="18">
        <f>50284.47+48181.37</f>
        <v>98465.84</v>
      </c>
      <c r="K582" s="104">
        <f t="shared" si="47"/>
        <v>215009.94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8346.57</v>
      </c>
      <c r="J584" s="18">
        <v>38544.46</v>
      </c>
      <c r="K584" s="104">
        <f t="shared" si="47"/>
        <v>46891.03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240</v>
      </c>
      <c r="I585" s="18">
        <f>2058.3</f>
        <v>2058.3000000000002</v>
      </c>
      <c r="J585" s="18">
        <v>4443.6499999999996</v>
      </c>
      <c r="K585" s="104">
        <f t="shared" si="47"/>
        <v>6741.95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>
        <v>260</v>
      </c>
      <c r="J586" s="18"/>
      <c r="K586" s="104">
        <f t="shared" si="47"/>
        <v>260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227343.53000000003</v>
      </c>
      <c r="I588" s="108">
        <f>SUM(I581:I587)</f>
        <v>121495.56000000001</v>
      </c>
      <c r="J588" s="108">
        <f>SUM(J581:J587)</f>
        <v>255503.44999999998</v>
      </c>
      <c r="K588" s="108">
        <f>SUM(K581:K587)</f>
        <v>604342.54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77405.08+127476.08</f>
        <v>204881.16</v>
      </c>
      <c r="I594" s="18">
        <f>44539.31+28921.64</f>
        <v>73460.95</v>
      </c>
      <c r="J594" s="18">
        <f>89517.81+125791.17</f>
        <v>215308.97999999998</v>
      </c>
      <c r="K594" s="104">
        <f>SUM(H594:J594)</f>
        <v>493651.08999999997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204881.16</v>
      </c>
      <c r="I595" s="108">
        <f>SUM(I592:I594)</f>
        <v>73460.95</v>
      </c>
      <c r="J595" s="108">
        <f>SUM(J592:J594)</f>
        <v>215308.97999999998</v>
      </c>
      <c r="K595" s="108">
        <f>SUM(K592:K594)</f>
        <v>493651.08999999997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27526.05</v>
      </c>
      <c r="G601" s="18">
        <v>10735.16</v>
      </c>
      <c r="H601" s="18">
        <v>6305.03</v>
      </c>
      <c r="I601" s="18">
        <v>679.72</v>
      </c>
      <c r="J601" s="18"/>
      <c r="K601" s="18"/>
      <c r="L601" s="88">
        <f>SUM(F601:K601)</f>
        <v>45245.96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13763.03</v>
      </c>
      <c r="G602" s="18">
        <v>5367.58</v>
      </c>
      <c r="H602" s="18">
        <v>3152.52</v>
      </c>
      <c r="I602" s="18">
        <v>339.87</v>
      </c>
      <c r="J602" s="18"/>
      <c r="K602" s="18"/>
      <c r="L602" s="88">
        <f>SUM(F602:K602)</f>
        <v>22623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21270.14</v>
      </c>
      <c r="G603" s="18">
        <v>8295.35</v>
      </c>
      <c r="H603" s="18">
        <v>4872.07</v>
      </c>
      <c r="I603" s="18">
        <v>525.24</v>
      </c>
      <c r="J603" s="18"/>
      <c r="K603" s="18"/>
      <c r="L603" s="88">
        <f>SUM(F603:K603)</f>
        <v>34962.799999999996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62559.22</v>
      </c>
      <c r="G604" s="108">
        <f t="shared" si="48"/>
        <v>24398.09</v>
      </c>
      <c r="H604" s="108">
        <f t="shared" si="48"/>
        <v>14329.619999999999</v>
      </c>
      <c r="I604" s="108">
        <f t="shared" si="48"/>
        <v>1544.83</v>
      </c>
      <c r="J604" s="108">
        <f t="shared" si="48"/>
        <v>0</v>
      </c>
      <c r="K604" s="108">
        <f t="shared" si="48"/>
        <v>0</v>
      </c>
      <c r="L604" s="89">
        <f t="shared" si="48"/>
        <v>102831.75999999998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37305.049999999996</v>
      </c>
      <c r="H607" s="109">
        <f>SUM(F44)</f>
        <v>37305.050000000279</v>
      </c>
      <c r="I607" s="121" t="s">
        <v>100</v>
      </c>
      <c r="J607" s="109">
        <f>G607-H607</f>
        <v>-2.8376234695315361E-10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87501.94</v>
      </c>
      <c r="H608" s="109">
        <f>SUM(G44)</f>
        <v>87501.94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1423123.03</v>
      </c>
      <c r="H609" s="109">
        <f>SUM(H44)</f>
        <v>1423123.03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0</v>
      </c>
      <c r="H611" s="109">
        <f>SUM(J44)</f>
        <v>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0</v>
      </c>
      <c r="H612" s="109">
        <f>F466</f>
        <v>0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121.67</v>
      </c>
      <c r="H614" s="109">
        <f>H466</f>
        <v>121.66999999992549</v>
      </c>
      <c r="I614" s="121" t="s">
        <v>110</v>
      </c>
      <c r="J614" s="109">
        <f t="shared" si="49"/>
        <v>7.4507511271804105E-11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0</v>
      </c>
      <c r="H616" s="109">
        <f>J466</f>
        <v>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29187046.940000001</v>
      </c>
      <c r="H617" s="104">
        <f>SUM(F458)</f>
        <v>29187046.940000001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1216712.05</v>
      </c>
      <c r="H618" s="104">
        <f>SUM(G458)</f>
        <v>1216712.05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4097244.26</v>
      </c>
      <c r="H619" s="104">
        <f>SUM(H458)</f>
        <v>4097244.26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29187046.939999994</v>
      </c>
      <c r="H622" s="104">
        <f>SUM(F462)</f>
        <v>29187046.940000001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4097244.2600000002</v>
      </c>
      <c r="H623" s="104">
        <f>SUM(H462)</f>
        <v>4097244.26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612410.06000000006</v>
      </c>
      <c r="H624" s="104">
        <f>I361</f>
        <v>612410.06000000006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1257441.55</v>
      </c>
      <c r="H625" s="104">
        <f>SUM(G462)</f>
        <v>1257441.55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0</v>
      </c>
      <c r="H632" s="104">
        <f>SUM(I451)</f>
        <v>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604342.54</v>
      </c>
      <c r="H637" s="104">
        <f>L200+L218+L236</f>
        <v>604342.54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493651.08999999997</v>
      </c>
      <c r="H638" s="104">
        <f>(J249+J330)-(J247+J328)</f>
        <v>493651.09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227343.53</v>
      </c>
      <c r="H639" s="104">
        <f>H588</f>
        <v>227343.53000000003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121495.56</v>
      </c>
      <c r="H640" s="104">
        <f>I588</f>
        <v>121495.56000000001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255503.45</v>
      </c>
      <c r="H641" s="104">
        <f>J588</f>
        <v>255503.44999999998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12753774.459999997</v>
      </c>
      <c r="G650" s="19">
        <f>(L221+L301+L351)</f>
        <v>7366197.120000001</v>
      </c>
      <c r="H650" s="19">
        <f>(L239+L320+L352)</f>
        <v>11503379.139999999</v>
      </c>
      <c r="I650" s="19">
        <f>SUM(F650:H650)</f>
        <v>31623350.719999999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202443.03383487579</v>
      </c>
      <c r="G651" s="19">
        <f>(L351/IF(SUM(L350:L352)=0,1,SUM(L350:L352))*(SUM(G89:G102)))</f>
        <v>123168.11974758081</v>
      </c>
      <c r="H651" s="19">
        <f>(L352/IF(SUM(L350:L352)=0,1,SUM(L350:L352))*(SUM(G89:G102)))</f>
        <v>127976.35641754339</v>
      </c>
      <c r="I651" s="19">
        <f>SUM(F651:H651)</f>
        <v>453587.51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233904.81</v>
      </c>
      <c r="G652" s="19">
        <f>(L218+L298)-(J218+J298)</f>
        <v>124776.2</v>
      </c>
      <c r="H652" s="19">
        <f>(L236+L317)-(J236+J317)</f>
        <v>263703.53000000003</v>
      </c>
      <c r="I652" s="19">
        <f>SUM(F652:H652)</f>
        <v>622384.54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543205.16</v>
      </c>
      <c r="G653" s="200">
        <f>SUM(G565:G577)+SUM(I592:I594)+L602</f>
        <v>118297.19</v>
      </c>
      <c r="H653" s="200">
        <f>SUM(H565:H577)+SUM(J592:J594)+L603</f>
        <v>678812.38</v>
      </c>
      <c r="I653" s="19">
        <f>SUM(F653:H653)</f>
        <v>1340314.73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11774221.456165122</v>
      </c>
      <c r="G654" s="19">
        <f>G650-SUM(G651:G653)</f>
        <v>6999955.6102524204</v>
      </c>
      <c r="H654" s="19">
        <f>H650-SUM(H651:H653)</f>
        <v>10432886.873582456</v>
      </c>
      <c r="I654" s="19">
        <f>I650-SUM(I651:I653)</f>
        <v>29207063.939999998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951.49</v>
      </c>
      <c r="G655" s="249">
        <v>512.08000000000004</v>
      </c>
      <c r="H655" s="249">
        <v>666.33</v>
      </c>
      <c r="I655" s="19">
        <f>SUM(F655:H655)</f>
        <v>2129.9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12374.51</v>
      </c>
      <c r="G657" s="19">
        <f>ROUND(G654/G655,2)</f>
        <v>13669.65</v>
      </c>
      <c r="H657" s="19">
        <f>ROUND(H654/H655,2)</f>
        <v>15657.24</v>
      </c>
      <c r="I657" s="19">
        <f>ROUND(I654/I655,2)</f>
        <v>13712.88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95.41</v>
      </c>
      <c r="I660" s="19">
        <f>SUM(F660:H660)</f>
        <v>95.41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12374.51</v>
      </c>
      <c r="G662" s="19">
        <f>ROUND((G654+G659)/(G655+G660),2)</f>
        <v>13669.65</v>
      </c>
      <c r="H662" s="19">
        <f>ROUND((H654+H659)/(H655+H660),2)</f>
        <v>13696.13</v>
      </c>
      <c r="I662" s="19">
        <f>ROUND((I654+I659)/(I655+I660),2)</f>
        <v>13124.94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3E3EE-FA0D-48C1-9A01-271FA5E3E92F}">
  <sheetPr>
    <tabColor indexed="20"/>
  </sheetPr>
  <dimension ref="A1:C52"/>
  <sheetViews>
    <sheetView topLeftCell="A4" workbookViewId="0">
      <selection activeCell="E37" sqref="E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Laconia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8781973.3499999996</v>
      </c>
      <c r="C9" s="230">
        <f>'DOE25'!G189+'DOE25'!G207+'DOE25'!G225+'DOE25'!G268+'DOE25'!G287+'DOE25'!G306</f>
        <v>3710062.4599999995</v>
      </c>
    </row>
    <row r="10" spans="1:3" x14ac:dyDescent="0.2">
      <c r="A10" t="s">
        <v>810</v>
      </c>
      <c r="B10" s="241">
        <f>6978879.27+1205095.13+89780+148655</f>
        <v>8422409.3999999985</v>
      </c>
      <c r="C10" s="241">
        <f>C9-(C11+C12)</f>
        <v>3570551.6473999997</v>
      </c>
    </row>
    <row r="11" spans="1:3" x14ac:dyDescent="0.2">
      <c r="A11" t="s">
        <v>811</v>
      </c>
      <c r="B11" s="241">
        <f>80608.59+79704.89</f>
        <v>160313.47999999998</v>
      </c>
      <c r="C11" s="241">
        <f>B11*0.388</f>
        <v>62201.630239999991</v>
      </c>
    </row>
    <row r="12" spans="1:3" x14ac:dyDescent="0.2">
      <c r="A12" t="s">
        <v>812</v>
      </c>
      <c r="B12" s="241">
        <f>100397+98853.47</f>
        <v>199250.47</v>
      </c>
      <c r="C12" s="241">
        <f>B12*0.388</f>
        <v>77309.182360000006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8781973.3499999996</v>
      </c>
      <c r="C13" s="232">
        <f>SUM(C10:C12)</f>
        <v>3710062.4599999995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2983785.75</v>
      </c>
      <c r="C18" s="230">
        <f>'DOE25'!G190+'DOE25'!G208+'DOE25'!G226+'DOE25'!G269+'DOE25'!G288+'DOE25'!G307</f>
        <v>1321616.1599999999</v>
      </c>
    </row>
    <row r="19" spans="1:3" x14ac:dyDescent="0.2">
      <c r="A19" t="s">
        <v>810</v>
      </c>
      <c r="B19" s="241">
        <f>1489476.43+18295.71</f>
        <v>1507772.14</v>
      </c>
      <c r="C19" s="241">
        <f>C18-(C20+C21)</f>
        <v>748922.87931999983</v>
      </c>
    </row>
    <row r="20" spans="1:3" x14ac:dyDescent="0.2">
      <c r="A20" t="s">
        <v>811</v>
      </c>
      <c r="B20" s="241">
        <f>880909.75+238662.62+2303.18</f>
        <v>1121875.55</v>
      </c>
      <c r="C20" s="241">
        <f>B20*0.388</f>
        <v>435287.71340000001</v>
      </c>
    </row>
    <row r="21" spans="1:3" x14ac:dyDescent="0.2">
      <c r="A21" t="s">
        <v>812</v>
      </c>
      <c r="B21" s="241">
        <f>334050.66+20087.4</f>
        <v>354138.06</v>
      </c>
      <c r="C21" s="241">
        <f>B21*0.388</f>
        <v>137405.56728000002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2983785.75</v>
      </c>
      <c r="C22" s="232">
        <f>SUM(C19:C21)</f>
        <v>1321616.1599999999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1065711.8999999999</v>
      </c>
      <c r="C27" s="235">
        <f>'DOE25'!G191+'DOE25'!G209+'DOE25'!G227+'DOE25'!G270+'DOE25'!G289+'DOE25'!G308</f>
        <v>472457.45999999996</v>
      </c>
    </row>
    <row r="28" spans="1:3" x14ac:dyDescent="0.2">
      <c r="A28" t="s">
        <v>810</v>
      </c>
      <c r="B28" s="241">
        <f>633560.07+65421+60356.5+63665-35880</f>
        <v>787122.57</v>
      </c>
      <c r="C28" s="241">
        <f>C27-(C29+C30)</f>
        <v>364364.79995999997</v>
      </c>
    </row>
    <row r="29" spans="1:3" x14ac:dyDescent="0.2">
      <c r="A29" t="s">
        <v>811</v>
      </c>
      <c r="B29" s="241">
        <f>10978+11142</f>
        <v>22120</v>
      </c>
      <c r="C29" s="241">
        <f>B29*0.388</f>
        <v>8582.56</v>
      </c>
    </row>
    <row r="30" spans="1:3" x14ac:dyDescent="0.2">
      <c r="A30" t="s">
        <v>812</v>
      </c>
      <c r="B30" s="241">
        <f>142216.61+114027.72+225</f>
        <v>256469.33</v>
      </c>
      <c r="C30" s="241">
        <f>B30*0.388</f>
        <v>99510.100040000005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1065711.8999999999</v>
      </c>
      <c r="C31" s="232">
        <f>SUM(C28:C30)</f>
        <v>472457.45999999996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217636.86000000002</v>
      </c>
      <c r="C36" s="236">
        <f>'DOE25'!G192+'DOE25'!G210+'DOE25'!G228+'DOE25'!G271+'DOE25'!G290+'DOE25'!G309</f>
        <v>91411.3</v>
      </c>
    </row>
    <row r="37" spans="1:3" x14ac:dyDescent="0.2">
      <c r="A37" t="s">
        <v>810</v>
      </c>
      <c r="B37" s="241">
        <f>203789.76+13847.1</f>
        <v>217636.86000000002</v>
      </c>
      <c r="C37" s="241">
        <v>91411.3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217636.86000000002</v>
      </c>
      <c r="C40" s="232">
        <f>SUM(C37:C39)</f>
        <v>91411.3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ADB7-AE37-4B8A-8E2F-8DE934EACBC1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Laconia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18037500.93</v>
      </c>
      <c r="D5" s="20">
        <f>SUM('DOE25'!L189:L192)+SUM('DOE25'!L207:L210)+SUM('DOE25'!L225:L228)-F5-G5</f>
        <v>17962392.300000001</v>
      </c>
      <c r="E5" s="244"/>
      <c r="F5" s="256">
        <f>SUM('DOE25'!J189:J192)+SUM('DOE25'!J207:J210)+SUM('DOE25'!J225:J228)</f>
        <v>73560.62999999999</v>
      </c>
      <c r="G5" s="53">
        <f>SUM('DOE25'!K189:K192)+SUM('DOE25'!K207:K210)+SUM('DOE25'!K225:K228)</f>
        <v>1548</v>
      </c>
      <c r="H5" s="260"/>
    </row>
    <row r="6" spans="1:9" x14ac:dyDescent="0.2">
      <c r="A6" s="32">
        <v>2100</v>
      </c>
      <c r="B6" t="s">
        <v>832</v>
      </c>
      <c r="C6" s="246">
        <f t="shared" si="0"/>
        <v>1688989.49</v>
      </c>
      <c r="D6" s="20">
        <f>'DOE25'!L194+'DOE25'!L212+'DOE25'!L230-F6-G6</f>
        <v>1685894.47</v>
      </c>
      <c r="E6" s="244"/>
      <c r="F6" s="256">
        <f>'DOE25'!J194+'DOE25'!J212+'DOE25'!J230</f>
        <v>2975.02</v>
      </c>
      <c r="G6" s="53">
        <f>'DOE25'!K194+'DOE25'!K212+'DOE25'!K230</f>
        <v>120</v>
      </c>
      <c r="H6" s="260"/>
    </row>
    <row r="7" spans="1:9" x14ac:dyDescent="0.2">
      <c r="A7" s="32">
        <v>2200</v>
      </c>
      <c r="B7" t="s">
        <v>865</v>
      </c>
      <c r="C7" s="246">
        <f t="shared" si="0"/>
        <v>1093172.0900000001</v>
      </c>
      <c r="D7" s="20">
        <f>'DOE25'!L195+'DOE25'!L213+'DOE25'!L231-F7-G7</f>
        <v>971401.35000000009</v>
      </c>
      <c r="E7" s="244"/>
      <c r="F7" s="256">
        <f>'DOE25'!J195+'DOE25'!J213+'DOE25'!J231</f>
        <v>121770.74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393709.53999999992</v>
      </c>
      <c r="D8" s="244"/>
      <c r="E8" s="20">
        <f>'DOE25'!L196+'DOE25'!L214+'DOE25'!L232-F8-G8-D9-D11</f>
        <v>359785.74999999994</v>
      </c>
      <c r="F8" s="256">
        <f>'DOE25'!J196+'DOE25'!J214+'DOE25'!J232</f>
        <v>0</v>
      </c>
      <c r="G8" s="53">
        <f>'DOE25'!K196+'DOE25'!K214+'DOE25'!K232</f>
        <v>33923.789999999994</v>
      </c>
      <c r="H8" s="260"/>
    </row>
    <row r="9" spans="1:9" x14ac:dyDescent="0.2">
      <c r="A9" s="32">
        <v>2310</v>
      </c>
      <c r="B9" t="s">
        <v>849</v>
      </c>
      <c r="C9" s="246">
        <f t="shared" si="0"/>
        <v>21472.99</v>
      </c>
      <c r="D9" s="245">
        <v>21472.99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17425</v>
      </c>
      <c r="D10" s="244"/>
      <c r="E10" s="245">
        <v>17425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361175.09</v>
      </c>
      <c r="D11" s="245">
        <v>361175.09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1616634.6</v>
      </c>
      <c r="D12" s="20">
        <f>'DOE25'!L197+'DOE25'!L215+'DOE25'!L233-F12-G12</f>
        <v>1607110.9600000002</v>
      </c>
      <c r="E12" s="244"/>
      <c r="F12" s="256">
        <f>'DOE25'!J197+'DOE25'!J215+'DOE25'!J233</f>
        <v>0</v>
      </c>
      <c r="G12" s="53">
        <f>'DOE25'!K197+'DOE25'!K215+'DOE25'!K233</f>
        <v>9523.64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413252.87</v>
      </c>
      <c r="D13" s="244"/>
      <c r="E13" s="20">
        <f>'DOE25'!L198+'DOE25'!L216+'DOE25'!L234-F13-G13</f>
        <v>413252.87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2287619.75</v>
      </c>
      <c r="D14" s="20">
        <f>'DOE25'!L199+'DOE25'!L217+'DOE25'!L235-F14-G14</f>
        <v>2276182.63</v>
      </c>
      <c r="E14" s="244"/>
      <c r="F14" s="256">
        <f>'DOE25'!J199+'DOE25'!J217+'DOE25'!J235</f>
        <v>11437.119999999999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604342.54</v>
      </c>
      <c r="D15" s="20">
        <f>'DOE25'!L200+'DOE25'!L218+'DOE25'!L236-F15-G15</f>
        <v>604342.54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223326.07</v>
      </c>
      <c r="D17" s="20">
        <f>'DOE25'!L243-F17-G17</f>
        <v>218117.38</v>
      </c>
      <c r="E17" s="244"/>
      <c r="F17" s="256">
        <f>'DOE25'!J243</f>
        <v>1718.69</v>
      </c>
      <c r="G17" s="53">
        <f>'DOE25'!K243</f>
        <v>3490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45000</v>
      </c>
      <c r="D22" s="244"/>
      <c r="E22" s="244"/>
      <c r="F22" s="256">
        <f>'DOE25'!L247+'DOE25'!L328</f>
        <v>45000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2400850.98</v>
      </c>
      <c r="D25" s="244"/>
      <c r="E25" s="244"/>
      <c r="F25" s="259"/>
      <c r="G25" s="257"/>
      <c r="H25" s="258">
        <f>'DOE25'!L252+'DOE25'!L253+'DOE25'!L333+'DOE25'!L334</f>
        <v>2400850.98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691606.18</v>
      </c>
      <c r="D29" s="20">
        <f>'DOE25'!L350+'DOE25'!L351+'DOE25'!L352-'DOE25'!I359-F29-G29</f>
        <v>678719.47000000009</v>
      </c>
      <c r="E29" s="244"/>
      <c r="F29" s="256">
        <f>'DOE25'!J350+'DOE25'!J351+'DOE25'!J352</f>
        <v>12886.71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4096806.47</v>
      </c>
      <c r="D31" s="20">
        <f>'DOE25'!L282+'DOE25'!L301+'DOE25'!L320+'DOE25'!L325+'DOE25'!L326+'DOE25'!L327-F31-G31</f>
        <v>3807006.7200000002</v>
      </c>
      <c r="E31" s="244"/>
      <c r="F31" s="256">
        <f>'DOE25'!J282+'DOE25'!J301+'DOE25'!J320+'DOE25'!J325+'DOE25'!J326+'DOE25'!J327</f>
        <v>282188.89</v>
      </c>
      <c r="G31" s="53">
        <f>'DOE25'!K282+'DOE25'!K301+'DOE25'!K320+'DOE25'!K325+'DOE25'!K326+'DOE25'!K327</f>
        <v>7610.86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30193815.899999995</v>
      </c>
      <c r="E33" s="247">
        <f>SUM(E5:E31)</f>
        <v>790463.61999999988</v>
      </c>
      <c r="F33" s="247">
        <f>SUM(F5:F31)</f>
        <v>551537.80000000005</v>
      </c>
      <c r="G33" s="247">
        <f>SUM(G5:G31)</f>
        <v>56216.289999999994</v>
      </c>
      <c r="H33" s="247">
        <f>SUM(H5:H31)</f>
        <v>2400850.98</v>
      </c>
    </row>
    <row r="35" spans="2:8" ht="12" thickBot="1" x14ac:dyDescent="0.25">
      <c r="B35" s="254" t="s">
        <v>878</v>
      </c>
      <c r="D35" s="255">
        <f>E33</f>
        <v>790463.61999999988</v>
      </c>
      <c r="E35" s="250"/>
    </row>
    <row r="36" spans="2:8" ht="12" thickTop="1" x14ac:dyDescent="0.2">
      <c r="B36" t="s">
        <v>846</v>
      </c>
      <c r="D36" s="20">
        <f>D33</f>
        <v>30193815.899999995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C507-72EB-4810-8D58-477E2408A258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Laconia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200</v>
      </c>
      <c r="D9" s="95">
        <f>'DOE25'!G9</f>
        <v>350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-391174.12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265862.96999999997</v>
      </c>
      <c r="D13" s="95">
        <f>'DOE25'!G13</f>
        <v>57433.84</v>
      </c>
      <c r="E13" s="95">
        <f>'DOE25'!H13</f>
        <v>1422296.51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115025.66000000002</v>
      </c>
      <c r="D14" s="95">
        <f>'DOE25'!G14</f>
        <v>438.1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29280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47390.54</v>
      </c>
      <c r="D17" s="95">
        <f>'DOE25'!G17</f>
        <v>0</v>
      </c>
      <c r="E17" s="95">
        <f>'DOE25'!H17</f>
        <v>826.52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37305.049999999996</v>
      </c>
      <c r="D19" s="41">
        <f>SUM(D9:D18)</f>
        <v>87501.94</v>
      </c>
      <c r="E19" s="41">
        <f>SUM(E9:E18)</f>
        <v>1423123.03</v>
      </c>
      <c r="F19" s="41">
        <f>SUM(F9:F18)</f>
        <v>0</v>
      </c>
      <c r="G19" s="41">
        <f>SUM(G9:G18)</f>
        <v>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-1421613.45</v>
      </c>
      <c r="D22" s="95">
        <f>'DOE25'!G23</f>
        <v>78748.240000000005</v>
      </c>
      <c r="E22" s="95">
        <f>'DOE25'!H23</f>
        <v>1342865.21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117.52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1128851.7500000002</v>
      </c>
      <c r="D24" s="95">
        <f>'DOE25'!G25</f>
        <v>0</v>
      </c>
      <c r="E24" s="95">
        <f>'DOE25'!H25</f>
        <v>4900.0600000000004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75236.09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330066.75</v>
      </c>
      <c r="D31" s="95">
        <f>'DOE25'!G32</f>
        <v>8636.18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37305.050000000279</v>
      </c>
      <c r="D32" s="41">
        <f>SUM(D22:D31)</f>
        <v>87501.94</v>
      </c>
      <c r="E32" s="41">
        <f>SUM(E22:E31)</f>
        <v>1423001.36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58.77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62.9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0</v>
      </c>
      <c r="D42" s="41">
        <f>SUM(D34:D41)</f>
        <v>0</v>
      </c>
      <c r="E42" s="41">
        <f>SUM(E34:E41)</f>
        <v>121.67</v>
      </c>
      <c r="F42" s="41">
        <f>SUM(F34:F41)</f>
        <v>0</v>
      </c>
      <c r="G42" s="41">
        <f>SUM(G34:G41)</f>
        <v>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37305.050000000279</v>
      </c>
      <c r="D43" s="41">
        <f>D42+D32</f>
        <v>87501.94</v>
      </c>
      <c r="E43" s="41">
        <f>E42+E32</f>
        <v>1423123.03</v>
      </c>
      <c r="F43" s="41">
        <f>F42+F32</f>
        <v>0</v>
      </c>
      <c r="G43" s="41">
        <f>G42+G32</f>
        <v>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15626622.25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484468.28</v>
      </c>
      <c r="D49" s="24" t="s">
        <v>312</v>
      </c>
      <c r="E49" s="95">
        <f>'DOE25'!H71</f>
        <v>52972.62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453587.51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12930.2</v>
      </c>
      <c r="D53" s="95">
        <f>SUM('DOE25'!G90:G102)</f>
        <v>0</v>
      </c>
      <c r="E53" s="95">
        <f>SUM('DOE25'!H90:H102)</f>
        <v>297900.82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497398.48000000004</v>
      </c>
      <c r="D54" s="130">
        <f>SUM(D49:D53)</f>
        <v>453587.51</v>
      </c>
      <c r="E54" s="130">
        <f>SUM(E49:E53)</f>
        <v>350873.44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16124020.73</v>
      </c>
      <c r="D55" s="22">
        <f>D48+D54</f>
        <v>453587.51</v>
      </c>
      <c r="E55" s="22">
        <f>E48+E54</f>
        <v>350873.44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6234750.3700000001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4731202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226132.63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29772.89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11192085.000000002</v>
      </c>
      <c r="D62" s="139">
        <f>D61</f>
        <v>29772.89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795040.16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108875.88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680715.4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14700</v>
      </c>
      <c r="D69" s="95">
        <f>SUM('DOE25'!G123:G127)</f>
        <v>39001.99</v>
      </c>
      <c r="E69" s="95">
        <f>SUM('DOE25'!H123:H127)</f>
        <v>127683.94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1599331.44</v>
      </c>
      <c r="D70" s="130">
        <f>SUM(D64:D69)</f>
        <v>39001.99</v>
      </c>
      <c r="E70" s="130">
        <f>SUM(E64:E69)</f>
        <v>127683.94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12791416.440000001</v>
      </c>
      <c r="D73" s="130">
        <f>SUM(D71:D72)+D70+D62</f>
        <v>68774.880000000005</v>
      </c>
      <c r="E73" s="130">
        <f>SUM(E71:E72)+E70+E62</f>
        <v>127683.94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843386.92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271609.77</v>
      </c>
      <c r="D80" s="95">
        <f>SUM('DOE25'!G145:G153)</f>
        <v>694349.66</v>
      </c>
      <c r="E80" s="95">
        <f>SUM('DOE25'!H145:H153)</f>
        <v>2775299.96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271609.77</v>
      </c>
      <c r="D83" s="131">
        <f>SUM(D77:D82)</f>
        <v>694349.66</v>
      </c>
      <c r="E83" s="131">
        <f>SUM(E77:E82)</f>
        <v>3618686.88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29187046.940000001</v>
      </c>
      <c r="D96" s="86">
        <f>D55+D73+D83+D95</f>
        <v>1216712.05</v>
      </c>
      <c r="E96" s="86">
        <f>E55+E73+E83+E95</f>
        <v>4097244.26</v>
      </c>
      <c r="F96" s="86">
        <f>F55+F73+F83+F95</f>
        <v>0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11077783.85</v>
      </c>
      <c r="D101" s="24" t="s">
        <v>312</v>
      </c>
      <c r="E101" s="95">
        <f>('DOE25'!L268)+('DOE25'!L287)+('DOE25'!L306)</f>
        <v>2459720.39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5023772.0100000007</v>
      </c>
      <c r="D102" s="24" t="s">
        <v>312</v>
      </c>
      <c r="E102" s="95">
        <f>('DOE25'!L269)+('DOE25'!L288)+('DOE25'!L307)</f>
        <v>519034.53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1548078.64</v>
      </c>
      <c r="D103" s="24" t="s">
        <v>312</v>
      </c>
      <c r="E103" s="95">
        <f>('DOE25'!L270)+('DOE25'!L289)+('DOE25'!L308)</f>
        <v>152901.74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387866.43</v>
      </c>
      <c r="D104" s="24" t="s">
        <v>312</v>
      </c>
      <c r="E104" s="95">
        <f>+('DOE25'!L271)+('DOE25'!L290)+('DOE25'!L309)</f>
        <v>13847.1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223326.07</v>
      </c>
      <c r="D106" s="24" t="s">
        <v>312</v>
      </c>
      <c r="E106" s="95">
        <f>+ SUM('DOE25'!L325:L327)</f>
        <v>248767.19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18260827</v>
      </c>
      <c r="D107" s="86">
        <f>SUM(D101:D106)</f>
        <v>0</v>
      </c>
      <c r="E107" s="86">
        <f>SUM(E101:E106)</f>
        <v>3394270.95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1688989.49</v>
      </c>
      <c r="D110" s="24" t="s">
        <v>312</v>
      </c>
      <c r="E110" s="95">
        <f>+('DOE25'!L273)+('DOE25'!L292)+('DOE25'!L311)</f>
        <v>222685.28000000003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1093172.0900000001</v>
      </c>
      <c r="D111" s="24" t="s">
        <v>312</v>
      </c>
      <c r="E111" s="95">
        <f>+('DOE25'!L274)+('DOE25'!L293)+('DOE25'!L312)</f>
        <v>457808.24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776357.62</v>
      </c>
      <c r="D112" s="24" t="s">
        <v>312</v>
      </c>
      <c r="E112" s="95">
        <f>+('DOE25'!L275)+('DOE25'!L294)+('DOE25'!L313)</f>
        <v>4000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1616634.6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413252.87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2287619.75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604342.54</v>
      </c>
      <c r="D116" s="24" t="s">
        <v>312</v>
      </c>
      <c r="E116" s="95">
        <f>+('DOE25'!L279)+('DOE25'!L298)+('DOE25'!L317)</f>
        <v>18042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1257441.55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8480368.9600000009</v>
      </c>
      <c r="D120" s="86">
        <f>SUM(D110:D119)</f>
        <v>1257441.55</v>
      </c>
      <c r="E120" s="86">
        <f>SUM(E110:E119)</f>
        <v>702535.52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45000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1888949.31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511901.67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437.79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2445850.98</v>
      </c>
      <c r="D136" s="141">
        <f>SUM(D122:D135)</f>
        <v>0</v>
      </c>
      <c r="E136" s="141">
        <f>SUM(E122:E135)</f>
        <v>437.79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29187046.940000001</v>
      </c>
      <c r="D137" s="86">
        <f>(D107+D120+D136)</f>
        <v>1257441.55</v>
      </c>
      <c r="E137" s="86">
        <f>(E107+E120+E136)</f>
        <v>4097244.2600000002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F92F-62AA-4426-B69C-CFB1B89D104F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Laconia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12375</v>
      </c>
    </row>
    <row r="5" spans="1:4" x14ac:dyDescent="0.2">
      <c r="B5" t="s">
        <v>735</v>
      </c>
      <c r="C5" s="179">
        <f>IF('DOE25'!G655+'DOE25'!G660=0,0,ROUND('DOE25'!G662,0))</f>
        <v>13670</v>
      </c>
    </row>
    <row r="6" spans="1:4" x14ac:dyDescent="0.2">
      <c r="B6" t="s">
        <v>62</v>
      </c>
      <c r="C6" s="179">
        <f>IF('DOE25'!H655+'DOE25'!H660=0,0,ROUND('DOE25'!H662,0))</f>
        <v>13696</v>
      </c>
    </row>
    <row r="7" spans="1:4" x14ac:dyDescent="0.2">
      <c r="B7" t="s">
        <v>736</v>
      </c>
      <c r="C7" s="179">
        <f>IF('DOE25'!I655+'DOE25'!I660=0,0,ROUND('DOE25'!I662,0))</f>
        <v>13125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13537504</v>
      </c>
      <c r="D10" s="182">
        <f>ROUND((C10/$C$28)*100,1)</f>
        <v>42.1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5542807</v>
      </c>
      <c r="D11" s="182">
        <f>ROUND((C11/$C$28)*100,1)</f>
        <v>17.2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1700980</v>
      </c>
      <c r="D12" s="182">
        <f>ROUND((C12/$C$28)*100,1)</f>
        <v>5.3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401714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1911675</v>
      </c>
      <c r="D15" s="182">
        <f t="shared" ref="D15:D27" si="0">ROUND((C15/$C$28)*100,1)</f>
        <v>5.9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1550980</v>
      </c>
      <c r="D16" s="182">
        <f t="shared" si="0"/>
        <v>4.8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780358</v>
      </c>
      <c r="D17" s="182">
        <f t="shared" si="0"/>
        <v>2.4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1616635</v>
      </c>
      <c r="D18" s="182">
        <f t="shared" si="0"/>
        <v>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413253</v>
      </c>
      <c r="D19" s="182">
        <f t="shared" si="0"/>
        <v>1.3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2287620</v>
      </c>
      <c r="D20" s="182">
        <f t="shared" si="0"/>
        <v>7.1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622385</v>
      </c>
      <c r="D21" s="182">
        <f t="shared" si="0"/>
        <v>1.9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472093</v>
      </c>
      <c r="D24" s="182">
        <f t="shared" si="0"/>
        <v>1.5</v>
      </c>
    </row>
    <row r="25" spans="1:4" x14ac:dyDescent="0.2">
      <c r="A25">
        <v>5120</v>
      </c>
      <c r="B25" t="s">
        <v>751</v>
      </c>
      <c r="C25" s="179">
        <f>ROUND('DOE25'!L253+'DOE25'!L334,0)</f>
        <v>511902</v>
      </c>
      <c r="D25" s="182">
        <f t="shared" si="0"/>
        <v>1.6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437.79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803854.49</v>
      </c>
      <c r="D27" s="182">
        <f t="shared" si="0"/>
        <v>2.5</v>
      </c>
    </row>
    <row r="28" spans="1:4" x14ac:dyDescent="0.2">
      <c r="B28" s="187" t="s">
        <v>754</v>
      </c>
      <c r="C28" s="180">
        <f>SUM(C10:C27)</f>
        <v>32154198.279999997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45000</v>
      </c>
    </row>
    <row r="30" spans="1:4" x14ac:dyDescent="0.2">
      <c r="B30" s="187" t="s">
        <v>760</v>
      </c>
      <c r="C30" s="180">
        <f>SUM(C28:C29)</f>
        <v>32199198.279999997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1888949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15626622</v>
      </c>
      <c r="D35" s="182">
        <f t="shared" ref="D35:D40" si="1">ROUND((C35/$C$41)*100,1)</f>
        <v>45.9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848272.16999999993</v>
      </c>
      <c r="D36" s="182">
        <f t="shared" si="1"/>
        <v>2.5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11192085</v>
      </c>
      <c r="D37" s="182">
        <f t="shared" si="1"/>
        <v>32.9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1795790</v>
      </c>
      <c r="D38" s="182">
        <f t="shared" si="1"/>
        <v>5.3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4584646</v>
      </c>
      <c r="D39" s="182">
        <f t="shared" si="1"/>
        <v>13.5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34047415.170000002</v>
      </c>
      <c r="D41" s="184">
        <f>SUM(D35:D40)</f>
        <v>100.1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9BC8-CB96-4A38-8848-5D2847139378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Laconia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C40:FM40"/>
    <mergeCell ref="IC40:IM40"/>
    <mergeCell ref="C43:M43"/>
    <mergeCell ref="AP40:AZ40"/>
    <mergeCell ref="FP40:FZ40"/>
    <mergeCell ref="CC40:CM40"/>
    <mergeCell ref="CP40:CZ40"/>
    <mergeCell ref="DC40:DM40"/>
    <mergeCell ref="EP40:EZ40"/>
    <mergeCell ref="DP40:DZ40"/>
    <mergeCell ref="BC40:BM40"/>
    <mergeCell ref="BP40:BZ40"/>
    <mergeCell ref="DC39:DM39"/>
    <mergeCell ref="DP39:DZ39"/>
    <mergeCell ref="P40:Z40"/>
    <mergeCell ref="AC40:AM40"/>
    <mergeCell ref="IP38:IV38"/>
    <mergeCell ref="EC39:EM39"/>
    <mergeCell ref="P39:Z39"/>
    <mergeCell ref="AC39:AM39"/>
    <mergeCell ref="AP39:AZ39"/>
    <mergeCell ref="CC39:CM39"/>
    <mergeCell ref="CP39:CZ39"/>
    <mergeCell ref="BP39:BZ39"/>
    <mergeCell ref="HP39:HZ39"/>
    <mergeCell ref="GC39:GM39"/>
    <mergeCell ref="GP39:GZ39"/>
    <mergeCell ref="HC38:HM38"/>
    <mergeCell ref="HP38:HZ38"/>
    <mergeCell ref="IC38:IM38"/>
    <mergeCell ref="FP38:FZ38"/>
    <mergeCell ref="CP38:CZ38"/>
    <mergeCell ref="DC38:DM38"/>
    <mergeCell ref="DP38:DZ38"/>
    <mergeCell ref="IP39:IV39"/>
    <mergeCell ref="EP39:EZ39"/>
    <mergeCell ref="FC39:FM39"/>
    <mergeCell ref="FP39:FZ39"/>
    <mergeCell ref="IC39:IM39"/>
    <mergeCell ref="HC39:HM39"/>
    <mergeCell ref="GC38:GM38"/>
    <mergeCell ref="EP32:EZ32"/>
    <mergeCell ref="FP32:FZ32"/>
    <mergeCell ref="GC32:GM32"/>
    <mergeCell ref="GP38:GZ38"/>
    <mergeCell ref="BP38:BZ38"/>
    <mergeCell ref="CC38:CM38"/>
    <mergeCell ref="EC38:EM38"/>
    <mergeCell ref="EP38:EZ38"/>
    <mergeCell ref="FC38:FM38"/>
    <mergeCell ref="HP31:HZ31"/>
    <mergeCell ref="CP32:CZ32"/>
    <mergeCell ref="HP32:HZ32"/>
    <mergeCell ref="DC32:DM32"/>
    <mergeCell ref="DP32:DZ32"/>
    <mergeCell ref="EC32:EM32"/>
    <mergeCell ref="DP31:DZ31"/>
    <mergeCell ref="EP31:EZ31"/>
    <mergeCell ref="FC31:FM31"/>
    <mergeCell ref="FC32:FM32"/>
    <mergeCell ref="CC32:CM32"/>
    <mergeCell ref="GP31:GZ31"/>
    <mergeCell ref="HC31:HM31"/>
    <mergeCell ref="IP32:IV32"/>
    <mergeCell ref="IC30:IM30"/>
    <mergeCell ref="IP30:IV30"/>
    <mergeCell ref="FP30:FZ30"/>
    <mergeCell ref="GC30:GM30"/>
    <mergeCell ref="GP30:GZ30"/>
    <mergeCell ref="HC30:HM30"/>
    <mergeCell ref="HP30:HZ30"/>
    <mergeCell ref="GP32:GZ32"/>
    <mergeCell ref="HC32:HM32"/>
    <mergeCell ref="BC39:BM39"/>
    <mergeCell ref="BP31:BZ31"/>
    <mergeCell ref="CC31:CM31"/>
    <mergeCell ref="CP31:CZ31"/>
    <mergeCell ref="DC31:DM31"/>
    <mergeCell ref="IC32:IM32"/>
    <mergeCell ref="IC31:IM31"/>
    <mergeCell ref="FP31:FZ31"/>
    <mergeCell ref="GC31:GM31"/>
    <mergeCell ref="EC31:EM31"/>
    <mergeCell ref="C37:M37"/>
    <mergeCell ref="C38:M38"/>
    <mergeCell ref="C39:M39"/>
    <mergeCell ref="C40:M40"/>
    <mergeCell ref="FC30:FM30"/>
    <mergeCell ref="CC30:CM30"/>
    <mergeCell ref="CP30:CZ30"/>
    <mergeCell ref="DC30:DM30"/>
    <mergeCell ref="DP30:DZ30"/>
    <mergeCell ref="EC30:EM30"/>
    <mergeCell ref="P32:Z32"/>
    <mergeCell ref="AC32:AM32"/>
    <mergeCell ref="AP32:AZ32"/>
    <mergeCell ref="P38:Z38"/>
    <mergeCell ref="AC38:AM38"/>
    <mergeCell ref="AP38:AZ38"/>
    <mergeCell ref="HC29:HM29"/>
    <mergeCell ref="HP29:HZ29"/>
    <mergeCell ref="IC29:IM29"/>
    <mergeCell ref="IP29:IV29"/>
    <mergeCell ref="BP32:BZ32"/>
    <mergeCell ref="BC38:BM38"/>
    <mergeCell ref="EP30:EZ30"/>
    <mergeCell ref="IP31:IV31"/>
    <mergeCell ref="BC31:BM31"/>
    <mergeCell ref="BC32:BM32"/>
    <mergeCell ref="FC29:FM29"/>
    <mergeCell ref="FP29:FZ29"/>
    <mergeCell ref="C42:M42"/>
    <mergeCell ref="P30:Z30"/>
    <mergeCell ref="AC30:AM30"/>
    <mergeCell ref="AP30:AZ30"/>
    <mergeCell ref="C41:M41"/>
    <mergeCell ref="C33:M33"/>
    <mergeCell ref="BC30:BM30"/>
    <mergeCell ref="BP30:BZ30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C8:M8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18:M18"/>
    <mergeCell ref="C19:M19"/>
    <mergeCell ref="A2:E2"/>
    <mergeCell ref="A1:I1"/>
    <mergeCell ref="C3:M3"/>
    <mergeCell ref="C4:M4"/>
    <mergeCell ref="F2:I2"/>
    <mergeCell ref="C5:M5"/>
    <mergeCell ref="C6:M6"/>
    <mergeCell ref="C7:M7"/>
    <mergeCell ref="C62:M62"/>
    <mergeCell ref="C63:M63"/>
    <mergeCell ref="C64:M64"/>
    <mergeCell ref="C65:M65"/>
    <mergeCell ref="C9:M9"/>
    <mergeCell ref="C10:M10"/>
    <mergeCell ref="C11:M11"/>
    <mergeCell ref="C12:M12"/>
    <mergeCell ref="C16:M16"/>
    <mergeCell ref="C17:M17"/>
    <mergeCell ref="C73:M73"/>
    <mergeCell ref="C74:M74"/>
    <mergeCell ref="C13:M13"/>
    <mergeCell ref="C34:M34"/>
    <mergeCell ref="C35:M35"/>
    <mergeCell ref="C36:M36"/>
    <mergeCell ref="C14:M14"/>
    <mergeCell ref="C15:M15"/>
    <mergeCell ref="C20:M20"/>
    <mergeCell ref="C29:M29"/>
    <mergeCell ref="C66:M66"/>
    <mergeCell ref="C67:M67"/>
    <mergeCell ref="C68:M68"/>
    <mergeCell ref="C69:M69"/>
    <mergeCell ref="C70:M70"/>
    <mergeCell ref="A72:E72"/>
    <mergeCell ref="C89:M89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3:M83"/>
    <mergeCell ref="C84:M84"/>
    <mergeCell ref="C85:M85"/>
    <mergeCell ref="C86:M86"/>
    <mergeCell ref="C87:M87"/>
    <mergeCell ref="C88:M88"/>
    <mergeCell ref="C27:M27"/>
    <mergeCell ref="C28:M28"/>
    <mergeCell ref="C21:M21"/>
    <mergeCell ref="C22:M22"/>
    <mergeCell ref="C23:M23"/>
    <mergeCell ref="C24:M24"/>
    <mergeCell ref="C25:M25"/>
    <mergeCell ref="C26:M2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2011-11-04T17:54:26Z</cp:lastPrinted>
  <dcterms:created xsi:type="dcterms:W3CDTF">1997-12-04T19:04:30Z</dcterms:created>
  <dcterms:modified xsi:type="dcterms:W3CDTF">2025-01-10T20:07:52Z</dcterms:modified>
</cp:coreProperties>
</file>