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C05AD0D6-12BB-4582-AB60-8F2111FC2BCC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BB6616BD-F028-4731-8A90-A09B1C48D46B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8" i="1" l="1"/>
  <c r="F113" i="1"/>
  <c r="F128" i="1"/>
  <c r="F132" i="1" s="1"/>
  <c r="G128" i="1"/>
  <c r="C37" i="10"/>
  <c r="C60" i="2"/>
  <c r="C62" i="2" s="1"/>
  <c r="B2" i="13"/>
  <c r="F8" i="13"/>
  <c r="E8" i="13" s="1"/>
  <c r="G8" i="13"/>
  <c r="L196" i="1"/>
  <c r="L214" i="1"/>
  <c r="L232" i="1"/>
  <c r="D39" i="13"/>
  <c r="F13" i="13"/>
  <c r="G13" i="13"/>
  <c r="L198" i="1"/>
  <c r="L216" i="1"/>
  <c r="C19" i="10" s="1"/>
  <c r="L234" i="1"/>
  <c r="E13" i="13"/>
  <c r="C13" i="13" s="1"/>
  <c r="F16" i="13"/>
  <c r="G16" i="13"/>
  <c r="L201" i="1"/>
  <c r="L219" i="1"/>
  <c r="L237" i="1"/>
  <c r="E16" i="13"/>
  <c r="F5" i="13"/>
  <c r="G5" i="13"/>
  <c r="G33" i="13" s="1"/>
  <c r="L189" i="1"/>
  <c r="C10" i="10" s="1"/>
  <c r="L190" i="1"/>
  <c r="C11" i="10" s="1"/>
  <c r="L191" i="1"/>
  <c r="L192" i="1"/>
  <c r="L207" i="1"/>
  <c r="L208" i="1"/>
  <c r="L209" i="1"/>
  <c r="L210" i="1"/>
  <c r="L225" i="1"/>
  <c r="L226" i="1"/>
  <c r="L227" i="1"/>
  <c r="L228" i="1"/>
  <c r="L239" i="1" s="1"/>
  <c r="F6" i="13"/>
  <c r="F33" i="13" s="1"/>
  <c r="G6" i="13"/>
  <c r="L194" i="1"/>
  <c r="L212" i="1"/>
  <c r="L230" i="1"/>
  <c r="F7" i="13"/>
  <c r="G7" i="13"/>
  <c r="L195" i="1"/>
  <c r="L213" i="1"/>
  <c r="L231" i="1"/>
  <c r="C111" i="2" s="1"/>
  <c r="C120" i="2" s="1"/>
  <c r="F12" i="13"/>
  <c r="D12" i="13" s="1"/>
  <c r="C12" i="13" s="1"/>
  <c r="G12" i="13"/>
  <c r="L197" i="1"/>
  <c r="L215" i="1"/>
  <c r="L233" i="1"/>
  <c r="F14" i="13"/>
  <c r="G14" i="13"/>
  <c r="L199" i="1"/>
  <c r="L217" i="1"/>
  <c r="L235" i="1"/>
  <c r="D14" i="13" s="1"/>
  <c r="C14" i="13" s="1"/>
  <c r="F15" i="13"/>
  <c r="D15" i="13" s="1"/>
  <c r="C15" i="13" s="1"/>
  <c r="G15" i="13"/>
  <c r="L200" i="1"/>
  <c r="L218" i="1"/>
  <c r="L236" i="1"/>
  <c r="F17" i="13"/>
  <c r="D17" i="13" s="1"/>
  <c r="C17" i="13" s="1"/>
  <c r="G17" i="13"/>
  <c r="L243" i="1"/>
  <c r="F18" i="13"/>
  <c r="G18" i="13"/>
  <c r="L244" i="1"/>
  <c r="D18" i="13" s="1"/>
  <c r="C18" i="13" s="1"/>
  <c r="F19" i="13"/>
  <c r="G19" i="13"/>
  <c r="L245" i="1"/>
  <c r="D19" i="13"/>
  <c r="C19" i="13" s="1"/>
  <c r="F29" i="13"/>
  <c r="G29" i="13"/>
  <c r="L350" i="1"/>
  <c r="L351" i="1"/>
  <c r="L354" i="1" s="1"/>
  <c r="L352" i="1"/>
  <c r="F651" i="1" s="1"/>
  <c r="I359" i="1"/>
  <c r="D29" i="13"/>
  <c r="C29" i="13" s="1"/>
  <c r="J282" i="1"/>
  <c r="J301" i="1"/>
  <c r="J320" i="1"/>
  <c r="F31" i="13"/>
  <c r="K282" i="1"/>
  <c r="G31" i="13" s="1"/>
  <c r="K301" i="1"/>
  <c r="K320" i="1"/>
  <c r="L268" i="1"/>
  <c r="L269" i="1"/>
  <c r="L282" i="1" s="1"/>
  <c r="L270" i="1"/>
  <c r="C12" i="10" s="1"/>
  <c r="L271" i="1"/>
  <c r="E104" i="2" s="1"/>
  <c r="L273" i="1"/>
  <c r="L274" i="1"/>
  <c r="L275" i="1"/>
  <c r="L276" i="1"/>
  <c r="L277" i="1"/>
  <c r="L278" i="1"/>
  <c r="L279" i="1"/>
  <c r="L280" i="1"/>
  <c r="L287" i="1"/>
  <c r="L288" i="1"/>
  <c r="L289" i="1"/>
  <c r="E103" i="2" s="1"/>
  <c r="L290" i="1"/>
  <c r="L292" i="1"/>
  <c r="L293" i="1"/>
  <c r="L294" i="1"/>
  <c r="L295" i="1"/>
  <c r="L296" i="1"/>
  <c r="L297" i="1"/>
  <c r="L298" i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L318" i="1"/>
  <c r="E117" i="2" s="1"/>
  <c r="L325" i="1"/>
  <c r="E106" i="2" s="1"/>
  <c r="L326" i="1"/>
  <c r="L327" i="1"/>
  <c r="L252" i="1"/>
  <c r="L253" i="1"/>
  <c r="L333" i="1"/>
  <c r="L334" i="1"/>
  <c r="E124" i="2" s="1"/>
  <c r="L247" i="1"/>
  <c r="L328" i="1"/>
  <c r="F22" i="13"/>
  <c r="C22" i="13"/>
  <c r="C16" i="13"/>
  <c r="C11" i="13"/>
  <c r="C10" i="13"/>
  <c r="C9" i="13"/>
  <c r="L353" i="1"/>
  <c r="B4" i="12"/>
  <c r="B36" i="12"/>
  <c r="C36" i="12"/>
  <c r="B40" i="12"/>
  <c r="A40" i="12" s="1"/>
  <c r="C40" i="12"/>
  <c r="B27" i="12"/>
  <c r="C27" i="12"/>
  <c r="B31" i="12"/>
  <c r="C31" i="12"/>
  <c r="A31" i="12"/>
  <c r="B9" i="12"/>
  <c r="B13" i="12"/>
  <c r="C9" i="12"/>
  <c r="C13" i="12"/>
  <c r="A13" i="12"/>
  <c r="B18" i="12"/>
  <c r="B22" i="12"/>
  <c r="C18" i="12"/>
  <c r="C22" i="12"/>
  <c r="A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5" i="2" s="1"/>
  <c r="G51" i="2"/>
  <c r="G53" i="2"/>
  <c r="G54" i="2"/>
  <c r="F2" i="11"/>
  <c r="L603" i="1"/>
  <c r="H653" i="1"/>
  <c r="L602" i="1"/>
  <c r="G653" i="1"/>
  <c r="L601" i="1"/>
  <c r="F653" i="1"/>
  <c r="C40" i="10"/>
  <c r="F52" i="1"/>
  <c r="G52" i="1"/>
  <c r="H52" i="1"/>
  <c r="I52" i="1"/>
  <c r="F71" i="1"/>
  <c r="F86" i="1"/>
  <c r="F103" i="1"/>
  <c r="F104" i="1"/>
  <c r="F185" i="1" s="1"/>
  <c r="G617" i="1" s="1"/>
  <c r="J617" i="1" s="1"/>
  <c r="G103" i="1"/>
  <c r="G104" i="1"/>
  <c r="H71" i="1"/>
  <c r="H86" i="1"/>
  <c r="H103" i="1"/>
  <c r="H104" i="1"/>
  <c r="I103" i="1"/>
  <c r="I104" i="1"/>
  <c r="J103" i="1"/>
  <c r="G113" i="1"/>
  <c r="G132" i="1" s="1"/>
  <c r="H113" i="1"/>
  <c r="H132" i="1" s="1"/>
  <c r="H185" i="1" s="1"/>
  <c r="G619" i="1" s="1"/>
  <c r="J619" i="1" s="1"/>
  <c r="I113" i="1"/>
  <c r="I132" i="1" s="1"/>
  <c r="I185" i="1" s="1"/>
  <c r="G620" i="1" s="1"/>
  <c r="J620" i="1" s="1"/>
  <c r="I128" i="1"/>
  <c r="J113" i="1"/>
  <c r="J128" i="1"/>
  <c r="J132" i="1"/>
  <c r="F139" i="1"/>
  <c r="F161" i="1" s="1"/>
  <c r="F154" i="1"/>
  <c r="G139" i="1"/>
  <c r="G154" i="1"/>
  <c r="G161" i="1" s="1"/>
  <c r="H139" i="1"/>
  <c r="H161" i="1" s="1"/>
  <c r="H154" i="1"/>
  <c r="I139" i="1"/>
  <c r="I154" i="1"/>
  <c r="I161" i="1"/>
  <c r="C15" i="10"/>
  <c r="C18" i="10"/>
  <c r="C20" i="10"/>
  <c r="C21" i="10"/>
  <c r="L242" i="1"/>
  <c r="C23" i="10" s="1"/>
  <c r="L324" i="1"/>
  <c r="L246" i="1"/>
  <c r="L260" i="1"/>
  <c r="L261" i="1"/>
  <c r="L341" i="1"/>
  <c r="E134" i="2" s="1"/>
  <c r="L342" i="1"/>
  <c r="C26" i="10"/>
  <c r="I655" i="1"/>
  <c r="I660" i="1"/>
  <c r="F652" i="1"/>
  <c r="G652" i="1"/>
  <c r="I652" i="1" s="1"/>
  <c r="H652" i="1"/>
  <c r="I653" i="1"/>
  <c r="I659" i="1"/>
  <c r="C6" i="10"/>
  <c r="C5" i="10"/>
  <c r="C42" i="10"/>
  <c r="C32" i="10"/>
  <c r="L366" i="1"/>
  <c r="C29" i="10" s="1"/>
  <c r="L367" i="1"/>
  <c r="L368" i="1"/>
  <c r="L369" i="1"/>
  <c r="F122" i="2" s="1"/>
  <c r="F136" i="2" s="1"/>
  <c r="L370" i="1"/>
  <c r="L374" i="1" s="1"/>
  <c r="G626" i="1" s="1"/>
  <c r="J626" i="1" s="1"/>
  <c r="L371" i="1"/>
  <c r="L372" i="1"/>
  <c r="B2" i="10"/>
  <c r="L336" i="1"/>
  <c r="L337" i="1"/>
  <c r="E127" i="2" s="1"/>
  <c r="L338" i="1"/>
  <c r="L339" i="1"/>
  <c r="K343" i="1"/>
  <c r="L511" i="1"/>
  <c r="F539" i="1" s="1"/>
  <c r="L512" i="1"/>
  <c r="F540" i="1"/>
  <c r="K540" i="1" s="1"/>
  <c r="L513" i="1"/>
  <c r="F541" i="1" s="1"/>
  <c r="L516" i="1"/>
  <c r="G539" i="1"/>
  <c r="G542" i="1" s="1"/>
  <c r="L517" i="1"/>
  <c r="G540" i="1"/>
  <c r="L518" i="1"/>
  <c r="G541" i="1"/>
  <c r="L521" i="1"/>
  <c r="H539" i="1"/>
  <c r="L522" i="1"/>
  <c r="H540" i="1" s="1"/>
  <c r="H542" i="1" s="1"/>
  <c r="L523" i="1"/>
  <c r="H541" i="1"/>
  <c r="L526" i="1"/>
  <c r="I539" i="1"/>
  <c r="I542" i="1" s="1"/>
  <c r="L527" i="1"/>
  <c r="I540" i="1"/>
  <c r="L528" i="1"/>
  <c r="I541" i="1"/>
  <c r="L531" i="1"/>
  <c r="J539" i="1" s="1"/>
  <c r="L532" i="1"/>
  <c r="J540" i="1"/>
  <c r="L533" i="1"/>
  <c r="L534" i="1" s="1"/>
  <c r="E123" i="2"/>
  <c r="K262" i="1"/>
  <c r="J262" i="1"/>
  <c r="I262" i="1"/>
  <c r="H262" i="1"/>
  <c r="G262" i="1"/>
  <c r="F262" i="1"/>
  <c r="L262" i="1" s="1"/>
  <c r="C124" i="2"/>
  <c r="C123" i="2"/>
  <c r="A1" i="2"/>
  <c r="A2" i="2"/>
  <c r="C9" i="2"/>
  <c r="D9" i="2"/>
  <c r="D19" i="2" s="1"/>
  <c r="E9" i="2"/>
  <c r="F9" i="2"/>
  <c r="F19" i="2" s="1"/>
  <c r="I431" i="1"/>
  <c r="I438" i="1" s="1"/>
  <c r="G632" i="1" s="1"/>
  <c r="J9" i="1"/>
  <c r="C10" i="2"/>
  <c r="D10" i="2"/>
  <c r="E10" i="2"/>
  <c r="F10" i="2"/>
  <c r="I432" i="1"/>
  <c r="J10" i="1"/>
  <c r="G10" i="2" s="1"/>
  <c r="C11" i="2"/>
  <c r="C12" i="2"/>
  <c r="D12" i="2"/>
  <c r="E12" i="2"/>
  <c r="E19" i="2" s="1"/>
  <c r="F12" i="2"/>
  <c r="I433" i="1"/>
  <c r="J12" i="1" s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 s="1"/>
  <c r="C19" i="2"/>
  <c r="C22" i="2"/>
  <c r="D22" i="2"/>
  <c r="E22" i="2"/>
  <c r="F22" i="2"/>
  <c r="I440" i="1"/>
  <c r="J23" i="1"/>
  <c r="G22" i="2" s="1"/>
  <c r="C23" i="2"/>
  <c r="C32" i="2" s="1"/>
  <c r="D23" i="2"/>
  <c r="E23" i="2"/>
  <c r="F23" i="2"/>
  <c r="I441" i="1"/>
  <c r="J24" i="1"/>
  <c r="G23" i="2" s="1"/>
  <c r="C24" i="2"/>
  <c r="D24" i="2"/>
  <c r="E24" i="2"/>
  <c r="E32" i="2" s="1"/>
  <c r="F24" i="2"/>
  <c r="F32" i="2" s="1"/>
  <c r="F43" i="2" s="1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D32" i="2" s="1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C42" i="2" s="1"/>
  <c r="C43" i="2" s="1"/>
  <c r="D34" i="2"/>
  <c r="D42" i="2" s="1"/>
  <c r="E34" i="2"/>
  <c r="E42" i="2" s="1"/>
  <c r="F34" i="2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F42" i="2"/>
  <c r="C48" i="2"/>
  <c r="C55" i="2" s="1"/>
  <c r="D48" i="2"/>
  <c r="E48" i="2"/>
  <c r="F48" i="2"/>
  <c r="C49" i="2"/>
  <c r="E49" i="2"/>
  <c r="E54" i="2" s="1"/>
  <c r="E55" i="2" s="1"/>
  <c r="C50" i="2"/>
  <c r="E50" i="2"/>
  <c r="C51" i="2"/>
  <c r="D51" i="2"/>
  <c r="D54" i="2" s="1"/>
  <c r="D55" i="2" s="1"/>
  <c r="E51" i="2"/>
  <c r="F51" i="2"/>
  <c r="F54" i="2" s="1"/>
  <c r="F55" i="2" s="1"/>
  <c r="D52" i="2"/>
  <c r="C53" i="2"/>
  <c r="D53" i="2"/>
  <c r="E53" i="2"/>
  <c r="F53" i="2"/>
  <c r="C54" i="2"/>
  <c r="C58" i="2"/>
  <c r="C59" i="2"/>
  <c r="C61" i="2"/>
  <c r="D61" i="2"/>
  <c r="E61" i="2"/>
  <c r="F61" i="2"/>
  <c r="G61" i="2"/>
  <c r="D62" i="2"/>
  <c r="E62" i="2"/>
  <c r="F62" i="2"/>
  <c r="G62" i="2"/>
  <c r="G73" i="2" s="1"/>
  <c r="C64" i="2"/>
  <c r="C70" i="2" s="1"/>
  <c r="F64" i="2"/>
  <c r="C65" i="2"/>
  <c r="F65" i="2"/>
  <c r="C66" i="2"/>
  <c r="C67" i="2"/>
  <c r="C68" i="2"/>
  <c r="E68" i="2"/>
  <c r="F68" i="2"/>
  <c r="F70" i="2" s="1"/>
  <c r="F73" i="2" s="1"/>
  <c r="C69" i="2"/>
  <c r="D69" i="2"/>
  <c r="D70" i="2" s="1"/>
  <c r="D73" i="2" s="1"/>
  <c r="E69" i="2"/>
  <c r="E70" i="2" s="1"/>
  <c r="E73" i="2" s="1"/>
  <c r="F69" i="2"/>
  <c r="G69" i="2"/>
  <c r="G70" i="2"/>
  <c r="C71" i="2"/>
  <c r="D71" i="2"/>
  <c r="E71" i="2"/>
  <c r="C72" i="2"/>
  <c r="E72" i="2"/>
  <c r="C77" i="2"/>
  <c r="D77" i="2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D83" i="2"/>
  <c r="C85" i="2"/>
  <c r="F85" i="2"/>
  <c r="C86" i="2"/>
  <c r="F86" i="2"/>
  <c r="F95" i="2" s="1"/>
  <c r="D88" i="2"/>
  <c r="E88" i="2"/>
  <c r="E95" i="2" s="1"/>
  <c r="F88" i="2"/>
  <c r="G88" i="2"/>
  <c r="G95" i="2" s="1"/>
  <c r="C89" i="2"/>
  <c r="C95" i="2" s="1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C101" i="2"/>
  <c r="E101" i="2"/>
  <c r="E102" i="2"/>
  <c r="C103" i="2"/>
  <c r="C105" i="2"/>
  <c r="E105" i="2"/>
  <c r="D107" i="2"/>
  <c r="F107" i="2"/>
  <c r="G107" i="2"/>
  <c r="C110" i="2"/>
  <c r="E110" i="2"/>
  <c r="E111" i="2"/>
  <c r="E120" i="2" s="1"/>
  <c r="C112" i="2"/>
  <c r="E112" i="2"/>
  <c r="C113" i="2"/>
  <c r="E113" i="2"/>
  <c r="C114" i="2"/>
  <c r="E114" i="2"/>
  <c r="C115" i="2"/>
  <c r="E115" i="2"/>
  <c r="C116" i="2"/>
  <c r="E116" i="2"/>
  <c r="C117" i="2"/>
  <c r="F120" i="2"/>
  <c r="G120" i="2"/>
  <c r="C122" i="2"/>
  <c r="E122" i="2"/>
  <c r="D126" i="2"/>
  <c r="E126" i="2"/>
  <c r="F126" i="2"/>
  <c r="K411" i="1"/>
  <c r="K419" i="1"/>
  <c r="K425" i="1"/>
  <c r="K426" i="1"/>
  <c r="G126" i="2"/>
  <c r="G136" i="2" s="1"/>
  <c r="L255" i="1"/>
  <c r="C127" i="2"/>
  <c r="L256" i="1"/>
  <c r="C128" i="2" s="1"/>
  <c r="L257" i="1"/>
  <c r="C129" i="2"/>
  <c r="E129" i="2"/>
  <c r="C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G149" i="2" s="1"/>
  <c r="D149" i="2"/>
  <c r="E149" i="2"/>
  <c r="F149" i="2"/>
  <c r="B150" i="2"/>
  <c r="G150" i="2" s="1"/>
  <c r="C150" i="2"/>
  <c r="D150" i="2"/>
  <c r="E150" i="2"/>
  <c r="F150" i="2"/>
  <c r="B151" i="2"/>
  <c r="C151" i="2"/>
  <c r="G151" i="2" s="1"/>
  <c r="D151" i="2"/>
  <c r="E151" i="2"/>
  <c r="F151" i="2"/>
  <c r="B152" i="2"/>
  <c r="G152" i="2" s="1"/>
  <c r="C152" i="2"/>
  <c r="D152" i="2"/>
  <c r="E152" i="2"/>
  <c r="F152" i="2"/>
  <c r="F490" i="1"/>
  <c r="B153" i="2"/>
  <c r="G490" i="1"/>
  <c r="C153" i="2"/>
  <c r="H490" i="1"/>
  <c r="D153" i="2"/>
  <c r="I490" i="1"/>
  <c r="E153" i="2" s="1"/>
  <c r="J490" i="1"/>
  <c r="F153" i="2" s="1"/>
  <c r="B154" i="2"/>
  <c r="C154" i="2"/>
  <c r="D154" i="2"/>
  <c r="G154" i="2" s="1"/>
  <c r="E154" i="2"/>
  <c r="F154" i="2"/>
  <c r="B155" i="2"/>
  <c r="G155" i="2" s="1"/>
  <c r="C155" i="2"/>
  <c r="D155" i="2"/>
  <c r="E155" i="2"/>
  <c r="F155" i="2"/>
  <c r="F493" i="1"/>
  <c r="B156" i="2"/>
  <c r="G493" i="1"/>
  <c r="K493" i="1" s="1"/>
  <c r="H493" i="1"/>
  <c r="D156" i="2" s="1"/>
  <c r="I493" i="1"/>
  <c r="E156" i="2"/>
  <c r="J493" i="1"/>
  <c r="F156" i="2"/>
  <c r="F19" i="1"/>
  <c r="G19" i="1"/>
  <c r="H19" i="1"/>
  <c r="I19" i="1"/>
  <c r="G610" i="1" s="1"/>
  <c r="J610" i="1" s="1"/>
  <c r="F33" i="1"/>
  <c r="G33" i="1"/>
  <c r="G44" i="1" s="1"/>
  <c r="H608" i="1" s="1"/>
  <c r="J608" i="1" s="1"/>
  <c r="H33" i="1"/>
  <c r="H44" i="1" s="1"/>
  <c r="H609" i="1" s="1"/>
  <c r="I33" i="1"/>
  <c r="I44" i="1" s="1"/>
  <c r="H610" i="1" s="1"/>
  <c r="F43" i="1"/>
  <c r="F44" i="1" s="1"/>
  <c r="H607" i="1" s="1"/>
  <c r="G43" i="1"/>
  <c r="H43" i="1"/>
  <c r="I43" i="1"/>
  <c r="F169" i="1"/>
  <c r="F184" i="1" s="1"/>
  <c r="I169" i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I184" i="1"/>
  <c r="F203" i="1"/>
  <c r="F249" i="1" s="1"/>
  <c r="F263" i="1" s="1"/>
  <c r="G203" i="1"/>
  <c r="H203" i="1"/>
  <c r="I203" i="1"/>
  <c r="I249" i="1" s="1"/>
  <c r="I263" i="1" s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L248" i="1" s="1"/>
  <c r="K248" i="1"/>
  <c r="G249" i="1"/>
  <c r="H249" i="1"/>
  <c r="H263" i="1" s="1"/>
  <c r="J249" i="1"/>
  <c r="H638" i="1" s="1"/>
  <c r="G263" i="1"/>
  <c r="F282" i="1"/>
  <c r="F330" i="1" s="1"/>
  <c r="F344" i="1" s="1"/>
  <c r="G282" i="1"/>
  <c r="G330" i="1" s="1"/>
  <c r="G344" i="1" s="1"/>
  <c r="H282" i="1"/>
  <c r="I282" i="1"/>
  <c r="F301" i="1"/>
  <c r="G301" i="1"/>
  <c r="H301" i="1"/>
  <c r="H330" i="1" s="1"/>
  <c r="H344" i="1" s="1"/>
  <c r="I301" i="1"/>
  <c r="F320" i="1"/>
  <c r="G320" i="1"/>
  <c r="H320" i="1"/>
  <c r="I320" i="1"/>
  <c r="I330" i="1" s="1"/>
  <c r="I344" i="1" s="1"/>
  <c r="F329" i="1"/>
  <c r="G329" i="1"/>
  <c r="L329" i="1" s="1"/>
  <c r="H329" i="1"/>
  <c r="I329" i="1"/>
  <c r="J329" i="1"/>
  <c r="K329" i="1"/>
  <c r="J330" i="1"/>
  <c r="J344" i="1" s="1"/>
  <c r="K330" i="1"/>
  <c r="K344" i="1" s="1"/>
  <c r="F354" i="1"/>
  <c r="G354" i="1"/>
  <c r="H354" i="1"/>
  <c r="I354" i="1"/>
  <c r="G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H393" i="1"/>
  <c r="I393" i="1"/>
  <c r="I400" i="1" s="1"/>
  <c r="F399" i="1"/>
  <c r="G399" i="1"/>
  <c r="H399" i="1"/>
  <c r="I399" i="1"/>
  <c r="H400" i="1"/>
  <c r="H634" i="1" s="1"/>
  <c r="L405" i="1"/>
  <c r="L406" i="1"/>
  <c r="L411" i="1" s="1"/>
  <c r="L407" i="1"/>
  <c r="L408" i="1"/>
  <c r="L409" i="1"/>
  <c r="L410" i="1"/>
  <c r="F411" i="1"/>
  <c r="F426" i="1" s="1"/>
  <c r="G411" i="1"/>
  <c r="H411" i="1"/>
  <c r="I411" i="1"/>
  <c r="I426" i="1" s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J425" i="1"/>
  <c r="G426" i="1"/>
  <c r="H426" i="1"/>
  <c r="J426" i="1"/>
  <c r="F438" i="1"/>
  <c r="G629" i="1" s="1"/>
  <c r="J629" i="1" s="1"/>
  <c r="G438" i="1"/>
  <c r="H438" i="1"/>
  <c r="F444" i="1"/>
  <c r="G444" i="1"/>
  <c r="G451" i="1" s="1"/>
  <c r="H630" i="1" s="1"/>
  <c r="H444" i="1"/>
  <c r="I444" i="1"/>
  <c r="F450" i="1"/>
  <c r="G450" i="1"/>
  <c r="H450" i="1"/>
  <c r="H451" i="1" s="1"/>
  <c r="H631" i="1" s="1"/>
  <c r="F451" i="1"/>
  <c r="F460" i="1"/>
  <c r="G460" i="1"/>
  <c r="G466" i="1" s="1"/>
  <c r="H613" i="1" s="1"/>
  <c r="H460" i="1"/>
  <c r="H466" i="1" s="1"/>
  <c r="H614" i="1" s="1"/>
  <c r="I460" i="1"/>
  <c r="J460" i="1"/>
  <c r="J466" i="1" s="1"/>
  <c r="H616" i="1" s="1"/>
  <c r="F464" i="1"/>
  <c r="F466" i="1" s="1"/>
  <c r="H612" i="1" s="1"/>
  <c r="G464" i="1"/>
  <c r="H464" i="1"/>
  <c r="I464" i="1"/>
  <c r="I466" i="1" s="1"/>
  <c r="H615" i="1" s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G535" i="1" s="1"/>
  <c r="H514" i="1"/>
  <c r="H535" i="1" s="1"/>
  <c r="I514" i="1"/>
  <c r="J514" i="1"/>
  <c r="J535" i="1" s="1"/>
  <c r="K514" i="1"/>
  <c r="L514" i="1"/>
  <c r="L535" i="1" s="1"/>
  <c r="F519" i="1"/>
  <c r="G519" i="1"/>
  <c r="H519" i="1"/>
  <c r="I519" i="1"/>
  <c r="J519" i="1"/>
  <c r="K519" i="1"/>
  <c r="L519" i="1"/>
  <c r="F524" i="1"/>
  <c r="F535" i="1" s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I535" i="1"/>
  <c r="K535" i="1"/>
  <c r="L547" i="1"/>
  <c r="L548" i="1"/>
  <c r="L549" i="1"/>
  <c r="F550" i="1"/>
  <c r="F561" i="1" s="1"/>
  <c r="G550" i="1"/>
  <c r="H550" i="1"/>
  <c r="I550" i="1"/>
  <c r="J550" i="1"/>
  <c r="K550" i="1"/>
  <c r="K561" i="1" s="1"/>
  <c r="L550" i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G561" i="1"/>
  <c r="H561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J637" i="1" s="1"/>
  <c r="K583" i="1"/>
  <c r="K584" i="1"/>
  <c r="K585" i="1"/>
  <c r="K586" i="1"/>
  <c r="K587" i="1"/>
  <c r="H588" i="1"/>
  <c r="H639" i="1" s="1"/>
  <c r="I588" i="1"/>
  <c r="H640" i="1" s="1"/>
  <c r="J640" i="1" s="1"/>
  <c r="J588" i="1"/>
  <c r="K592" i="1"/>
  <c r="K593" i="1"/>
  <c r="K594" i="1"/>
  <c r="K595" i="1" s="1"/>
  <c r="G638" i="1" s="1"/>
  <c r="H595" i="1"/>
  <c r="I595" i="1"/>
  <c r="J595" i="1"/>
  <c r="F604" i="1"/>
  <c r="G604" i="1"/>
  <c r="H604" i="1"/>
  <c r="I604" i="1"/>
  <c r="J604" i="1"/>
  <c r="K604" i="1"/>
  <c r="L604" i="1"/>
  <c r="G607" i="1"/>
  <c r="G608" i="1"/>
  <c r="G609" i="1"/>
  <c r="J609" i="1" s="1"/>
  <c r="G613" i="1"/>
  <c r="J613" i="1" s="1"/>
  <c r="G614" i="1"/>
  <c r="J614" i="1" s="1"/>
  <c r="G615" i="1"/>
  <c r="J615" i="1" s="1"/>
  <c r="H617" i="1"/>
  <c r="H618" i="1"/>
  <c r="H619" i="1"/>
  <c r="H620" i="1"/>
  <c r="H621" i="1"/>
  <c r="H622" i="1"/>
  <c r="H623" i="1"/>
  <c r="H625" i="1"/>
  <c r="H626" i="1"/>
  <c r="H627" i="1"/>
  <c r="H628" i="1"/>
  <c r="H629" i="1"/>
  <c r="G630" i="1"/>
  <c r="G631" i="1"/>
  <c r="G633" i="1"/>
  <c r="J633" i="1" s="1"/>
  <c r="G634" i="1"/>
  <c r="J634" i="1" s="1"/>
  <c r="G635" i="1"/>
  <c r="J635" i="1" s="1"/>
  <c r="H637" i="1"/>
  <c r="G639" i="1"/>
  <c r="G640" i="1"/>
  <c r="G641" i="1"/>
  <c r="J641" i="1" s="1"/>
  <c r="H641" i="1"/>
  <c r="G642" i="1"/>
  <c r="J642" i="1" s="1"/>
  <c r="H642" i="1"/>
  <c r="G643" i="1"/>
  <c r="J643" i="1" s="1"/>
  <c r="H643" i="1"/>
  <c r="G644" i="1"/>
  <c r="H644" i="1"/>
  <c r="J644" i="1"/>
  <c r="G645" i="1"/>
  <c r="J645" i="1" s="1"/>
  <c r="H645" i="1"/>
  <c r="L426" i="1" l="1"/>
  <c r="G628" i="1" s="1"/>
  <c r="J628" i="1" s="1"/>
  <c r="C39" i="10"/>
  <c r="G96" i="2"/>
  <c r="G32" i="2"/>
  <c r="C96" i="2"/>
  <c r="E136" i="2"/>
  <c r="J43" i="1"/>
  <c r="G36" i="2"/>
  <c r="G42" i="2" s="1"/>
  <c r="J631" i="1"/>
  <c r="F137" i="2"/>
  <c r="F96" i="2"/>
  <c r="K539" i="1"/>
  <c r="F542" i="1"/>
  <c r="G185" i="1"/>
  <c r="G618" i="1" s="1"/>
  <c r="J618" i="1" s="1"/>
  <c r="E33" i="13"/>
  <c r="D35" i="13" s="1"/>
  <c r="C8" i="13"/>
  <c r="J630" i="1"/>
  <c r="J624" i="1"/>
  <c r="I651" i="1"/>
  <c r="D96" i="2"/>
  <c r="C130" i="2"/>
  <c r="C133" i="2" s="1"/>
  <c r="C136" i="2" s="1"/>
  <c r="L400" i="1"/>
  <c r="D31" i="13"/>
  <c r="C31" i="13" s="1"/>
  <c r="L330" i="1"/>
  <c r="L344" i="1" s="1"/>
  <c r="G623" i="1" s="1"/>
  <c r="J623" i="1" s="1"/>
  <c r="C27" i="10"/>
  <c r="G625" i="1"/>
  <c r="J625" i="1" s="1"/>
  <c r="H650" i="1"/>
  <c r="H654" i="1" s="1"/>
  <c r="C38" i="10"/>
  <c r="J638" i="1"/>
  <c r="L561" i="1"/>
  <c r="E107" i="2"/>
  <c r="C73" i="2"/>
  <c r="E43" i="2"/>
  <c r="J639" i="1"/>
  <c r="G153" i="2"/>
  <c r="G137" i="2"/>
  <c r="D43" i="2"/>
  <c r="J19" i="1"/>
  <c r="G611" i="1" s="1"/>
  <c r="I450" i="1"/>
  <c r="I451" i="1" s="1"/>
  <c r="H632" i="1" s="1"/>
  <c r="J632" i="1" s="1"/>
  <c r="J33" i="1"/>
  <c r="C102" i="2"/>
  <c r="G9" i="2"/>
  <c r="G19" i="2" s="1"/>
  <c r="J541" i="1"/>
  <c r="J542" i="1" s="1"/>
  <c r="L221" i="1"/>
  <c r="G650" i="1" s="1"/>
  <c r="G654" i="1" s="1"/>
  <c r="H25" i="13"/>
  <c r="D7" i="13"/>
  <c r="C7" i="13" s="1"/>
  <c r="D5" i="13"/>
  <c r="L301" i="1"/>
  <c r="L203" i="1"/>
  <c r="C17" i="10"/>
  <c r="G612" i="1"/>
  <c r="J612" i="1" s="1"/>
  <c r="J263" i="1"/>
  <c r="E77" i="2"/>
  <c r="E83" i="2" s="1"/>
  <c r="E96" i="2" s="1"/>
  <c r="L343" i="1"/>
  <c r="C16" i="10"/>
  <c r="J104" i="1"/>
  <c r="J185" i="1" s="1"/>
  <c r="J607" i="1"/>
  <c r="C106" i="2"/>
  <c r="C25" i="10"/>
  <c r="C156" i="2"/>
  <c r="G156" i="2" s="1"/>
  <c r="D119" i="2"/>
  <c r="D120" i="2" s="1"/>
  <c r="D137" i="2" s="1"/>
  <c r="H651" i="1"/>
  <c r="C24" i="10"/>
  <c r="C13" i="10"/>
  <c r="C35" i="10"/>
  <c r="G651" i="1"/>
  <c r="D6" i="13"/>
  <c r="C6" i="13" s="1"/>
  <c r="C104" i="2"/>
  <c r="C36" i="10" l="1"/>
  <c r="C107" i="2"/>
  <c r="C137" i="2" s="1"/>
  <c r="E137" i="2"/>
  <c r="G616" i="1"/>
  <c r="J616" i="1" s="1"/>
  <c r="J44" i="1"/>
  <c r="H611" i="1" s="1"/>
  <c r="J611" i="1" s="1"/>
  <c r="D27" i="10"/>
  <c r="D24" i="10"/>
  <c r="L249" i="1"/>
  <c r="L263" i="1" s="1"/>
  <c r="G622" i="1" s="1"/>
  <c r="J622" i="1" s="1"/>
  <c r="F650" i="1"/>
  <c r="G627" i="1"/>
  <c r="J627" i="1" s="1"/>
  <c r="H636" i="1"/>
  <c r="D25" i="10"/>
  <c r="D33" i="13"/>
  <c r="D36" i="13" s="1"/>
  <c r="C5" i="13"/>
  <c r="H662" i="1"/>
  <c r="H657" i="1"/>
  <c r="G662" i="1"/>
  <c r="G657" i="1"/>
  <c r="D16" i="10"/>
  <c r="K541" i="1"/>
  <c r="K542" i="1" s="1"/>
  <c r="C25" i="13"/>
  <c r="H33" i="13"/>
  <c r="C28" i="10"/>
  <c r="D17" i="10" s="1"/>
  <c r="G636" i="1"/>
  <c r="J636" i="1" s="1"/>
  <c r="G621" i="1"/>
  <c r="J621" i="1" s="1"/>
  <c r="G43" i="2"/>
  <c r="H646" i="1" l="1"/>
  <c r="D15" i="10"/>
  <c r="C30" i="10"/>
  <c r="D22" i="10"/>
  <c r="D21" i="10"/>
  <c r="D26" i="10"/>
  <c r="D12" i="10"/>
  <c r="D11" i="10"/>
  <c r="D19" i="10"/>
  <c r="D10" i="10"/>
  <c r="D20" i="10"/>
  <c r="D23" i="10"/>
  <c r="D18" i="10"/>
  <c r="D13" i="10"/>
  <c r="D36" i="10"/>
  <c r="I650" i="1"/>
  <c r="I654" i="1" s="1"/>
  <c r="F654" i="1"/>
  <c r="C41" i="10"/>
  <c r="I662" i="1" l="1"/>
  <c r="C7" i="10" s="1"/>
  <c r="I657" i="1"/>
  <c r="D28" i="10"/>
  <c r="F662" i="1"/>
  <c r="C4" i="10" s="1"/>
  <c r="F657" i="1"/>
  <c r="D40" i="10"/>
  <c r="D37" i="10"/>
  <c r="D35" i="10"/>
  <c r="D39" i="10"/>
  <c r="D38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20FBE5BB-E463-407E-BC9B-D8CCDBA09122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CB7F4551-4000-410C-A820-D58DC534C6ED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6DD1BADC-BC2A-48FE-B94E-9397DF2AA9B5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BB621431-5E04-4054-A764-462E1C95E6A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A47A0352-B823-45CE-A2CE-5E4B8668AEB4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4E641122-CBE2-4E66-ACA1-EF952227E538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B9E1634F-13A2-4C5C-9939-CFF60218646B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F2109067-903D-4842-B706-84F287BF6CF1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145D9863-41E7-44A6-9893-6C5D951A0188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3D303C75-AE4B-4606-9600-5FCA3D6F2D01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DC98A938-60BE-472F-A55B-249924C6292A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47705574-CF2C-4EDB-901F-86201982AD77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<sst xmlns="http://schemas.openxmlformats.org/spreadsheetml/2006/main" count="3858" uniqueCount="895">
  <si>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</si>
  <si>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</si>
  <si>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</si>
  <si>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</si>
  <si>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</si>
  <si>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</si>
  <si>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</si>
  <si>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</si>
  <si>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</si>
  <si>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</si>
  <si>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</si>
  <si>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</si>
  <si>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</si>
  <si>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</si>
  <si>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</si>
  <si>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</si>
  <si>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</si>
  <si>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</si>
  <si>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</si>
  <si>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</si>
  <si>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</si>
  <si>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</si>
  <si>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</si>
  <si>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</si>
  <si>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</si>
  <si>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</si>
  <si>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</si>
  <si>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</si>
  <si>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</si>
  <si>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</si>
  <si>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</si>
  <si>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</si>
  <si>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</si>
  <si>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</si>
  <si>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</si>
  <si>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</si>
  <si>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</si>
  <si>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</si>
  <si>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</si>
  <si>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</si>
  <si>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</si>
  <si>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</si>
  <si>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</si>
  <si>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</si>
  <si>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</si>
  <si>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</si>
  <si>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</si>
  <si>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</si>
  <si>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</si>
  <si>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</si>
  <si>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</si>
  <si>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</si>
  <si>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</si>
  <si>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</si>
  <si>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</si>
  <si>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</si>
  <si>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</si>
  <si>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</si>
  <si>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</si>
  <si>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</si>
  <si>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</si>
  <si>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</si>
  <si>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</si>
  <si>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</si>
  <si>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</si>
  <si>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</si>
  <si>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</si>
  <si>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</si>
  <si>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</si>
  <si>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</si>
  <si>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</si>
  <si>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</si>
  <si>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</si>
  <si>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</si>
  <si>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</si>
  <si>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</si>
  <si>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</si>
  <si>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</si>
  <si>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</si>
  <si>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</si>
  <si>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</si>
  <si>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</si>
  <si>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</si>
  <si>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</si>
  <si>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</si>
  <si>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</si>
  <si>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</si>
  <si>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</si>
  <si>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</si>
  <si>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</si>
  <si>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</si>
  <si>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</si>
  <si>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</si>
  <si>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</si>
  <si>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</si>
  <si>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</si>
  <si>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</si>
  <si>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</si>
  <si>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</si>
  <si>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</si>
  <si>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</si>
  <si>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</si>
  <si>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</si>
  <si>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</si>
  <si>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</si>
  <si>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</si>
  <si>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</si>
  <si>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</si>
  <si>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</si>
  <si>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</si>
  <si>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</si>
  <si>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</si>
  <si>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</si>
  <si>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</si>
  <si>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</si>
  <si>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</si>
  <si>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</si>
  <si>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</si>
  <si>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</si>
  <si>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</si>
  <si>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</si>
  <si>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</si>
  <si>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</si>
  <si>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</si>
  <si>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</si>
  <si>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</si>
  <si>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</si>
  <si>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</si>
  <si>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</si>
  <si>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</si>
  <si>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</si>
  <si>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</si>
  <si>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</si>
  <si>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</si>
  <si>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</si>
  <si>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</si>
  <si>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</si>
  <si>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</si>
  <si>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</si>
  <si>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</si>
  <si>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</si>
  <si>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</si>
  <si>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</si>
  <si>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</si>
  <si>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</si>
  <si>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</si>
  <si>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</si>
  <si>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</si>
  <si>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</si>
  <si>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</si>
  <si>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</si>
  <si>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</si>
  <si>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</si>
  <si>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</si>
  <si>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</si>
  <si>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</si>
  <si>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</si>
  <si>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</si>
  <si>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</si>
  <si>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</si>
  <si>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</si>
  <si>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</si>
  <si>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</si>
  <si>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</si>
  <si>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</si>
  <si>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</si>
  <si>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</si>
  <si>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</si>
  <si>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</si>
  <si>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</si>
  <si>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</si>
  <si>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</si>
  <si>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</si>
  <si>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</si>
  <si>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</si>
  <si>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</si>
  <si>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</si>
  <si>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</si>
  <si>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</si>
  <si>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</si>
  <si>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</si>
  <si>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</si>
  <si>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</si>
  <si>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</si>
  <si>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</si>
  <si>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</si>
  <si>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</si>
  <si>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</si>
  <si>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</si>
  <si>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</si>
  <si>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</si>
  <si>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</si>
  <si>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</si>
  <si>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</si>
  <si>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</si>
  <si>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</si>
  <si>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</si>
  <si>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</si>
  <si>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</si>
  <si>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</si>
  <si>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</si>
  <si>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</si>
  <si>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</si>
  <si>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</si>
  <si>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</si>
  <si>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</si>
  <si>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</si>
  <si>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</si>
  <si>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</si>
  <si>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</si>
  <si>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</si>
  <si>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</si>
  <si>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</si>
  <si>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</si>
  <si>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</si>
  <si>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</si>
  <si>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</si>
  <si>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</si>
  <si>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</si>
  <si>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</si>
  <si>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</si>
  <si>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</si>
  <si>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</si>
  <si>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</si>
  <si>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</si>
  <si>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</si>
  <si>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</si>
  <si>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</si>
  <si>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</si>
  <si>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</si>
  <si>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</si>
  <si>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</si>
  <si>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</si>
  <si>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</si>
  <si>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</si>
  <si>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</si>
  <si>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</si>
  <si>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</si>
  <si>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</si>
  <si>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</si>
  <si>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</si>
  <si>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</si>
  <si>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</si>
  <si>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</si>
  <si>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</si>
  <si>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</si>
  <si>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</si>
  <si>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</si>
  <si>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</si>
  <si>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</si>
  <si>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</si>
  <si>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</si>
  <si>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</si>
  <si>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</si>
  <si>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</si>
  <si>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</si>
  <si>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</si>
  <si>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</si>
  <si>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</si>
  <si>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</si>
  <si>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</si>
  <si>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</si>
  <si>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</si>
  <si>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</si>
  <si>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</si>
  <si>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</si>
  <si>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</si>
  <si>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</si>
  <si>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</si>
  <si>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</si>
  <si>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</si>
  <si>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</si>
  <si>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</si>
  <si>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</si>
  <si>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</si>
  <si>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</si>
  <si>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</si>
  <si>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</si>
  <si>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</si>
  <si>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</si>
  <si>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</si>
  <si>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</si>
  <si>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</si>
  <si>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</si>
  <si>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</si>
  <si>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</si>
  <si>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</si>
  <si>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</si>
  <si>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</si>
  <si>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</si>
  <si>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</si>
  <si>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</si>
  <si>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</si>
  <si>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</si>
  <si>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</si>
  <si>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</si>
  <si>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</si>
  <si>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</si>
  <si>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</si>
  <si>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</si>
  <si>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</si>
  <si>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</si>
  <si>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</si>
  <si>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</si>
  <si>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</si>
  <si>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</si>
  <si>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</si>
  <si>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</si>
  <si>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</si>
  <si>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</si>
  <si>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</si>
  <si>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</si>
  <si>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</si>
  <si>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</si>
  <si>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</si>
  <si>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</si>
  <si>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</si>
  <si>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</si>
  <si>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</si>
  <si>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</si>
  <si>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</si>
  <si>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</si>
  <si>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</si>
  <si>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</si>
  <si>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</si>
  <si>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</si>
  <si>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</si>
  <si>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</si>
  <si>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</si>
  <si>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</si>
  <si>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</si>
  <si>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</si>
  <si>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</si>
  <si>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</si>
  <si>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</si>
  <si>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</si>
  <si>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</si>
  <si>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</si>
  <si>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</si>
  <si>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</si>
  <si>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</si>
  <si>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</si>
  <si>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</si>
  <si>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</si>
  <si>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</si>
  <si>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</si>
  <si>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</si>
  <si>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</si>
  <si>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</si>
  <si>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</si>
  <si>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</si>
  <si>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</si>
  <si>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</si>
  <si>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</si>
  <si>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</si>
  <si>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</si>
  <si>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</si>
  <si>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</si>
  <si>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</si>
  <si>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</si>
  <si>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</si>
  <si>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</si>
  <si>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</si>
  <si>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</si>
  <si>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</si>
  <si>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</si>
  <si>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</si>
  <si>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</si>
  <si>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</si>
  <si>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</si>
  <si>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</si>
  <si>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</si>
  <si>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</si>
  <si>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</si>
  <si>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</si>
  <si>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</si>
  <si>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</si>
  <si>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</si>
  <si>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</si>
  <si>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</si>
  <si>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</si>
  <si>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</si>
  <si>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</si>
  <si>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</si>
  <si>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</si>
  <si>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</si>
  <si>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</si>
  <si>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</si>
  <si>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</si>
  <si>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</si>
  <si>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</si>
  <si>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</si>
  <si>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</si>
  <si>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</si>
  <si>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</si>
  <si>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</si>
  <si>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</si>
  <si>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</si>
  <si>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</si>
  <si>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</si>
  <si>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</si>
  <si>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</si>
  <si>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</si>
  <si>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</si>
  <si>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</si>
  <si>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</si>
  <si>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</si>
  <si>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</si>
  <si>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</si>
  <si>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</si>
  <si>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</si>
  <si>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</si>
  <si>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</si>
  <si>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</si>
  <si>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</si>
  <si>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</si>
  <si>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</si>
  <si>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</si>
  <si>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</si>
  <si>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</si>
  <si>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</si>
  <si>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</si>
  <si>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</si>
  <si>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</si>
  <si>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</si>
  <si>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</si>
  <si>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</si>
  <si>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</si>
  <si>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</si>
  <si>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</si>
  <si>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</si>
  <si>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</si>
  <si>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</si>
  <si>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</si>
  <si>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</si>
  <si>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</si>
  <si>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</si>
  <si>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</si>
  <si>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</si>
  <si>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</si>
  <si>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</si>
  <si>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</si>
  <si>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</si>
  <si>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</si>
  <si>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</si>
  <si>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</si>
  <si>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</si>
  <si>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</si>
  <si>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</si>
  <si>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</si>
  <si>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</si>
  <si>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</si>
  <si>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</si>
  <si>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</si>
  <si>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</si>
  <si>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</si>
  <si>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</si>
  <si>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</si>
  <si>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</si>
  <si>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</si>
  <si>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</si>
  <si>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</si>
  <si>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</si>
  <si>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</si>
  <si>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</si>
  <si>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</si>
  <si>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</si>
  <si>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</si>
  <si>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</si>
  <si>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</si>
  <si>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</si>
  <si>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</si>
  <si>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</si>
  <si>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</si>
  <si>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</si>
  <si>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</si>
  <si>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</si>
  <si>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</si>
  <si>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</si>
  <si>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</si>
  <si>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</si>
  <si>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</si>
  <si>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</si>
  <si>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</si>
  <si>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</si>
  <si>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</si>
  <si>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</si>
  <si>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</si>
  <si>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</si>
  <si>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</si>
  <si>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</si>
  <si>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</si>
  <si>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</si>
  <si>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</si>
  <si>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</si>
  <si>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</si>
  <si>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</si>
  <si>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</si>
  <si>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</si>
  <si>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</si>
  <si>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</si>
  <si>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</si>
  <si>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</si>
  <si>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</si>
  <si>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</si>
  <si>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</si>
  <si>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</si>
  <si>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</si>
  <si>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</si>
  <si>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</si>
  <si>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</si>
  <si>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</si>
  <si>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</si>
  <si>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</si>
  <si>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</si>
  <si>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</si>
  <si>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</si>
  <si>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</si>
  <si>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</si>
  <si>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</si>
  <si>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</si>
  <si>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</si>
  <si>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</si>
  <si>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</si>
  <si>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</si>
  <si>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</si>
  <si>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</si>
  <si>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</si>
  <si>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</si>
  <si>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</si>
  <si>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</si>
  <si>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</si>
  <si>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</si>
  <si>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</si>
  <si>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</si>
  <si>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</si>
  <si>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</si>
  <si>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</si>
  <si>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</si>
  <si>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</si>
  <si>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</si>
  <si>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</si>
  <si>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</si>
  <si>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</si>
  <si>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</si>
  <si>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</si>
  <si>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</si>
  <si>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</si>
  <si>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</si>
  <si>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</si>
  <si>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</si>
  <si>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</si>
  <si>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</si>
  <si>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</si>
  <si>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</si>
  <si>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</si>
  <si>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</si>
  <si>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</si>
  <si>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</si>
  <si>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</si>
  <si>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</si>
  <si>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</si>
  <si>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</si>
  <si>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</si>
  <si>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</si>
  <si>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</si>
  <si>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</si>
  <si>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</si>
  <si>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</si>
  <si>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</si>
  <si>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</si>
  <si>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</si>
  <si>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</si>
  <si>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</si>
  <si>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</si>
  <si>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</si>
  <si>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</si>
  <si>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</si>
  <si>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</si>
  <si>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</si>
  <si>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</si>
  <si>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</si>
  <si>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</si>
  <si>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</si>
  <si>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</si>
  <si>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</si>
  <si>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</si>
  <si>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</si>
  <si>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</si>
  <si>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</si>
  <si>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</si>
  <si>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</si>
  <si>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</si>
  <si>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</si>
  <si>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</si>
  <si>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</si>
  <si>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</si>
  <si>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</si>
  <si>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</si>
  <si>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</si>
  <si>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</si>
  <si>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</si>
  <si>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</si>
  <si>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</si>
  <si>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</si>
  <si>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</si>
  <si>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</si>
  <si>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</si>
  <si>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</si>
  <si>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</si>
  <si>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</si>
  <si>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</si>
  <si>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</si>
  <si>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</si>
  <si>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</si>
  <si>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</si>
  <si>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</si>
  <si>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</si>
  <si>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</si>
  <si>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</si>
  <si>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</si>
  <si>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</si>
  <si>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</si>
  <si>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</si>
  <si>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</si>
  <si>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</si>
  <si>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</si>
  <si>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</si>
  <si>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</si>
  <si>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</si>
  <si>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</si>
  <si>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</si>
  <si>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</si>
  <si>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</si>
  <si>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</si>
  <si>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</si>
  <si>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</si>
  <si>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</si>
  <si>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</si>
  <si>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</si>
  <si>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</si>
  <si>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</si>
  <si>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</si>
  <si>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</si>
  <si>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</si>
  <si>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</si>
  <si>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</si>
  <si>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</si>
  <si>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</si>
  <si>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</si>
  <si>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</si>
  <si>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</si>
  <si>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</si>
  <si>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</si>
  <si>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</si>
  <si>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</si>
  <si>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</si>
  <si>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</si>
  <si>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</si>
  <si>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</si>
  <si>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</si>
  <si>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</si>
  <si>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</si>
  <si>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</si>
  <si>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</si>
  <si>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</si>
  <si>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</si>
  <si>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</si>
  <si>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</si>
  <si>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</si>
  <si>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</si>
  <si>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</si>
  <si>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</si>
  <si>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</si>
  <si>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</si>
  <si>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</si>
  <si>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</si>
  <si>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</si>
  <si>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</si>
  <si>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</si>
  <si>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</si>
  <si>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</si>
  <si>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</si>
  <si>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</si>
  <si>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</si>
  <si>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</si>
  <si>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</si>
  <si>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</si>
  <si>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</si>
  <si>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</si>
  <si>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</si>
  <si>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</si>
  <si>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</si>
  <si>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</si>
  <si>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</si>
  <si>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</si>
  <si>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</si>
  <si>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</si>
  <si>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</si>
  <si>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</si>
  <si>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</si>
  <si>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</si>
  <si>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</si>
  <si>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</si>
  <si>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</si>
  <si>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</si>
  <si>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</si>
  <si>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</si>
  <si>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</si>
  <si>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</si>
  <si>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</si>
  <si>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</si>
  <si>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</si>
  <si>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</si>
  <si>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</si>
  <si>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</si>
  <si>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</si>
  <si>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</si>
  <si>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</si>
  <si>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</si>
  <si>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</si>
  <si>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</si>
  <si>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</si>
  <si>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</si>
  <si>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</si>
  <si>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</si>
  <si>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</si>
  <si>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</si>
  <si>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</si>
  <si>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</si>
  <si>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</si>
  <si>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</si>
  <si>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</si>
  <si>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</si>
  <si>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</si>
  <si>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</si>
  <si>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</si>
  <si>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</si>
  <si>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</si>
  <si>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</si>
  <si>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</si>
  <si>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</si>
  <si>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</si>
  <si>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</si>
  <si>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</si>
  <si>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</si>
  <si>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</si>
  <si>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</si>
  <si>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</si>
  <si>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</si>
  <si>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</si>
  <si>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</si>
  <si>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</si>
  <si>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</si>
  <si>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</si>
  <si>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</si>
  <si>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</si>
  <si>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</si>
  <si>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</si>
  <si>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</si>
  <si>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</si>
  <si>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</si>
  <si>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</si>
  <si>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</si>
  <si>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</si>
  <si>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</si>
  <si>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</si>
  <si>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</si>
  <si>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</si>
  <si>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</si>
  <si>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</si>
  <si>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</si>
  <si>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</si>
  <si>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</si>
  <si>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</si>
  <si>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</si>
  <si>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</si>
  <si>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</si>
  <si>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</si>
  <si>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</si>
  <si>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</si>
  <si>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</si>
  <si>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</si>
  <si>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</si>
  <si>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</si>
  <si>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</si>
  <si>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</si>
  <si>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</si>
  <si>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</si>
  <si>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</si>
  <si>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</si>
  <si>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</si>
  <si>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</si>
  <si>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</si>
  <si>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</si>
  <si>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</si>
  <si>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</si>
  <si>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</si>
  <si>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</si>
  <si>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</si>
  <si>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</si>
  <si>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</si>
  <si>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</si>
  <si>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</si>
  <si>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</si>
  <si>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</si>
  <si>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</si>
  <si>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</si>
  <si>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</si>
  <si>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</si>
  <si>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</si>
  <si>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</si>
  <si>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</si>
  <si>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</si>
  <si>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</si>
  <si>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</si>
  <si>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</si>
  <si>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</si>
  <si>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</si>
  <si>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</si>
  <si>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</si>
  <si>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</si>
  <si>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</si>
  <si>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</si>
  <si>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</si>
  <si>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</si>
  <si>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</si>
  <si>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</si>
  <si>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</si>
  <si>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</si>
  <si>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</si>
  <si>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</si>
  <si>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</si>
  <si>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</si>
  <si>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</si>
  <si>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</si>
  <si>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</si>
  <si>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</si>
  <si>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</si>
  <si>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</si>
  <si>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</si>
  <si>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</si>
  <si>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</si>
  <si>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</si>
  <si>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</si>
  <si>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</si>
  <si>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</si>
  <si>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</si>
  <si>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</si>
  <si>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</si>
  <si>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</si>
  <si>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</si>
  <si>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</si>
  <si>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</si>
  <si>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</si>
  <si>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</si>
  <si>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</si>
  <si>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</si>
  <si>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</si>
  <si>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</si>
  <si>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</si>
  <si>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</si>
  <si>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</si>
  <si>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</si>
  <si>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</si>
  <si>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</si>
  <si>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</si>
  <si>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</si>
  <si>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</si>
  <si>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</si>
  <si>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</si>
  <si>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</si>
  <si>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</si>
  <si>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</si>
  <si>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</si>
  <si>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</si>
  <si>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</si>
  <si>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</si>
  <si>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</si>
  <si>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</si>
  <si>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</si>
  <si>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</si>
  <si>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</si>
  <si>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</si>
  <si>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</si>
  <si>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</si>
  <si>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</si>
  <si>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</si>
  <si>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</si>
  <si>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</si>
  <si>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</si>
  <si>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</si>
  <si>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</si>
  <si>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</si>
  <si>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Lafayette Reg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</si>
</sst>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3A84-86D6-4ED8-BEDF-CBD8A31BD9FB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288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83553.820000000007</v>
      </c>
      <c r="G9" s="18">
        <v>-21310.25</v>
      </c>
      <c r="H9" s="18">
        <v>-22631.65</v>
      </c>
      <c r="I9" s="18">
        <v>0</v>
      </c>
      <c r="J9" s="67">
        <f>SUM(I431)</f>
        <v>235321.65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0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0</v>
      </c>
      <c r="G13" s="18">
        <v>1853.5</v>
      </c>
      <c r="H13" s="18">
        <v>22631.65</v>
      </c>
      <c r="I13" s="18">
        <v>0</v>
      </c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8806.0499999999993</v>
      </c>
      <c r="G14" s="18">
        <v>19456.75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92359.87000000001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235321.65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0</v>
      </c>
      <c r="H23" s="18">
        <v>0</v>
      </c>
      <c r="I23" s="18">
        <v>0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31708.03</v>
      </c>
      <c r="G25" s="18">
        <v>0</v>
      </c>
      <c r="H25" s="18">
        <v>0</v>
      </c>
      <c r="I25" s="18">
        <v>0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0</v>
      </c>
      <c r="G30" s="18">
        <v>0</v>
      </c>
      <c r="H30" s="18">
        <v>0</v>
      </c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31708.03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>
        <v>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20000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0</v>
      </c>
      <c r="H41" s="18">
        <v>0</v>
      </c>
      <c r="I41" s="18">
        <v>0</v>
      </c>
      <c r="J41" s="13">
        <f>SUM(I449)</f>
        <v>235321.65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40651.839999999997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60651.839999999997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235321.65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92359.87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235321.65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1417231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1417231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0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/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164.79</v>
      </c>
      <c r="G88" s="18">
        <v>0</v>
      </c>
      <c r="H88" s="18"/>
      <c r="I88" s="18">
        <v>0</v>
      </c>
      <c r="J88" s="18">
        <v>928.27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21922.78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0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0</v>
      </c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10634.98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10799.77</v>
      </c>
      <c r="G103" s="41">
        <f>SUM(G88:G102)</f>
        <v>21922.78</v>
      </c>
      <c r="H103" s="41">
        <f>SUM(H88:H102)</f>
        <v>0</v>
      </c>
      <c r="I103" s="41">
        <f>SUM(I88:I102)</f>
        <v>0</v>
      </c>
      <c r="J103" s="41">
        <f>SUM(J88:J102)</f>
        <v>928.27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1428030.77</v>
      </c>
      <c r="G104" s="41">
        <f>G52+G103</f>
        <v>21922.78</v>
      </c>
      <c r="H104" s="41">
        <f>H52+H71+H86+H103</f>
        <v>0</v>
      </c>
      <c r="I104" s="41">
        <f>I52+I103</f>
        <v>0</v>
      </c>
      <c r="J104" s="41">
        <f>J52+J103</f>
        <v>928.27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0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596208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596208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0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0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0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441.24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>
        <v>0</v>
      </c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441.24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596208</v>
      </c>
      <c r="G132" s="41">
        <f>G113+SUM(G128:G129)</f>
        <v>441.24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21547.09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61222.83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10887.36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45800.54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0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10887.36</v>
      </c>
      <c r="H154" s="41">
        <f>SUM(H142:H153)</f>
        <v>128570.45999999999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28678.39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>
        <v>15750</v>
      </c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28678.39</v>
      </c>
      <c r="G161" s="41">
        <f>G139+G154+SUM(G155:G160)</f>
        <v>10887.36</v>
      </c>
      <c r="H161" s="41">
        <f>H139+H154+SUM(H155:H160)</f>
        <v>144320.46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19456.75</v>
      </c>
      <c r="H171" s="18"/>
      <c r="I171" s="18"/>
      <c r="J171" s="18">
        <v>10000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0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19456.75</v>
      </c>
      <c r="H175" s="41">
        <f>SUM(H171:H174)</f>
        <v>0</v>
      </c>
      <c r="I175" s="41">
        <f>SUM(I171:I174)</f>
        <v>0</v>
      </c>
      <c r="J175" s="41">
        <f>SUM(J171:J174)</f>
        <v>10000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19456.75</v>
      </c>
      <c r="H184" s="41">
        <f>+H175+SUM(H180:H183)</f>
        <v>0</v>
      </c>
      <c r="I184" s="41">
        <f>I169+I175+SUM(I180:I183)</f>
        <v>0</v>
      </c>
      <c r="J184" s="41">
        <f>J175</f>
        <v>10000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2052917.16</v>
      </c>
      <c r="G185" s="47">
        <f>G104+G132+G161+G184</f>
        <v>52708.130000000005</v>
      </c>
      <c r="H185" s="47">
        <f>H104+H132+H161+H184</f>
        <v>144320.46</v>
      </c>
      <c r="I185" s="47">
        <f>I104+I132+I161+I184</f>
        <v>0</v>
      </c>
      <c r="J185" s="47">
        <f>J104+J132+J184</f>
        <v>10928.27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603815.37</v>
      </c>
      <c r="G189" s="18">
        <v>222826.42</v>
      </c>
      <c r="H189" s="18">
        <v>35968.14</v>
      </c>
      <c r="I189" s="18">
        <v>11814.75</v>
      </c>
      <c r="J189" s="18">
        <v>1829.24</v>
      </c>
      <c r="K189" s="18"/>
      <c r="L189" s="19">
        <f>SUM(F189:K189)</f>
        <v>876253.92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162014.54999999999</v>
      </c>
      <c r="G190" s="18">
        <v>84279.41</v>
      </c>
      <c r="H190" s="18">
        <v>0</v>
      </c>
      <c r="I190" s="18">
        <v>519.55999999999995</v>
      </c>
      <c r="J190" s="18">
        <v>344.52</v>
      </c>
      <c r="K190" s="18"/>
      <c r="L190" s="19">
        <f>SUM(F190:K190)</f>
        <v>247158.03999999998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4700</v>
      </c>
      <c r="G192" s="18">
        <v>765.03</v>
      </c>
      <c r="H192" s="18"/>
      <c r="I192" s="18"/>
      <c r="J192" s="18"/>
      <c r="K192" s="18">
        <v>1041.6600000000001</v>
      </c>
      <c r="L192" s="19">
        <f>SUM(F192:K192)</f>
        <v>6506.69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71665.08</v>
      </c>
      <c r="G194" s="18">
        <v>21719.4</v>
      </c>
      <c r="H194" s="18">
        <v>75639.12</v>
      </c>
      <c r="I194" s="18">
        <v>520.55999999999995</v>
      </c>
      <c r="J194" s="18">
        <v>270.58</v>
      </c>
      <c r="K194" s="18">
        <v>543</v>
      </c>
      <c r="L194" s="19">
        <f t="shared" ref="L194:L200" si="0">SUM(F194:K194)</f>
        <v>170357.74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67177</v>
      </c>
      <c r="G195" s="18">
        <v>28948.77</v>
      </c>
      <c r="H195" s="18">
        <v>474.98</v>
      </c>
      <c r="I195" s="18">
        <v>7028.76</v>
      </c>
      <c r="J195" s="18">
        <v>2233.64</v>
      </c>
      <c r="K195" s="18">
        <v>5906.93</v>
      </c>
      <c r="L195" s="19">
        <f t="shared" si="0"/>
        <v>111770.07999999999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1700</v>
      </c>
      <c r="G196" s="18">
        <v>212.53</v>
      </c>
      <c r="H196" s="18">
        <v>139187.96</v>
      </c>
      <c r="I196" s="18"/>
      <c r="J196" s="18"/>
      <c r="K196" s="18">
        <v>3257.99</v>
      </c>
      <c r="L196" s="19">
        <f t="shared" si="0"/>
        <v>144358.47999999998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122707.97</v>
      </c>
      <c r="G197" s="18">
        <v>49272.67</v>
      </c>
      <c r="H197" s="18">
        <v>15874.21</v>
      </c>
      <c r="I197" s="18">
        <v>7943.24</v>
      </c>
      <c r="J197" s="18">
        <v>236.98</v>
      </c>
      <c r="K197" s="18">
        <v>0</v>
      </c>
      <c r="L197" s="19">
        <f t="shared" si="0"/>
        <v>196035.07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60285.42</v>
      </c>
      <c r="G199" s="18">
        <v>23824.29</v>
      </c>
      <c r="H199" s="18">
        <v>39732.519999999997</v>
      </c>
      <c r="I199" s="18">
        <v>82662.77</v>
      </c>
      <c r="J199" s="18">
        <v>384.22</v>
      </c>
      <c r="K199" s="18">
        <v>0</v>
      </c>
      <c r="L199" s="19">
        <f t="shared" si="0"/>
        <v>206889.22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125956.79</v>
      </c>
      <c r="I200" s="18"/>
      <c r="J200" s="18"/>
      <c r="K200" s="18"/>
      <c r="L200" s="19">
        <f t="shared" si="0"/>
        <v>125956.79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1094065.3899999999</v>
      </c>
      <c r="G203" s="41">
        <f t="shared" si="1"/>
        <v>431848.52000000008</v>
      </c>
      <c r="H203" s="41">
        <f t="shared" si="1"/>
        <v>432833.72</v>
      </c>
      <c r="I203" s="41">
        <f t="shared" si="1"/>
        <v>110489.64</v>
      </c>
      <c r="J203" s="41">
        <f t="shared" si="1"/>
        <v>5299.1799999999994</v>
      </c>
      <c r="K203" s="41">
        <f t="shared" si="1"/>
        <v>10749.58</v>
      </c>
      <c r="L203" s="41">
        <f t="shared" si="1"/>
        <v>2085286.03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0</v>
      </c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1094065.3899999999</v>
      </c>
      <c r="G249" s="41">
        <f t="shared" si="8"/>
        <v>431848.52000000008</v>
      </c>
      <c r="H249" s="41">
        <f t="shared" si="8"/>
        <v>432833.72</v>
      </c>
      <c r="I249" s="41">
        <f t="shared" si="8"/>
        <v>110489.64</v>
      </c>
      <c r="J249" s="41">
        <f t="shared" si="8"/>
        <v>5299.1799999999994</v>
      </c>
      <c r="K249" s="41">
        <f t="shared" si="8"/>
        <v>10749.58</v>
      </c>
      <c r="L249" s="41">
        <f t="shared" si="8"/>
        <v>2085286.03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0</v>
      </c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0</v>
      </c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19456.75</v>
      </c>
      <c r="L255" s="19">
        <f>SUM(F255:K255)</f>
        <v>19456.75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</v>
      </c>
      <c r="L258" s="19">
        <f t="shared" si="9"/>
        <v>10000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29456.75</v>
      </c>
      <c r="L262" s="41">
        <f t="shared" si="9"/>
        <v>29456.75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1094065.3899999999</v>
      </c>
      <c r="G263" s="42">
        <f t="shared" si="11"/>
        <v>431848.52000000008</v>
      </c>
      <c r="H263" s="42">
        <f t="shared" si="11"/>
        <v>432833.72</v>
      </c>
      <c r="I263" s="42">
        <f t="shared" si="11"/>
        <v>110489.64</v>
      </c>
      <c r="J263" s="42">
        <f t="shared" si="11"/>
        <v>5299.1799999999994</v>
      </c>
      <c r="K263" s="42">
        <f t="shared" si="11"/>
        <v>40206.33</v>
      </c>
      <c r="L263" s="42">
        <f t="shared" si="11"/>
        <v>2114742.7800000003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525</v>
      </c>
      <c r="G268" s="18">
        <v>0</v>
      </c>
      <c r="H268" s="18">
        <v>0</v>
      </c>
      <c r="I268" s="18">
        <v>25.06</v>
      </c>
      <c r="J268" s="18">
        <v>35511</v>
      </c>
      <c r="K268" s="18">
        <v>0</v>
      </c>
      <c r="L268" s="19">
        <f>SUM(F268:K268)</f>
        <v>36061.06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36866.44</v>
      </c>
      <c r="G269" s="18">
        <v>4032.82</v>
      </c>
      <c r="H269" s="18">
        <v>325</v>
      </c>
      <c r="I269" s="18">
        <v>6884.46</v>
      </c>
      <c r="J269" s="18">
        <v>17576.240000000002</v>
      </c>
      <c r="K269" s="18">
        <v>0</v>
      </c>
      <c r="L269" s="19">
        <f>SUM(F269:K269)</f>
        <v>65684.960000000006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0</v>
      </c>
      <c r="I273" s="18">
        <v>0</v>
      </c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2000</v>
      </c>
      <c r="G274" s="18">
        <v>301.70999999999998</v>
      </c>
      <c r="H274" s="18">
        <v>22207.15</v>
      </c>
      <c r="I274" s="18">
        <v>1524.57</v>
      </c>
      <c r="J274" s="18">
        <v>0</v>
      </c>
      <c r="K274" s="18">
        <v>0</v>
      </c>
      <c r="L274" s="19">
        <f t="shared" si="12"/>
        <v>26033.43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>
        <v>0</v>
      </c>
      <c r="I275" s="18">
        <v>0</v>
      </c>
      <c r="J275" s="18"/>
      <c r="K275" s="18">
        <v>1662.66</v>
      </c>
      <c r="L275" s="19">
        <f t="shared" si="12"/>
        <v>1662.66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>
        <v>15000</v>
      </c>
      <c r="I278" s="18"/>
      <c r="J278" s="18"/>
      <c r="K278" s="18"/>
      <c r="L278" s="19">
        <f t="shared" si="12"/>
        <v>15000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39391.440000000002</v>
      </c>
      <c r="G282" s="42">
        <f t="shared" si="13"/>
        <v>4334.53</v>
      </c>
      <c r="H282" s="42">
        <f t="shared" si="13"/>
        <v>37532.15</v>
      </c>
      <c r="I282" s="42">
        <f t="shared" si="13"/>
        <v>8434.09</v>
      </c>
      <c r="J282" s="42">
        <f t="shared" si="13"/>
        <v>53087.240000000005</v>
      </c>
      <c r="K282" s="42">
        <f t="shared" si="13"/>
        <v>1662.66</v>
      </c>
      <c r="L282" s="41">
        <f t="shared" si="13"/>
        <v>144442.11000000002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39391.440000000002</v>
      </c>
      <c r="G330" s="41">
        <f t="shared" si="20"/>
        <v>4334.53</v>
      </c>
      <c r="H330" s="41">
        <f t="shared" si="20"/>
        <v>37532.15</v>
      </c>
      <c r="I330" s="41">
        <f t="shared" si="20"/>
        <v>8434.09</v>
      </c>
      <c r="J330" s="41">
        <f t="shared" si="20"/>
        <v>53087.240000000005</v>
      </c>
      <c r="K330" s="41">
        <f t="shared" si="20"/>
        <v>1662.66</v>
      </c>
      <c r="L330" s="41">
        <f t="shared" si="20"/>
        <v>144442.11000000002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39391.440000000002</v>
      </c>
      <c r="G344" s="41">
        <f>G330</f>
        <v>4334.53</v>
      </c>
      <c r="H344" s="41">
        <f>H330</f>
        <v>37532.15</v>
      </c>
      <c r="I344" s="41">
        <f>I330</f>
        <v>8434.09</v>
      </c>
      <c r="J344" s="41">
        <f>J330</f>
        <v>53087.240000000005</v>
      </c>
      <c r="K344" s="47">
        <f>K330+K343</f>
        <v>1662.66</v>
      </c>
      <c r="L344" s="41">
        <f>L330+L343</f>
        <v>144442.11000000002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25108.26</v>
      </c>
      <c r="G350" s="18">
        <v>3759.22</v>
      </c>
      <c r="H350" s="18">
        <v>2145.83</v>
      </c>
      <c r="I350" s="18">
        <v>18400.689999999999</v>
      </c>
      <c r="J350" s="18">
        <v>3294.13</v>
      </c>
      <c r="K350" s="18">
        <v>0</v>
      </c>
      <c r="L350" s="13">
        <f>SUM(F350:K350)</f>
        <v>52708.13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25108.26</v>
      </c>
      <c r="G354" s="47">
        <f t="shared" si="22"/>
        <v>3759.22</v>
      </c>
      <c r="H354" s="47">
        <f t="shared" si="22"/>
        <v>2145.83</v>
      </c>
      <c r="I354" s="47">
        <f t="shared" si="22"/>
        <v>18400.689999999999</v>
      </c>
      <c r="J354" s="47">
        <f t="shared" si="22"/>
        <v>3294.13</v>
      </c>
      <c r="K354" s="47">
        <f t="shared" si="22"/>
        <v>0</v>
      </c>
      <c r="L354" s="47">
        <f t="shared" si="22"/>
        <v>52708.13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16261.21</v>
      </c>
      <c r="G359" s="18"/>
      <c r="H359" s="18"/>
      <c r="I359" s="56">
        <f>SUM(F359:H359)</f>
        <v>16261.21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2139.48</v>
      </c>
      <c r="G360" s="63"/>
      <c r="H360" s="63"/>
      <c r="I360" s="56">
        <f>SUM(F360:H360)</f>
        <v>2139.48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18400.689999999999</v>
      </c>
      <c r="G361" s="47">
        <f>SUM(G359:G360)</f>
        <v>0</v>
      </c>
      <c r="H361" s="47">
        <f>SUM(H359:H360)</f>
        <v>0</v>
      </c>
      <c r="I361" s="47">
        <f>SUM(I359:I360)</f>
        <v>18400.689999999999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>
        <v>0</v>
      </c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0</v>
      </c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v>0</v>
      </c>
      <c r="I370" s="18"/>
      <c r="J370" s="18"/>
      <c r="K370" s="18">
        <v>0</v>
      </c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v>0</v>
      </c>
      <c r="I371" s="18"/>
      <c r="J371" s="18">
        <v>0</v>
      </c>
      <c r="K371" s="18">
        <v>0</v>
      </c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370.22</v>
      </c>
      <c r="I388" s="18"/>
      <c r="J388" s="24" t="s">
        <v>312</v>
      </c>
      <c r="K388" s="24" t="s">
        <v>312</v>
      </c>
      <c r="L388" s="56">
        <f t="shared" si="26"/>
        <v>370.22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548.07000000000005</v>
      </c>
      <c r="I389" s="18"/>
      <c r="J389" s="24" t="s">
        <v>312</v>
      </c>
      <c r="K389" s="24" t="s">
        <v>312</v>
      </c>
      <c r="L389" s="56">
        <f t="shared" si="26"/>
        <v>548.07000000000005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>
        <v>10000</v>
      </c>
      <c r="H391" s="18">
        <v>9.98</v>
      </c>
      <c r="I391" s="18"/>
      <c r="J391" s="24" t="s">
        <v>312</v>
      </c>
      <c r="K391" s="24" t="s">
        <v>312</v>
      </c>
      <c r="L391" s="56">
        <f t="shared" si="26"/>
        <v>10009.98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10000</v>
      </c>
      <c r="H393" s="47">
        <f>SUM(H387:H392)</f>
        <v>928.2700000000001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10928.27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</v>
      </c>
      <c r="H400" s="47">
        <f>H385+H393+H399</f>
        <v>928.2700000000001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10928.27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143539.9</v>
      </c>
      <c r="G431" s="18">
        <v>91781.75</v>
      </c>
      <c r="H431" s="18"/>
      <c r="I431" s="56">
        <f t="shared" ref="I431:I437" si="33">SUM(F431:H431)</f>
        <v>235321.65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143539.9</v>
      </c>
      <c r="G438" s="13">
        <f>SUM(G431:G437)</f>
        <v>91781.75</v>
      </c>
      <c r="H438" s="13">
        <f>SUM(H431:H437)</f>
        <v>0</v>
      </c>
      <c r="I438" s="13">
        <f>SUM(I431:I437)</f>
        <v>235321.65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143539.9</v>
      </c>
      <c r="G449" s="18">
        <v>91781.75</v>
      </c>
      <c r="H449" s="18"/>
      <c r="I449" s="56">
        <f>SUM(F449:H449)</f>
        <v>235321.65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143539.9</v>
      </c>
      <c r="G450" s="83">
        <f>SUM(G446:G449)</f>
        <v>91781.75</v>
      </c>
      <c r="H450" s="83">
        <f>SUM(H446:H449)</f>
        <v>0</v>
      </c>
      <c r="I450" s="83">
        <f>SUM(I446:I449)</f>
        <v>235321.65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143539.9</v>
      </c>
      <c r="G451" s="42">
        <f>G444+G450</f>
        <v>91781.75</v>
      </c>
      <c r="H451" s="42">
        <f>H444+H450</f>
        <v>0</v>
      </c>
      <c r="I451" s="42">
        <f>I444+I450</f>
        <v>235321.65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122477.46</v>
      </c>
      <c r="G455" s="18">
        <v>0</v>
      </c>
      <c r="H455" s="18">
        <v>121.65</v>
      </c>
      <c r="I455" s="18"/>
      <c r="J455" s="18">
        <v>224393.38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2052917.16</v>
      </c>
      <c r="G458" s="18">
        <v>52708.13</v>
      </c>
      <c r="H458" s="18">
        <v>144320.46</v>
      </c>
      <c r="I458" s="18"/>
      <c r="J458" s="18">
        <v>10928.27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2052917.16</v>
      </c>
      <c r="G460" s="53">
        <f>SUM(G458:G459)</f>
        <v>52708.13</v>
      </c>
      <c r="H460" s="53">
        <f>SUM(H458:H459)</f>
        <v>144320.46</v>
      </c>
      <c r="I460" s="53">
        <f>SUM(I458:I459)</f>
        <v>0</v>
      </c>
      <c r="J460" s="53">
        <f>SUM(J458:J459)</f>
        <v>10928.27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2114742.7799999998</v>
      </c>
      <c r="G462" s="18">
        <v>52708.13</v>
      </c>
      <c r="H462" s="18">
        <v>144442.10999999999</v>
      </c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2114742.7799999998</v>
      </c>
      <c r="G464" s="53">
        <f>SUM(G462:G463)</f>
        <v>52708.13</v>
      </c>
      <c r="H464" s="53">
        <f>SUM(H462:H463)</f>
        <v>144442.10999999999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60651.840000000317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235321.65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>
        <v>35000</v>
      </c>
      <c r="G502" s="24" t="s">
        <v>312</v>
      </c>
      <c r="H502" s="18">
        <v>11254</v>
      </c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>
        <v>2941335</v>
      </c>
      <c r="G503" s="24" t="s">
        <v>312</v>
      </c>
      <c r="H503" s="18">
        <v>1247024.0900000001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>
        <v>81891.08</v>
      </c>
      <c r="G504" s="24" t="s">
        <v>312</v>
      </c>
      <c r="H504" s="18">
        <v>68625.39</v>
      </c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>
        <v>38521</v>
      </c>
      <c r="H506" s="24" t="s">
        <v>312</v>
      </c>
      <c r="I506" s="18">
        <v>1745154.6</v>
      </c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3058226.08</v>
      </c>
      <c r="G507" s="42">
        <f>SUM(G501:G506)</f>
        <v>38521</v>
      </c>
      <c r="H507" s="42">
        <f>SUM(H501:H506)</f>
        <v>1326903.48</v>
      </c>
      <c r="I507" s="42">
        <f>SUM(I501:I506)</f>
        <v>1745154.6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198880.99</v>
      </c>
      <c r="G511" s="18">
        <v>88312.23</v>
      </c>
      <c r="H511" s="18">
        <v>325</v>
      </c>
      <c r="I511" s="18">
        <v>7404.02</v>
      </c>
      <c r="J511" s="18">
        <v>17621.21</v>
      </c>
      <c r="K511" s="18"/>
      <c r="L511" s="88">
        <f>SUM(F511:K511)</f>
        <v>312543.45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198880.99</v>
      </c>
      <c r="G514" s="108">
        <f t="shared" ref="G514:L514" si="35">SUM(G511:G513)</f>
        <v>88312.23</v>
      </c>
      <c r="H514" s="108">
        <f t="shared" si="35"/>
        <v>325</v>
      </c>
      <c r="I514" s="108">
        <f t="shared" si="35"/>
        <v>7404.02</v>
      </c>
      <c r="J514" s="108">
        <f t="shared" si="35"/>
        <v>17621.21</v>
      </c>
      <c r="K514" s="108">
        <f t="shared" si="35"/>
        <v>0</v>
      </c>
      <c r="L514" s="89">
        <f t="shared" si="35"/>
        <v>312543.45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74427.17</v>
      </c>
      <c r="I516" s="18"/>
      <c r="J516" s="18"/>
      <c r="K516" s="18"/>
      <c r="L516" s="88">
        <f>SUM(F516:K516)</f>
        <v>74427.17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74427.17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74427.17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0</v>
      </c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198880.99</v>
      </c>
      <c r="G535" s="89">
        <f t="shared" ref="G535:L535" si="40">G514+G519+G524+G529+G534</f>
        <v>88312.23</v>
      </c>
      <c r="H535" s="89">
        <f t="shared" si="40"/>
        <v>74752.17</v>
      </c>
      <c r="I535" s="89">
        <f t="shared" si="40"/>
        <v>7404.02</v>
      </c>
      <c r="J535" s="89">
        <f t="shared" si="40"/>
        <v>17621.21</v>
      </c>
      <c r="K535" s="89">
        <f t="shared" si="40"/>
        <v>0</v>
      </c>
      <c r="L535" s="89">
        <f t="shared" si="40"/>
        <v>386970.62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312543.45</v>
      </c>
      <c r="G539" s="87">
        <f>L516</f>
        <v>74427.17</v>
      </c>
      <c r="H539" s="87">
        <f>L521</f>
        <v>0</v>
      </c>
      <c r="I539" s="87">
        <f>L526</f>
        <v>0</v>
      </c>
      <c r="J539" s="87">
        <f>L531</f>
        <v>0</v>
      </c>
      <c r="K539" s="87">
        <f>SUM(F539:J539)</f>
        <v>386970.62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312543.45</v>
      </c>
      <c r="G542" s="89">
        <f t="shared" si="41"/>
        <v>74427.17</v>
      </c>
      <c r="H542" s="89">
        <f t="shared" si="41"/>
        <v>0</v>
      </c>
      <c r="I542" s="89">
        <f t="shared" si="41"/>
        <v>0</v>
      </c>
      <c r="J542" s="89">
        <f t="shared" si="41"/>
        <v>0</v>
      </c>
      <c r="K542" s="89">
        <f t="shared" si="41"/>
        <v>386970.62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0</v>
      </c>
      <c r="G557" s="18">
        <v>0</v>
      </c>
      <c r="H557" s="18">
        <v>0</v>
      </c>
      <c r="I557" s="18">
        <v>0</v>
      </c>
      <c r="J557" s="18">
        <v>299.55</v>
      </c>
      <c r="K557" s="18"/>
      <c r="L557" s="88">
        <f>SUM(F557:K557)</f>
        <v>299.55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299.55</v>
      </c>
      <c r="K560" s="194">
        <f t="shared" si="44"/>
        <v>0</v>
      </c>
      <c r="L560" s="194">
        <f t="shared" si="44"/>
        <v>299.55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299.55</v>
      </c>
      <c r="K561" s="89">
        <f t="shared" si="45"/>
        <v>0</v>
      </c>
      <c r="L561" s="89">
        <f t="shared" si="45"/>
        <v>299.55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0</v>
      </c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0</v>
      </c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116823.88</v>
      </c>
      <c r="I581" s="18"/>
      <c r="J581" s="18"/>
      <c r="K581" s="104">
        <f t="shared" ref="K581:K587" si="47">SUM(H581:J581)</f>
        <v>116823.88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0</v>
      </c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9132.91</v>
      </c>
      <c r="I585" s="18"/>
      <c r="J585" s="18"/>
      <c r="K585" s="104">
        <f t="shared" si="47"/>
        <v>9132.91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125956.79000000001</v>
      </c>
      <c r="I588" s="108">
        <f>SUM(I581:I587)</f>
        <v>0</v>
      </c>
      <c r="J588" s="108">
        <f>SUM(J581:J587)</f>
        <v>0</v>
      </c>
      <c r="K588" s="108">
        <f>SUM(K581:K587)</f>
        <v>125956.79000000001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58386.42</v>
      </c>
      <c r="I594" s="18"/>
      <c r="J594" s="18"/>
      <c r="K594" s="104">
        <f>SUM(H594:J594)</f>
        <v>58386.42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58386.42</v>
      </c>
      <c r="I595" s="108">
        <f>SUM(I592:I594)</f>
        <v>0</v>
      </c>
      <c r="J595" s="108">
        <f>SUM(J592:J594)</f>
        <v>0</v>
      </c>
      <c r="K595" s="108">
        <f>SUM(K592:K594)</f>
        <v>58386.42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4635</v>
      </c>
      <c r="G601" s="18">
        <v>726.31</v>
      </c>
      <c r="H601" s="18"/>
      <c r="I601" s="18"/>
      <c r="J601" s="18"/>
      <c r="K601" s="18"/>
      <c r="L601" s="88">
        <f>SUM(F601:K601)</f>
        <v>5361.3099999999995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4635</v>
      </c>
      <c r="G604" s="108">
        <f t="shared" si="48"/>
        <v>726.31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5361.3099999999995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92359.87000000001</v>
      </c>
      <c r="H607" s="109">
        <f>SUM(F44)</f>
        <v>92359.87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235321.65</v>
      </c>
      <c r="H611" s="109">
        <f>SUM(J44)</f>
        <v>235321.65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60651.839999999997</v>
      </c>
      <c r="H612" s="109">
        <f>F466</f>
        <v>60651.840000000317</v>
      </c>
      <c r="I612" s="121" t="s">
        <v>106</v>
      </c>
      <c r="J612" s="109">
        <f t="shared" ref="J612:J645" si="49">G612-H612</f>
        <v>-3.2014213502407074E-10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235321.65</v>
      </c>
      <c r="H616" s="109">
        <f>J466</f>
        <v>235321.65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2052917.16</v>
      </c>
      <c r="H617" s="104">
        <f>SUM(F458)</f>
        <v>2052917.16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52708.130000000005</v>
      </c>
      <c r="H618" s="104">
        <f>SUM(G458)</f>
        <v>52708.13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144320.46</v>
      </c>
      <c r="H619" s="104">
        <f>SUM(H458)</f>
        <v>144320.46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10928.27</v>
      </c>
      <c r="H621" s="104">
        <f>SUM(J458)</f>
        <v>10928.27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2114742.7800000003</v>
      </c>
      <c r="H622" s="104">
        <f>SUM(F462)</f>
        <v>2114742.7799999998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144442.11000000002</v>
      </c>
      <c r="H623" s="104">
        <f>SUM(H462)</f>
        <v>144442.10999999999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18400.689999999999</v>
      </c>
      <c r="H624" s="104">
        <f>I361</f>
        <v>18400.689999999999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52708.13</v>
      </c>
      <c r="H625" s="104">
        <f>SUM(G462)</f>
        <v>52708.13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10928.27</v>
      </c>
      <c r="H627" s="164">
        <f>SUM(J458)</f>
        <v>10928.27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143539.9</v>
      </c>
      <c r="H629" s="104">
        <f>SUM(F451)</f>
        <v>143539.9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91781.75</v>
      </c>
      <c r="H630" s="104">
        <f>SUM(G451)</f>
        <v>91781.75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235321.65</v>
      </c>
      <c r="H632" s="104">
        <f>SUM(I451)</f>
        <v>235321.65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928.27</v>
      </c>
      <c r="H634" s="104">
        <f>H400</f>
        <v>928.2700000000001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</v>
      </c>
      <c r="H635" s="104">
        <f>G400</f>
        <v>10000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10928.27</v>
      </c>
      <c r="H636" s="104">
        <f>L400</f>
        <v>10928.27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125956.79000000001</v>
      </c>
      <c r="H637" s="104">
        <f>L200+L218+L236</f>
        <v>125956.79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58386.42</v>
      </c>
      <c r="H638" s="104">
        <f>(J249+J330)-(J247+J328)</f>
        <v>58386.420000000006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125956.79</v>
      </c>
      <c r="H639" s="104">
        <f>H588</f>
        <v>125956.79000000001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19456.75</v>
      </c>
      <c r="H642" s="104">
        <f>K255+K337</f>
        <v>19456.75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</v>
      </c>
      <c r="H645" s="104">
        <f>K258+K339</f>
        <v>10000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2282436.27</v>
      </c>
      <c r="G650" s="19">
        <f>(L221+L301+L351)</f>
        <v>0</v>
      </c>
      <c r="H650" s="19">
        <f>(L239+L320+L352)</f>
        <v>0</v>
      </c>
      <c r="I650" s="19">
        <f>SUM(F650:H650)</f>
        <v>2282436.27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21922.78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21922.78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125956.79</v>
      </c>
      <c r="G652" s="19">
        <f>(L218+L298)-(J218+J298)</f>
        <v>0</v>
      </c>
      <c r="H652" s="19">
        <f>(L236+L317)-(J236+J317)</f>
        <v>0</v>
      </c>
      <c r="I652" s="19">
        <f>SUM(F652:H652)</f>
        <v>125956.79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63747.729999999996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63747.729999999996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2070808.97</v>
      </c>
      <c r="G654" s="19">
        <f>G650-SUM(G651:G653)</f>
        <v>0</v>
      </c>
      <c r="H654" s="19">
        <f>H650-SUM(H651:H653)</f>
        <v>0</v>
      </c>
      <c r="I654" s="19">
        <f>I650-SUM(I651:I653)</f>
        <v>2070808.97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94.36</v>
      </c>
      <c r="G655" s="249"/>
      <c r="H655" s="249"/>
      <c r="I655" s="19">
        <f>SUM(F655:H655)</f>
        <v>94.36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21945.83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21945.83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21945.83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21945.83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135A-3308-411E-86BC-D77CE95BC78C}">
  <sheetPr>
    <tabColor indexed="20"/>
  </sheetPr>
  <dimension ref="A1:C52"/>
  <sheetViews>
    <sheetView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Lafayette Reg SD</v>
      </c>
      <c r="C1" s="239" t="s">
        <v>870</v>
      </c>
    </row>
    <row r="2" spans="1:3" x14ac:dyDescent="0.2">
      <c r="A2" s="234"/>
      <c r="B2" s="233"/>
    </row>
    <row r="3" spans="1:3" x14ac:dyDescent="0.2">
      <c r="A3" s="271" t="s">
        <v>815</v>
      </c>
      <c r="B3" s="271"/>
      <c r="C3" s="271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814</v>
      </c>
      <c r="C6" s="272"/>
    </row>
    <row r="7" spans="1:3" x14ac:dyDescent="0.2">
      <c r="A7" s="240" t="s">
        <v>817</v>
      </c>
      <c r="B7" s="273" t="s">
        <v>813</v>
      </c>
      <c r="C7" s="274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604340.37</v>
      </c>
      <c r="C9" s="230">
        <f>'DOE25'!G189+'DOE25'!G207+'DOE25'!G225+'DOE25'!G268+'DOE25'!G287+'DOE25'!G306</f>
        <v>222826.42</v>
      </c>
    </row>
    <row r="10" spans="1:3" x14ac:dyDescent="0.2">
      <c r="A10" t="s">
        <v>810</v>
      </c>
      <c r="B10" s="241">
        <v>577623.06999999995</v>
      </c>
      <c r="C10" s="241">
        <v>199014.1</v>
      </c>
    </row>
    <row r="11" spans="1:3" x14ac:dyDescent="0.2">
      <c r="A11" t="s">
        <v>811</v>
      </c>
      <c r="B11" s="241">
        <v>14464.8</v>
      </c>
      <c r="C11" s="241">
        <v>22875</v>
      </c>
    </row>
    <row r="12" spans="1:3" x14ac:dyDescent="0.2">
      <c r="A12" t="s">
        <v>812</v>
      </c>
      <c r="B12" s="241">
        <v>12252.5</v>
      </c>
      <c r="C12" s="241">
        <v>937.32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604340.37</v>
      </c>
      <c r="C13" s="232">
        <f>SUM(C10:C12)</f>
        <v>222826.42</v>
      </c>
    </row>
    <row r="14" spans="1:3" x14ac:dyDescent="0.2">
      <c r="B14" s="231"/>
      <c r="C14" s="231"/>
    </row>
    <row r="15" spans="1:3" x14ac:dyDescent="0.2">
      <c r="B15" s="272" t="s">
        <v>814</v>
      </c>
      <c r="C15" s="272"/>
    </row>
    <row r="16" spans="1:3" x14ac:dyDescent="0.2">
      <c r="A16" s="240" t="s">
        <v>818</v>
      </c>
      <c r="B16" s="273" t="s">
        <v>738</v>
      </c>
      <c r="C16" s="274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198880.99</v>
      </c>
      <c r="C18" s="230">
        <f>'DOE25'!G190+'DOE25'!G208+'DOE25'!G226+'DOE25'!G269+'DOE25'!G288+'DOE25'!G307</f>
        <v>88312.23000000001</v>
      </c>
    </row>
    <row r="19" spans="1:3" x14ac:dyDescent="0.2">
      <c r="A19" t="s">
        <v>810</v>
      </c>
      <c r="B19" s="241">
        <v>114127.83</v>
      </c>
      <c r="C19" s="241">
        <v>32587.29</v>
      </c>
    </row>
    <row r="20" spans="1:3" x14ac:dyDescent="0.2">
      <c r="A20" t="s">
        <v>811</v>
      </c>
      <c r="B20" s="241">
        <v>84753.16</v>
      </c>
      <c r="C20" s="241">
        <v>55724.94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198880.99</v>
      </c>
      <c r="C22" s="232">
        <f>SUM(C19:C21)</f>
        <v>88312.23000000001</v>
      </c>
    </row>
    <row r="23" spans="1:3" x14ac:dyDescent="0.2">
      <c r="B23" s="231"/>
      <c r="C23" s="231"/>
    </row>
    <row r="24" spans="1:3" x14ac:dyDescent="0.2">
      <c r="B24" s="272" t="s">
        <v>814</v>
      </c>
      <c r="C24" s="272"/>
    </row>
    <row r="25" spans="1:3" x14ac:dyDescent="0.2">
      <c r="A25" s="240" t="s">
        <v>819</v>
      </c>
      <c r="B25" s="273" t="s">
        <v>739</v>
      </c>
      <c r="C25" s="274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814</v>
      </c>
      <c r="C33" s="272"/>
    </row>
    <row r="34" spans="1:3" x14ac:dyDescent="0.2">
      <c r="A34" s="240" t="s">
        <v>820</v>
      </c>
      <c r="B34" s="273" t="s">
        <v>740</v>
      </c>
      <c r="C34" s="274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4700</v>
      </c>
      <c r="C36" s="236">
        <f>'DOE25'!G192+'DOE25'!G210+'DOE25'!G228+'DOE25'!G271+'DOE25'!G290+'DOE25'!G309</f>
        <v>765.03</v>
      </c>
    </row>
    <row r="37" spans="1:3" x14ac:dyDescent="0.2">
      <c r="A37" t="s">
        <v>810</v>
      </c>
      <c r="B37" s="241">
        <v>4700</v>
      </c>
      <c r="C37" s="241">
        <v>765.03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4700</v>
      </c>
      <c r="C40" s="232">
        <f>SUM(C37:C39)</f>
        <v>765.03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7B622-4837-447D-8C75-A922A80A51B6}">
  <sheetPr>
    <tabColor indexed="11"/>
  </sheetPr>
  <dimension ref="A1:I51"/>
  <sheetViews>
    <sheetView workbookViewId="0">
      <pane ySplit="4" topLeftCell="A5" activePane="bottomLeft" state="frozen"/>
      <selection pane="bottomLeft" activeCell="E34" sqref="E3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Lafayette Reg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1129918.6499999999</v>
      </c>
      <c r="D5" s="20">
        <f>SUM('DOE25'!L189:L192)+SUM('DOE25'!L207:L210)+SUM('DOE25'!L225:L228)-F5-G5</f>
        <v>1126703.23</v>
      </c>
      <c r="E5" s="244"/>
      <c r="F5" s="256">
        <f>SUM('DOE25'!J189:J192)+SUM('DOE25'!J207:J210)+SUM('DOE25'!J225:J228)</f>
        <v>2173.7600000000002</v>
      </c>
      <c r="G5" s="53">
        <f>SUM('DOE25'!K189:K192)+SUM('DOE25'!K207:K210)+SUM('DOE25'!K225:K228)</f>
        <v>1041.6600000000001</v>
      </c>
      <c r="H5" s="260"/>
    </row>
    <row r="6" spans="1:9" x14ac:dyDescent="0.2">
      <c r="A6" s="32">
        <v>2100</v>
      </c>
      <c r="B6" t="s">
        <v>832</v>
      </c>
      <c r="C6" s="246">
        <f t="shared" si="0"/>
        <v>170357.74</v>
      </c>
      <c r="D6" s="20">
        <f>'DOE25'!L194+'DOE25'!L212+'DOE25'!L230-F6-G6</f>
        <v>169544.16</v>
      </c>
      <c r="E6" s="244"/>
      <c r="F6" s="256">
        <f>'DOE25'!J194+'DOE25'!J212+'DOE25'!J230</f>
        <v>270.58</v>
      </c>
      <c r="G6" s="53">
        <f>'DOE25'!K194+'DOE25'!K212+'DOE25'!K230</f>
        <v>543</v>
      </c>
      <c r="H6" s="260"/>
    </row>
    <row r="7" spans="1:9" x14ac:dyDescent="0.2">
      <c r="A7" s="32">
        <v>2200</v>
      </c>
      <c r="B7" t="s">
        <v>865</v>
      </c>
      <c r="C7" s="246">
        <f t="shared" si="0"/>
        <v>111770.07999999999</v>
      </c>
      <c r="D7" s="20">
        <f>'DOE25'!L195+'DOE25'!L213+'DOE25'!L231-F7-G7</f>
        <v>103629.50999999998</v>
      </c>
      <c r="E7" s="244"/>
      <c r="F7" s="256">
        <f>'DOE25'!J195+'DOE25'!J213+'DOE25'!J231</f>
        <v>2233.64</v>
      </c>
      <c r="G7" s="53">
        <f>'DOE25'!K195+'DOE25'!K213+'DOE25'!K231</f>
        <v>5906.93</v>
      </c>
      <c r="H7" s="260"/>
    </row>
    <row r="8" spans="1:9" x14ac:dyDescent="0.2">
      <c r="A8" s="32">
        <v>2300</v>
      </c>
      <c r="B8" t="s">
        <v>833</v>
      </c>
      <c r="C8" s="246">
        <f t="shared" si="0"/>
        <v>103243.35</v>
      </c>
      <c r="D8" s="244"/>
      <c r="E8" s="20">
        <f>'DOE25'!L196+'DOE25'!L214+'DOE25'!L232-F8-G8-D9-D11</f>
        <v>99985.36</v>
      </c>
      <c r="F8" s="256">
        <f>'DOE25'!J196+'DOE25'!J214+'DOE25'!J232</f>
        <v>0</v>
      </c>
      <c r="G8" s="53">
        <f>'DOE25'!K196+'DOE25'!K214+'DOE25'!K232</f>
        <v>3257.99</v>
      </c>
      <c r="H8" s="260"/>
    </row>
    <row r="9" spans="1:9" x14ac:dyDescent="0.2">
      <c r="A9" s="32">
        <v>2310</v>
      </c>
      <c r="B9" t="s">
        <v>849</v>
      </c>
      <c r="C9" s="246">
        <f t="shared" si="0"/>
        <v>22895.68</v>
      </c>
      <c r="D9" s="245">
        <v>22895.68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6249.47</v>
      </c>
      <c r="D10" s="244"/>
      <c r="E10" s="245">
        <v>6249.47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18219.45</v>
      </c>
      <c r="D11" s="245">
        <v>18219.45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196035.07</v>
      </c>
      <c r="D12" s="20">
        <f>'DOE25'!L197+'DOE25'!L215+'DOE25'!L233-F12-G12</f>
        <v>195798.09</v>
      </c>
      <c r="E12" s="244"/>
      <c r="F12" s="256">
        <f>'DOE25'!J197+'DOE25'!J215+'DOE25'!J233</f>
        <v>236.98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206889.22</v>
      </c>
      <c r="D14" s="20">
        <f>'DOE25'!L199+'DOE25'!L217+'DOE25'!L235-F14-G14</f>
        <v>206505</v>
      </c>
      <c r="E14" s="244"/>
      <c r="F14" s="256">
        <f>'DOE25'!J199+'DOE25'!J217+'DOE25'!J235</f>
        <v>384.22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125956.79</v>
      </c>
      <c r="D15" s="20">
        <f>'DOE25'!L200+'DOE25'!L218+'DOE25'!L236-F15-G15</f>
        <v>125956.79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36446.92</v>
      </c>
      <c r="D29" s="20">
        <f>'DOE25'!L350+'DOE25'!L351+'DOE25'!L352-'DOE25'!I359-F29-G29</f>
        <v>33152.79</v>
      </c>
      <c r="E29" s="244"/>
      <c r="F29" s="256">
        <f>'DOE25'!J350+'DOE25'!J351+'DOE25'!J352</f>
        <v>3294.13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144442.11000000002</v>
      </c>
      <c r="D31" s="20">
        <f>'DOE25'!L282+'DOE25'!L301+'DOE25'!L320+'DOE25'!L325+'DOE25'!L326+'DOE25'!L327-F31-G31</f>
        <v>89692.21</v>
      </c>
      <c r="E31" s="244"/>
      <c r="F31" s="256">
        <f>'DOE25'!J282+'DOE25'!J301+'DOE25'!J320+'DOE25'!J325+'DOE25'!J326+'DOE25'!J327</f>
        <v>53087.240000000005</v>
      </c>
      <c r="G31" s="53">
        <f>'DOE25'!K282+'DOE25'!K301+'DOE25'!K320+'DOE25'!K325+'DOE25'!K326+'DOE25'!K327</f>
        <v>1662.66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2092096.91</v>
      </c>
      <c r="E33" s="247">
        <f>SUM(E5:E31)</f>
        <v>106234.83</v>
      </c>
      <c r="F33" s="247">
        <f>SUM(F5:F31)</f>
        <v>61680.55</v>
      </c>
      <c r="G33" s="247">
        <f>SUM(G5:G31)</f>
        <v>12412.24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106234.83</v>
      </c>
      <c r="E35" s="250"/>
    </row>
    <row r="36" spans="2:8" ht="12" thickTop="1" x14ac:dyDescent="0.2">
      <c r="B36" t="s">
        <v>846</v>
      </c>
      <c r="D36" s="20">
        <f>D33</f>
        <v>2092096.91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FA4DF-7D51-47AA-B57F-D037CB0C12D5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Lafayette Reg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83553.820000000007</v>
      </c>
      <c r="D9" s="95">
        <f>'DOE25'!G9</f>
        <v>-21310.25</v>
      </c>
      <c r="E9" s="95">
        <f>'DOE25'!H9</f>
        <v>-22631.65</v>
      </c>
      <c r="F9" s="95">
        <f>'DOE25'!I9</f>
        <v>0</v>
      </c>
      <c r="G9" s="95">
        <f>'DOE25'!J9</f>
        <v>235321.65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1853.5</v>
      </c>
      <c r="E13" s="95">
        <f>'DOE25'!H13</f>
        <v>22631.65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8806.0499999999993</v>
      </c>
      <c r="D14" s="95">
        <f>'DOE25'!G14</f>
        <v>19456.75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92359.87000000001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235321.65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31708.03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31708.03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20000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235321.65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40651.839999999997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60651.839999999997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235321.65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92359.87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235321.65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1417231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164.79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928.27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21922.78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10634.98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10799.77</v>
      </c>
      <c r="D54" s="130">
        <f>SUM(D49:D53)</f>
        <v>21922.78</v>
      </c>
      <c r="E54" s="130">
        <f>SUM(E49:E53)</f>
        <v>0</v>
      </c>
      <c r="F54" s="130">
        <f>SUM(F49:F53)</f>
        <v>0</v>
      </c>
      <c r="G54" s="130">
        <f>SUM(G49:G53)</f>
        <v>928.27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1428030.77</v>
      </c>
      <c r="D55" s="22">
        <f>D48+D54</f>
        <v>21922.78</v>
      </c>
      <c r="E55" s="22">
        <f>E48+E54</f>
        <v>0</v>
      </c>
      <c r="F55" s="22">
        <f>F48+F54</f>
        <v>0</v>
      </c>
      <c r="G55" s="22">
        <f>G48+G54</f>
        <v>928.27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596208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596208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441.24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441.24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596208</v>
      </c>
      <c r="D73" s="130">
        <f>SUM(D71:D72)+D70+D62</f>
        <v>441.24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0</v>
      </c>
      <c r="D80" s="95">
        <f>SUM('DOE25'!G145:G153)</f>
        <v>10887.36</v>
      </c>
      <c r="E80" s="95">
        <f>SUM('DOE25'!H145:H153)</f>
        <v>128570.45999999999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15750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28678.39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28678.39</v>
      </c>
      <c r="D83" s="131">
        <f>SUM(D77:D82)</f>
        <v>10887.36</v>
      </c>
      <c r="E83" s="131">
        <f>SUM(E77:E82)</f>
        <v>144320.46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19456.75</v>
      </c>
      <c r="E88" s="95">
        <f>'DOE25'!H171</f>
        <v>0</v>
      </c>
      <c r="F88" s="95">
        <f>'DOE25'!I171</f>
        <v>0</v>
      </c>
      <c r="G88" s="95">
        <f>'DOE25'!J171</f>
        <v>10000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19456.75</v>
      </c>
      <c r="E95" s="86">
        <f>SUM(E85:E94)</f>
        <v>0</v>
      </c>
      <c r="F95" s="86">
        <f>SUM(F85:F94)</f>
        <v>0</v>
      </c>
      <c r="G95" s="86">
        <f>SUM(G85:G94)</f>
        <v>10000</v>
      </c>
    </row>
    <row r="96" spans="1:7" ht="12.75" thickTop="1" thickBot="1" x14ac:dyDescent="0.25">
      <c r="A96" s="33" t="s">
        <v>796</v>
      </c>
      <c r="C96" s="86">
        <f>C55+C73+C83+C95</f>
        <v>2052917.16</v>
      </c>
      <c r="D96" s="86">
        <f>D55+D73+D83+D95</f>
        <v>52708.130000000005</v>
      </c>
      <c r="E96" s="86">
        <f>E55+E73+E83+E95</f>
        <v>144320.46</v>
      </c>
      <c r="F96" s="86">
        <f>F55+F73+F83+F95</f>
        <v>0</v>
      </c>
      <c r="G96" s="86">
        <f>G55+G73+G95</f>
        <v>10928.27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876253.92</v>
      </c>
      <c r="D101" s="24" t="s">
        <v>312</v>
      </c>
      <c r="E101" s="95">
        <f>('DOE25'!L268)+('DOE25'!L287)+('DOE25'!L306)</f>
        <v>36061.06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247158.03999999998</v>
      </c>
      <c r="D102" s="24" t="s">
        <v>312</v>
      </c>
      <c r="E102" s="95">
        <f>('DOE25'!L269)+('DOE25'!L288)+('DOE25'!L307)</f>
        <v>65684.960000000006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6506.69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1129918.6499999999</v>
      </c>
      <c r="D107" s="86">
        <f>SUM(D101:D106)</f>
        <v>0</v>
      </c>
      <c r="E107" s="86">
        <f>SUM(E101:E106)</f>
        <v>101746.02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170357.74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111770.07999999999</v>
      </c>
      <c r="D111" s="24" t="s">
        <v>312</v>
      </c>
      <c r="E111" s="95">
        <f>+('DOE25'!L274)+('DOE25'!L293)+('DOE25'!L312)</f>
        <v>26033.43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144358.47999999998</v>
      </c>
      <c r="D112" s="24" t="s">
        <v>312</v>
      </c>
      <c r="E112" s="95">
        <f>+('DOE25'!L275)+('DOE25'!L294)+('DOE25'!L313)</f>
        <v>1662.66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196035.07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206889.22</v>
      </c>
      <c r="D115" s="24" t="s">
        <v>312</v>
      </c>
      <c r="E115" s="95">
        <f>+('DOE25'!L278)+('DOE25'!L297)+('DOE25'!L316)</f>
        <v>15000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125956.79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52708.13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955367.37999999989</v>
      </c>
      <c r="D120" s="86">
        <f>SUM(D110:D119)</f>
        <v>52708.13</v>
      </c>
      <c r="E120" s="86">
        <f>SUM(E110:E119)</f>
        <v>42696.09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19456.75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10928.27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-928.27000000000044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29456.75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2114742.7799999998</v>
      </c>
      <c r="D137" s="86">
        <f>(D107+D120+D136)</f>
        <v>52708.13</v>
      </c>
      <c r="E137" s="86">
        <f>(E107+E120+E136)</f>
        <v>144442.10999999999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118C-82DA-4C07-B928-D5FC8A3AEDD2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Lafayette Reg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21946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21946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912315</v>
      </c>
      <c r="D10" s="182">
        <f>ROUND((C10/$C$28)*100,1)</f>
        <v>40.4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312843</v>
      </c>
      <c r="D11" s="182">
        <f>ROUND((C11/$C$28)*100,1)</f>
        <v>13.8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6507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170358</v>
      </c>
      <c r="D15" s="182">
        <f t="shared" ref="D15:D27" si="0">ROUND((C15/$C$28)*100,1)</f>
        <v>7.5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137804</v>
      </c>
      <c r="D16" s="182">
        <f t="shared" si="0"/>
        <v>6.1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146021</v>
      </c>
      <c r="D17" s="182">
        <f t="shared" si="0"/>
        <v>6.5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196035</v>
      </c>
      <c r="D18" s="182">
        <f t="shared" si="0"/>
        <v>8.6999999999999993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221889</v>
      </c>
      <c r="D20" s="182">
        <f t="shared" si="0"/>
        <v>9.8000000000000007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125957</v>
      </c>
      <c r="D21" s="182">
        <f t="shared" si="0"/>
        <v>5.6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30785.22</v>
      </c>
      <c r="D27" s="182">
        <f t="shared" si="0"/>
        <v>1.4</v>
      </c>
    </row>
    <row r="28" spans="1:4" x14ac:dyDescent="0.2">
      <c r="B28" s="187" t="s">
        <v>754</v>
      </c>
      <c r="C28" s="180">
        <f>SUM(C10:C27)</f>
        <v>2260514.2200000002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2260514.2200000002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1417231</v>
      </c>
      <c r="D35" s="182">
        <f t="shared" ref="D35:D40" si="1">ROUND((C35/$C$41)*100,1)</f>
        <v>64.099999999999994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11728.040000000037</v>
      </c>
      <c r="D36" s="182">
        <f t="shared" si="1"/>
        <v>0.5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596208</v>
      </c>
      <c r="D37" s="182">
        <f t="shared" si="1"/>
        <v>27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441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183886</v>
      </c>
      <c r="D39" s="182">
        <f t="shared" si="1"/>
        <v>8.3000000000000007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2209494.04</v>
      </c>
      <c r="D41" s="184">
        <f>SUM(D35:D40)</f>
        <v>99.899999999999991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A882B-1400-4FB8-924D-6131D83B8FBD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Lafayette Reg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2011-09-19T15:08:08Z</cp:lastPrinted>
  <dcterms:created xsi:type="dcterms:W3CDTF">1997-12-04T19:04:30Z</dcterms:created>
  <dcterms:modified xsi:type="dcterms:W3CDTF">2025-01-10T20:07:47Z</dcterms:modified>
</cp:coreProperties>
</file>