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A24FB04-5C85-43FC-82C7-A9547B1E6DE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BE62C0F-8F15-4C87-AE3C-F093931AEF3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488" i="1"/>
  <c r="F488" i="1"/>
  <c r="K488" i="1" s="1"/>
  <c r="G603" i="1"/>
  <c r="G601" i="1"/>
  <c r="L601" i="1" s="1"/>
  <c r="J594" i="1"/>
  <c r="K594" i="1" s="1"/>
  <c r="K595" i="1" s="1"/>
  <c r="G638" i="1" s="1"/>
  <c r="I594" i="1"/>
  <c r="B11" i="12"/>
  <c r="H147" i="1"/>
  <c r="H144" i="1"/>
  <c r="E79" i="2" s="1"/>
  <c r="H149" i="1"/>
  <c r="H146" i="1"/>
  <c r="E80" i="2" s="1"/>
  <c r="F102" i="1"/>
  <c r="L372" i="1"/>
  <c r="L366" i="1"/>
  <c r="L367" i="1"/>
  <c r="L368" i="1"/>
  <c r="L369" i="1"/>
  <c r="L370" i="1"/>
  <c r="L371" i="1"/>
  <c r="L373" i="1"/>
  <c r="L374" i="1"/>
  <c r="G626" i="1" s="1"/>
  <c r="I462" i="1"/>
  <c r="I464" i="1" s="1"/>
  <c r="H360" i="1"/>
  <c r="I360" i="1" s="1"/>
  <c r="G360" i="1"/>
  <c r="F360" i="1"/>
  <c r="G432" i="1"/>
  <c r="F432" i="1"/>
  <c r="I432" i="1" s="1"/>
  <c r="L392" i="1"/>
  <c r="L389" i="1"/>
  <c r="L387" i="1"/>
  <c r="L388" i="1"/>
  <c r="L390" i="1"/>
  <c r="L391" i="1"/>
  <c r="L393" i="1"/>
  <c r="C131" i="2" s="1"/>
  <c r="L381" i="1"/>
  <c r="L385" i="1" s="1"/>
  <c r="C130" i="2" s="1"/>
  <c r="L379" i="1"/>
  <c r="L380" i="1"/>
  <c r="L382" i="1"/>
  <c r="L383" i="1"/>
  <c r="L384" i="1"/>
  <c r="L395" i="1"/>
  <c r="L396" i="1"/>
  <c r="L397" i="1"/>
  <c r="L398" i="1"/>
  <c r="L399" i="1"/>
  <c r="H306" i="1"/>
  <c r="F287" i="1"/>
  <c r="L287" i="1" s="1"/>
  <c r="L301" i="1" s="1"/>
  <c r="H268" i="1"/>
  <c r="H282" i="1" s="1"/>
  <c r="H330" i="1" s="1"/>
  <c r="H344" i="1" s="1"/>
  <c r="I268" i="1"/>
  <c r="I282" i="1" s="1"/>
  <c r="I330" i="1" s="1"/>
  <c r="I344" i="1" s="1"/>
  <c r="G268" i="1"/>
  <c r="C9" i="12" s="1"/>
  <c r="F325" i="1"/>
  <c r="F268" i="1"/>
  <c r="I290" i="1"/>
  <c r="K306" i="1"/>
  <c r="L306" i="1"/>
  <c r="L307" i="1"/>
  <c r="E102" i="2" s="1"/>
  <c r="L311" i="1"/>
  <c r="L308" i="1"/>
  <c r="L309" i="1"/>
  <c r="L312" i="1"/>
  <c r="L313" i="1"/>
  <c r="L314" i="1"/>
  <c r="E113" i="2" s="1"/>
  <c r="L315" i="1"/>
  <c r="L316" i="1"/>
  <c r="L317" i="1"/>
  <c r="L318" i="1"/>
  <c r="L268" i="1"/>
  <c r="L269" i="1"/>
  <c r="L274" i="1"/>
  <c r="L270" i="1"/>
  <c r="L271" i="1"/>
  <c r="E104" i="2" s="1"/>
  <c r="L273" i="1"/>
  <c r="E110" i="2" s="1"/>
  <c r="L275" i="1"/>
  <c r="L276" i="1"/>
  <c r="L277" i="1"/>
  <c r="L278" i="1"/>
  <c r="L279" i="1"/>
  <c r="C21" i="10" s="1"/>
  <c r="L280" i="1"/>
  <c r="E117" i="2" s="1"/>
  <c r="L282" i="1"/>
  <c r="L290" i="1"/>
  <c r="L288" i="1"/>
  <c r="L293" i="1"/>
  <c r="E111" i="2" s="1"/>
  <c r="L289" i="1"/>
  <c r="L292" i="1"/>
  <c r="L294" i="1"/>
  <c r="L295" i="1"/>
  <c r="L296" i="1"/>
  <c r="L297" i="1"/>
  <c r="C20" i="10" s="1"/>
  <c r="L298" i="1"/>
  <c r="L299" i="1"/>
  <c r="F329" i="1"/>
  <c r="L329" i="1" s="1"/>
  <c r="G329" i="1"/>
  <c r="H329" i="1"/>
  <c r="I329" i="1"/>
  <c r="K329" i="1"/>
  <c r="J329" i="1"/>
  <c r="L333" i="1"/>
  <c r="C32" i="10" s="1"/>
  <c r="L334" i="1"/>
  <c r="E124" i="2" s="1"/>
  <c r="L336" i="1"/>
  <c r="E126" i="2" s="1"/>
  <c r="L337" i="1"/>
  <c r="L338" i="1"/>
  <c r="L339" i="1"/>
  <c r="L341" i="1"/>
  <c r="L342" i="1"/>
  <c r="E135" i="2" s="1"/>
  <c r="L418" i="1"/>
  <c r="L413" i="1"/>
  <c r="L419" i="1" s="1"/>
  <c r="L414" i="1"/>
  <c r="L415" i="1"/>
  <c r="L416" i="1"/>
  <c r="L417" i="1"/>
  <c r="L405" i="1"/>
  <c r="L406" i="1"/>
  <c r="L407" i="1"/>
  <c r="L408" i="1"/>
  <c r="L409" i="1"/>
  <c r="L410" i="1"/>
  <c r="L411" i="1"/>
  <c r="L421" i="1"/>
  <c r="L425" i="1" s="1"/>
  <c r="L422" i="1"/>
  <c r="L423" i="1"/>
  <c r="L424" i="1"/>
  <c r="L350" i="1"/>
  <c r="F651" i="1" s="1"/>
  <c r="I651" i="1" s="1"/>
  <c r="L351" i="1"/>
  <c r="L352" i="1"/>
  <c r="L353" i="1"/>
  <c r="L354" i="1"/>
  <c r="G625" i="1" s="1"/>
  <c r="G462" i="1"/>
  <c r="G464" i="1" s="1"/>
  <c r="K262" i="1"/>
  <c r="F262" i="1"/>
  <c r="G262" i="1"/>
  <c r="H262" i="1"/>
  <c r="I262" i="1"/>
  <c r="J262" i="1"/>
  <c r="L262" i="1" s="1"/>
  <c r="L189" i="1"/>
  <c r="L190" i="1"/>
  <c r="L191" i="1"/>
  <c r="L192" i="1"/>
  <c r="L203" i="1" s="1"/>
  <c r="L194" i="1"/>
  <c r="D6" i="13" s="1"/>
  <c r="C6" i="13" s="1"/>
  <c r="L195" i="1"/>
  <c r="D7" i="13" s="1"/>
  <c r="C7" i="13" s="1"/>
  <c r="L196" i="1"/>
  <c r="L197" i="1"/>
  <c r="L198" i="1"/>
  <c r="E13" i="13" s="1"/>
  <c r="C13" i="13" s="1"/>
  <c r="L199" i="1"/>
  <c r="L200" i="1"/>
  <c r="D15" i="13" s="1"/>
  <c r="C15" i="13" s="1"/>
  <c r="L201" i="1"/>
  <c r="C117" i="2" s="1"/>
  <c r="L207" i="1"/>
  <c r="L208" i="1"/>
  <c r="L209" i="1"/>
  <c r="C103" i="2" s="1"/>
  <c r="L210" i="1"/>
  <c r="D5" i="13" s="1"/>
  <c r="L212" i="1"/>
  <c r="L213" i="1"/>
  <c r="L214" i="1"/>
  <c r="L215" i="1"/>
  <c r="C18" i="10" s="1"/>
  <c r="L216" i="1"/>
  <c r="L217" i="1"/>
  <c r="L218" i="1"/>
  <c r="G652" i="1" s="1"/>
  <c r="L219" i="1"/>
  <c r="L225" i="1"/>
  <c r="L226" i="1"/>
  <c r="C102" i="2" s="1"/>
  <c r="L227" i="1"/>
  <c r="L228" i="1"/>
  <c r="L230" i="1"/>
  <c r="L231" i="1"/>
  <c r="L232" i="1"/>
  <c r="L233" i="1"/>
  <c r="L234" i="1"/>
  <c r="L235" i="1"/>
  <c r="L236" i="1"/>
  <c r="L237" i="1"/>
  <c r="F248" i="1"/>
  <c r="L248" i="1" s="1"/>
  <c r="G248" i="1"/>
  <c r="H248" i="1"/>
  <c r="H249" i="1" s="1"/>
  <c r="H263" i="1" s="1"/>
  <c r="I248" i="1"/>
  <c r="J248" i="1"/>
  <c r="K248" i="1"/>
  <c r="I52" i="1"/>
  <c r="I103" i="1"/>
  <c r="I104" i="1"/>
  <c r="I185" i="1" s="1"/>
  <c r="I458" i="1" s="1"/>
  <c r="I113" i="1"/>
  <c r="I132" i="1" s="1"/>
  <c r="I128" i="1"/>
  <c r="I139" i="1"/>
  <c r="I154" i="1"/>
  <c r="I161" i="1" s="1"/>
  <c r="I169" i="1"/>
  <c r="I184" i="1" s="1"/>
  <c r="I175" i="1"/>
  <c r="I180" i="1"/>
  <c r="H139" i="1"/>
  <c r="H52" i="1"/>
  <c r="H71" i="1"/>
  <c r="E49" i="2" s="1"/>
  <c r="E54" i="2" s="1"/>
  <c r="H86" i="1"/>
  <c r="H103" i="1"/>
  <c r="H104" i="1" s="1"/>
  <c r="H113" i="1"/>
  <c r="H132" i="1" s="1"/>
  <c r="H128" i="1"/>
  <c r="H175" i="1"/>
  <c r="H180" i="1"/>
  <c r="H184" i="1"/>
  <c r="G175" i="1"/>
  <c r="G180" i="1"/>
  <c r="G184" i="1"/>
  <c r="G52" i="1"/>
  <c r="G104" i="1" s="1"/>
  <c r="G185" i="1" s="1"/>
  <c r="G103" i="1"/>
  <c r="G113" i="1"/>
  <c r="G128" i="1"/>
  <c r="G132" i="1"/>
  <c r="G139" i="1"/>
  <c r="G161" i="1" s="1"/>
  <c r="G154" i="1"/>
  <c r="F103" i="1"/>
  <c r="F52" i="1"/>
  <c r="F55" i="1"/>
  <c r="F71" i="1" s="1"/>
  <c r="F86" i="1"/>
  <c r="F113" i="1"/>
  <c r="F132" i="1" s="1"/>
  <c r="C38" i="10" s="1"/>
  <c r="F128" i="1"/>
  <c r="F139" i="1"/>
  <c r="F152" i="1"/>
  <c r="F154" i="1" s="1"/>
  <c r="F161" i="1" s="1"/>
  <c r="F169" i="1"/>
  <c r="F184" i="1" s="1"/>
  <c r="F175" i="1"/>
  <c r="F180" i="1"/>
  <c r="F25" i="1"/>
  <c r="C24" i="2" s="1"/>
  <c r="J113" i="1"/>
  <c r="J128" i="1"/>
  <c r="J132" i="1"/>
  <c r="C37" i="10"/>
  <c r="C60" i="2"/>
  <c r="B2" i="13"/>
  <c r="F8" i="13"/>
  <c r="G8" i="13"/>
  <c r="E8" i="13"/>
  <c r="E33" i="13" s="1"/>
  <c r="D35" i="13" s="1"/>
  <c r="D39" i="13"/>
  <c r="F13" i="13"/>
  <c r="G13" i="13"/>
  <c r="F16" i="13"/>
  <c r="G16" i="13"/>
  <c r="E16" i="13"/>
  <c r="F5" i="13"/>
  <c r="G5" i="13"/>
  <c r="F6" i="13"/>
  <c r="G6" i="13"/>
  <c r="G33" i="13" s="1"/>
  <c r="F7" i="13"/>
  <c r="G7" i="13"/>
  <c r="F12" i="13"/>
  <c r="G12" i="13"/>
  <c r="F14" i="13"/>
  <c r="G14" i="13"/>
  <c r="D14" i="13"/>
  <c r="C14" i="13" s="1"/>
  <c r="F15" i="13"/>
  <c r="G15" i="13"/>
  <c r="F17" i="13"/>
  <c r="G17" i="13"/>
  <c r="L243" i="1"/>
  <c r="C24" i="10" s="1"/>
  <c r="D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I359" i="1"/>
  <c r="D29" i="13"/>
  <c r="C29" i="13" s="1"/>
  <c r="J282" i="1"/>
  <c r="F31" i="13" s="1"/>
  <c r="J301" i="1"/>
  <c r="J320" i="1"/>
  <c r="K282" i="1"/>
  <c r="G31" i="13" s="1"/>
  <c r="K301" i="1"/>
  <c r="K320" i="1"/>
  <c r="L325" i="1"/>
  <c r="L326" i="1"/>
  <c r="L327" i="1"/>
  <c r="L252" i="1"/>
  <c r="L253" i="1"/>
  <c r="C124" i="2" s="1"/>
  <c r="L247" i="1"/>
  <c r="L328" i="1"/>
  <c r="F22" i="13"/>
  <c r="C22" i="13" s="1"/>
  <c r="C17" i="13"/>
  <c r="C16" i="13"/>
  <c r="C11" i="13"/>
  <c r="C10" i="13"/>
  <c r="C9" i="13"/>
  <c r="B4" i="12"/>
  <c r="B36" i="12"/>
  <c r="C36" i="12"/>
  <c r="B40" i="12"/>
  <c r="C40" i="12"/>
  <c r="A40" i="12"/>
  <c r="B27" i="12"/>
  <c r="C27" i="12"/>
  <c r="B31" i="12"/>
  <c r="C31" i="12"/>
  <c r="A31" i="12"/>
  <c r="B9" i="12"/>
  <c r="A13" i="12" s="1"/>
  <c r="B13" i="12"/>
  <c r="C13" i="12"/>
  <c r="B18" i="12"/>
  <c r="A22" i="12" s="1"/>
  <c r="B22" i="12"/>
  <c r="C18" i="12"/>
  <c r="C22" i="12"/>
  <c r="B1" i="12"/>
  <c r="C132" i="2"/>
  <c r="L258" i="1"/>
  <c r="J52" i="1"/>
  <c r="J104" i="1" s="1"/>
  <c r="J185" i="1" s="1"/>
  <c r="G621" i="1" s="1"/>
  <c r="G48" i="2"/>
  <c r="G51" i="2"/>
  <c r="G54" i="2" s="1"/>
  <c r="G53" i="2"/>
  <c r="F2" i="11"/>
  <c r="L603" i="1"/>
  <c r="H653" i="1"/>
  <c r="L602" i="1"/>
  <c r="G653" i="1" s="1"/>
  <c r="C40" i="10"/>
  <c r="C35" i="10"/>
  <c r="J103" i="1"/>
  <c r="C17" i="10"/>
  <c r="L242" i="1"/>
  <c r="C23" i="10" s="1"/>
  <c r="L324" i="1"/>
  <c r="L246" i="1"/>
  <c r="L260" i="1"/>
  <c r="C26" i="10" s="1"/>
  <c r="L261" i="1"/>
  <c r="C135" i="2" s="1"/>
  <c r="I655" i="1"/>
  <c r="I660" i="1"/>
  <c r="G651" i="1"/>
  <c r="H651" i="1"/>
  <c r="H652" i="1"/>
  <c r="I659" i="1"/>
  <c r="C42" i="10"/>
  <c r="C29" i="10"/>
  <c r="B2" i="10"/>
  <c r="K343" i="1"/>
  <c r="L511" i="1"/>
  <c r="F539" i="1" s="1"/>
  <c r="L512" i="1"/>
  <c r="F540" i="1"/>
  <c r="L513" i="1"/>
  <c r="F541" i="1"/>
  <c r="K541" i="1" s="1"/>
  <c r="L516" i="1"/>
  <c r="G539" i="1"/>
  <c r="G542" i="1" s="1"/>
  <c r="L517" i="1"/>
  <c r="G540" i="1"/>
  <c r="L518" i="1"/>
  <c r="L519" i="1" s="1"/>
  <c r="G541" i="1"/>
  <c r="L521" i="1"/>
  <c r="H539" i="1"/>
  <c r="H542" i="1" s="1"/>
  <c r="L522" i="1"/>
  <c r="L524" i="1" s="1"/>
  <c r="H540" i="1"/>
  <c r="L523" i="1"/>
  <c r="H541" i="1" s="1"/>
  <c r="L526" i="1"/>
  <c r="I539" i="1"/>
  <c r="I542" i="1" s="1"/>
  <c r="L527" i="1"/>
  <c r="L529" i="1" s="1"/>
  <c r="I540" i="1"/>
  <c r="L528" i="1"/>
  <c r="I541" i="1"/>
  <c r="L531" i="1"/>
  <c r="J539" i="1"/>
  <c r="L532" i="1"/>
  <c r="J540" i="1" s="1"/>
  <c r="L533" i="1"/>
  <c r="J541" i="1"/>
  <c r="C123" i="2"/>
  <c r="A1" i="2"/>
  <c r="A2" i="2"/>
  <c r="C9" i="2"/>
  <c r="D9" i="2"/>
  <c r="D19" i="2" s="1"/>
  <c r="E9" i="2"/>
  <c r="E19" i="2" s="1"/>
  <c r="F9" i="2"/>
  <c r="F19" i="2" s="1"/>
  <c r="I431" i="1"/>
  <c r="J9" i="1"/>
  <c r="G9" i="2"/>
  <c r="C10" i="2"/>
  <c r="D10" i="2"/>
  <c r="E10" i="2"/>
  <c r="F10" i="2"/>
  <c r="C11" i="2"/>
  <c r="C19" i="2" s="1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C32" i="2" s="1"/>
  <c r="D23" i="2"/>
  <c r="E23" i="2"/>
  <c r="F23" i="2"/>
  <c r="I441" i="1"/>
  <c r="J24" i="1"/>
  <c r="G23" i="2"/>
  <c r="D24" i="2"/>
  <c r="D32" i="2" s="1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 s="1"/>
  <c r="F32" i="2"/>
  <c r="C34" i="2"/>
  <c r="D34" i="2"/>
  <c r="D42" i="2" s="1"/>
  <c r="D43" i="2" s="1"/>
  <c r="E34" i="2"/>
  <c r="E42" i="2" s="1"/>
  <c r="E43" i="2" s="1"/>
  <c r="F34" i="2"/>
  <c r="F42" i="2" s="1"/>
  <c r="F43" i="2" s="1"/>
  <c r="C35" i="2"/>
  <c r="D35" i="2"/>
  <c r="E35" i="2"/>
  <c r="F35" i="2"/>
  <c r="C36" i="2"/>
  <c r="C42" i="2" s="1"/>
  <c r="D36" i="2"/>
  <c r="E36" i="2"/>
  <c r="F36" i="2"/>
  <c r="I446" i="1"/>
  <c r="J37" i="1"/>
  <c r="J43" i="1" s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I450" i="1" s="1"/>
  <c r="J41" i="1"/>
  <c r="G40" i="2" s="1"/>
  <c r="C41" i="2"/>
  <c r="D41" i="2"/>
  <c r="E41" i="2"/>
  <c r="F41" i="2"/>
  <c r="C48" i="2"/>
  <c r="D48" i="2"/>
  <c r="D55" i="2" s="1"/>
  <c r="E48" i="2"/>
  <c r="F48" i="2"/>
  <c r="C50" i="2"/>
  <c r="E50" i="2"/>
  <c r="C51" i="2"/>
  <c r="D51" i="2"/>
  <c r="E51" i="2"/>
  <c r="F51" i="2"/>
  <c r="D52" i="2"/>
  <c r="C53" i="2"/>
  <c r="D53" i="2"/>
  <c r="E53" i="2"/>
  <c r="F53" i="2"/>
  <c r="D54" i="2"/>
  <c r="F54" i="2"/>
  <c r="F55" i="2" s="1"/>
  <c r="C58" i="2"/>
  <c r="C59" i="2"/>
  <c r="C61" i="2"/>
  <c r="D61" i="2"/>
  <c r="D62" i="2" s="1"/>
  <c r="E61" i="2"/>
  <c r="E62" i="2" s="1"/>
  <c r="F61" i="2"/>
  <c r="F62" i="2" s="1"/>
  <c r="G61" i="2"/>
  <c r="G62" i="2" s="1"/>
  <c r="C62" i="2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E69" i="2"/>
  <c r="F69" i="2"/>
  <c r="G69" i="2"/>
  <c r="F70" i="2"/>
  <c r="F73" i="2" s="1"/>
  <c r="G70" i="2"/>
  <c r="C71" i="2"/>
  <c r="D71" i="2"/>
  <c r="E71" i="2"/>
  <c r="C72" i="2"/>
  <c r="E72" i="2"/>
  <c r="C77" i="2"/>
  <c r="C83" i="2" s="1"/>
  <c r="E77" i="2"/>
  <c r="F77" i="2"/>
  <c r="C79" i="2"/>
  <c r="F79" i="2"/>
  <c r="C80" i="2"/>
  <c r="D80" i="2"/>
  <c r="F80" i="2"/>
  <c r="C81" i="2"/>
  <c r="D81" i="2"/>
  <c r="E81" i="2"/>
  <c r="F81" i="2"/>
  <c r="F83" i="2" s="1"/>
  <c r="C82" i="2"/>
  <c r="C85" i="2"/>
  <c r="C95" i="2" s="1"/>
  <c r="F85" i="2"/>
  <c r="C86" i="2"/>
  <c r="F86" i="2"/>
  <c r="D88" i="2"/>
  <c r="D95" i="2" s="1"/>
  <c r="E88" i="2"/>
  <c r="E95" i="2" s="1"/>
  <c r="F88" i="2"/>
  <c r="F95" i="2" s="1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E103" i="2"/>
  <c r="E105" i="2"/>
  <c r="E106" i="2"/>
  <c r="D107" i="2"/>
  <c r="F107" i="2"/>
  <c r="G107" i="2"/>
  <c r="C112" i="2"/>
  <c r="E112" i="2"/>
  <c r="C113" i="2"/>
  <c r="E114" i="2"/>
  <c r="C115" i="2"/>
  <c r="C116" i="2"/>
  <c r="D119" i="2"/>
  <c r="D120" i="2"/>
  <c r="D137" i="2" s="1"/>
  <c r="F120" i="2"/>
  <c r="G120" i="2"/>
  <c r="C122" i="2"/>
  <c r="E122" i="2"/>
  <c r="F122" i="2"/>
  <c r="D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/>
  <c r="E129" i="2"/>
  <c r="C134" i="2"/>
  <c r="E134" i="2"/>
  <c r="D136" i="2"/>
  <c r="F136" i="2"/>
  <c r="F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C151" i="2"/>
  <c r="D151" i="2"/>
  <c r="E151" i="2"/>
  <c r="F151" i="2"/>
  <c r="B152" i="2"/>
  <c r="C152" i="2"/>
  <c r="G152" i="2" s="1"/>
  <c r="D152" i="2"/>
  <c r="E152" i="2"/>
  <c r="F152" i="2"/>
  <c r="G490" i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G156" i="2" s="1"/>
  <c r="H493" i="1"/>
  <c r="K493" i="1" s="1"/>
  <c r="D156" i="2"/>
  <c r="I493" i="1"/>
  <c r="E156" i="2" s="1"/>
  <c r="J493" i="1"/>
  <c r="F156" i="2"/>
  <c r="F19" i="1"/>
  <c r="G607" i="1" s="1"/>
  <c r="G19" i="1"/>
  <c r="H19" i="1"/>
  <c r="I19" i="1"/>
  <c r="G33" i="1"/>
  <c r="G44" i="1" s="1"/>
  <c r="H608" i="1" s="1"/>
  <c r="H33" i="1"/>
  <c r="I33" i="1"/>
  <c r="F43" i="1"/>
  <c r="G43" i="1"/>
  <c r="H43" i="1"/>
  <c r="I43" i="1"/>
  <c r="H44" i="1"/>
  <c r="H609" i="1" s="1"/>
  <c r="J609" i="1" s="1"/>
  <c r="I44" i="1"/>
  <c r="H610" i="1" s="1"/>
  <c r="J175" i="1"/>
  <c r="J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9" i="1"/>
  <c r="F263" i="1" s="1"/>
  <c r="G249" i="1"/>
  <c r="G263" i="1" s="1"/>
  <c r="J249" i="1"/>
  <c r="H638" i="1" s="1"/>
  <c r="F282" i="1"/>
  <c r="G282" i="1"/>
  <c r="G330" i="1" s="1"/>
  <c r="G344" i="1" s="1"/>
  <c r="F301" i="1"/>
  <c r="G301" i="1"/>
  <c r="H301" i="1"/>
  <c r="I301" i="1"/>
  <c r="F320" i="1"/>
  <c r="G320" i="1"/>
  <c r="H320" i="1"/>
  <c r="I320" i="1"/>
  <c r="F330" i="1"/>
  <c r="F344" i="1" s="1"/>
  <c r="J330" i="1"/>
  <c r="J344" i="1" s="1"/>
  <c r="F354" i="1"/>
  <c r="G354" i="1"/>
  <c r="H354" i="1"/>
  <c r="I354" i="1"/>
  <c r="J354" i="1"/>
  <c r="K354" i="1"/>
  <c r="F361" i="1"/>
  <c r="G361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J633" i="1" s="1"/>
  <c r="G399" i="1"/>
  <c r="H399" i="1"/>
  <c r="I399" i="1"/>
  <c r="G400" i="1"/>
  <c r="F411" i="1"/>
  <c r="G411" i="1"/>
  <c r="H411" i="1"/>
  <c r="H426" i="1" s="1"/>
  <c r="I411" i="1"/>
  <c r="I426" i="1" s="1"/>
  <c r="J411" i="1"/>
  <c r="J426" i="1" s="1"/>
  <c r="F419" i="1"/>
  <c r="G419" i="1"/>
  <c r="H419" i="1"/>
  <c r="I419" i="1"/>
  <c r="J419" i="1"/>
  <c r="F425" i="1"/>
  <c r="G425" i="1"/>
  <c r="H425" i="1"/>
  <c r="I425" i="1"/>
  <c r="J425" i="1"/>
  <c r="F426" i="1"/>
  <c r="G426" i="1"/>
  <c r="F438" i="1"/>
  <c r="G438" i="1"/>
  <c r="H438" i="1"/>
  <c r="G631" i="1" s="1"/>
  <c r="J631" i="1" s="1"/>
  <c r="F444" i="1"/>
  <c r="G444" i="1"/>
  <c r="H444" i="1"/>
  <c r="H451" i="1" s="1"/>
  <c r="H631" i="1" s="1"/>
  <c r="I444" i="1"/>
  <c r="F450" i="1"/>
  <c r="F451" i="1" s="1"/>
  <c r="H629" i="1" s="1"/>
  <c r="J629" i="1" s="1"/>
  <c r="G450" i="1"/>
  <c r="H450" i="1"/>
  <c r="G451" i="1"/>
  <c r="H630" i="1" s="1"/>
  <c r="K485" i="1"/>
  <c r="K486" i="1"/>
  <c r="K487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G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588" i="1"/>
  <c r="K592" i="1"/>
  <c r="K593" i="1"/>
  <c r="H595" i="1"/>
  <c r="I595" i="1"/>
  <c r="J595" i="1"/>
  <c r="F604" i="1"/>
  <c r="G604" i="1"/>
  <c r="H604" i="1"/>
  <c r="I604" i="1"/>
  <c r="J604" i="1"/>
  <c r="K604" i="1"/>
  <c r="G608" i="1"/>
  <c r="J608" i="1" s="1"/>
  <c r="G609" i="1"/>
  <c r="G610" i="1"/>
  <c r="J610" i="1" s="1"/>
  <c r="G612" i="1"/>
  <c r="G613" i="1"/>
  <c r="G614" i="1"/>
  <c r="G615" i="1"/>
  <c r="G616" i="1"/>
  <c r="G624" i="1"/>
  <c r="G629" i="1"/>
  <c r="G630" i="1"/>
  <c r="J630" i="1" s="1"/>
  <c r="G633" i="1"/>
  <c r="G634" i="1"/>
  <c r="J634" i="1" s="1"/>
  <c r="G635" i="1"/>
  <c r="H635" i="1"/>
  <c r="J635" i="1"/>
  <c r="G636" i="1"/>
  <c r="H637" i="1"/>
  <c r="H639" i="1"/>
  <c r="G640" i="1"/>
  <c r="J640" i="1" s="1"/>
  <c r="G641" i="1"/>
  <c r="H641" i="1"/>
  <c r="J641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H620" i="1" l="1"/>
  <c r="I460" i="1"/>
  <c r="I466" i="1" s="1"/>
  <c r="H615" i="1" s="1"/>
  <c r="J615" i="1" s="1"/>
  <c r="K535" i="1"/>
  <c r="E55" i="2"/>
  <c r="E96" i="2" s="1"/>
  <c r="L426" i="1"/>
  <c r="L400" i="1"/>
  <c r="K588" i="1"/>
  <c r="G637" i="1" s="1"/>
  <c r="J637" i="1" s="1"/>
  <c r="F33" i="13"/>
  <c r="G458" i="1"/>
  <c r="G618" i="1"/>
  <c r="E101" i="2"/>
  <c r="E107" i="2" s="1"/>
  <c r="C10" i="10"/>
  <c r="L320" i="1"/>
  <c r="D31" i="13" s="1"/>
  <c r="J626" i="1"/>
  <c r="E83" i="2"/>
  <c r="D73" i="2"/>
  <c r="J44" i="1"/>
  <c r="H611" i="1" s="1"/>
  <c r="I361" i="1"/>
  <c r="H624" i="1" s="1"/>
  <c r="J624" i="1" s="1"/>
  <c r="H161" i="1"/>
  <c r="H185" i="1" s="1"/>
  <c r="C5" i="13"/>
  <c r="L249" i="1"/>
  <c r="L263" i="1" s="1"/>
  <c r="F650" i="1"/>
  <c r="C49" i="2"/>
  <c r="C54" i="2" s="1"/>
  <c r="C55" i="2" s="1"/>
  <c r="C96" i="2" s="1"/>
  <c r="F104" i="1"/>
  <c r="F185" i="1" s="1"/>
  <c r="J638" i="1"/>
  <c r="J33" i="1"/>
  <c r="G31" i="2"/>
  <c r="J542" i="1"/>
  <c r="K540" i="1"/>
  <c r="F542" i="1"/>
  <c r="K539" i="1"/>
  <c r="F653" i="1"/>
  <c r="I653" i="1" s="1"/>
  <c r="L604" i="1"/>
  <c r="G42" i="2"/>
  <c r="I438" i="1"/>
  <c r="G632" i="1" s="1"/>
  <c r="J10" i="1"/>
  <c r="C43" i="2"/>
  <c r="G32" i="2"/>
  <c r="G55" i="2"/>
  <c r="G96" i="2" s="1"/>
  <c r="I451" i="1"/>
  <c r="H632" i="1" s="1"/>
  <c r="G149" i="2"/>
  <c r="G620" i="1"/>
  <c r="G73" i="2"/>
  <c r="F96" i="2"/>
  <c r="C133" i="2"/>
  <c r="C136" i="2" s="1"/>
  <c r="F33" i="1"/>
  <c r="F44" i="1" s="1"/>
  <c r="H607" i="1" s="1"/>
  <c r="J607" i="1" s="1"/>
  <c r="C16" i="10"/>
  <c r="H154" i="1"/>
  <c r="G639" i="1"/>
  <c r="J639" i="1" s="1"/>
  <c r="J263" i="1"/>
  <c r="C105" i="2"/>
  <c r="C13" i="10"/>
  <c r="L239" i="1"/>
  <c r="C106" i="2"/>
  <c r="D77" i="2"/>
  <c r="D83" i="2" s="1"/>
  <c r="D96" i="2" s="1"/>
  <c r="H25" i="13"/>
  <c r="C15" i="10"/>
  <c r="H361" i="1"/>
  <c r="F490" i="1"/>
  <c r="B151" i="2"/>
  <c r="G151" i="2" s="1"/>
  <c r="C111" i="2"/>
  <c r="C12" i="10"/>
  <c r="C36" i="10"/>
  <c r="C8" i="13"/>
  <c r="L221" i="1"/>
  <c r="G650" i="1" s="1"/>
  <c r="G654" i="1" s="1"/>
  <c r="C25" i="10"/>
  <c r="H626" i="1"/>
  <c r="E116" i="2"/>
  <c r="C104" i="2"/>
  <c r="C107" i="2" s="1"/>
  <c r="C11" i="10"/>
  <c r="D12" i="13"/>
  <c r="C12" i="13" s="1"/>
  <c r="L514" i="1"/>
  <c r="L535" i="1" s="1"/>
  <c r="C110" i="2"/>
  <c r="F652" i="1"/>
  <c r="I652" i="1" s="1"/>
  <c r="L343" i="1"/>
  <c r="E115" i="2"/>
  <c r="E120" i="2" s="1"/>
  <c r="C27" i="10"/>
  <c r="H625" i="1"/>
  <c r="J625" i="1" s="1"/>
  <c r="K330" i="1"/>
  <c r="K344" i="1" s="1"/>
  <c r="E123" i="2"/>
  <c r="E136" i="2" s="1"/>
  <c r="C114" i="2"/>
  <c r="C19" i="10"/>
  <c r="H458" i="1" l="1"/>
  <c r="G619" i="1"/>
  <c r="C31" i="13"/>
  <c r="D33" i="13"/>
  <c r="D36" i="13" s="1"/>
  <c r="D13" i="10"/>
  <c r="G617" i="1"/>
  <c r="F458" i="1"/>
  <c r="C28" i="10"/>
  <c r="D10" i="10"/>
  <c r="C39" i="10"/>
  <c r="C41" i="10" s="1"/>
  <c r="C120" i="2"/>
  <c r="C137" i="2" s="1"/>
  <c r="L330" i="1"/>
  <c r="L344" i="1" s="1"/>
  <c r="K542" i="1"/>
  <c r="E137" i="2"/>
  <c r="K490" i="1"/>
  <c r="B153" i="2"/>
  <c r="G153" i="2" s="1"/>
  <c r="D16" i="10"/>
  <c r="I650" i="1"/>
  <c r="I654" i="1" s="1"/>
  <c r="F654" i="1"/>
  <c r="J618" i="1"/>
  <c r="G622" i="1"/>
  <c r="F462" i="1"/>
  <c r="H618" i="1"/>
  <c r="G460" i="1"/>
  <c r="G466" i="1" s="1"/>
  <c r="H613" i="1" s="1"/>
  <c r="J613" i="1" s="1"/>
  <c r="D15" i="10"/>
  <c r="C25" i="13"/>
  <c r="H33" i="13"/>
  <c r="G10" i="2"/>
  <c r="G19" i="2" s="1"/>
  <c r="J19" i="1"/>
  <c r="G611" i="1" s="1"/>
  <c r="D25" i="10"/>
  <c r="J632" i="1"/>
  <c r="J458" i="1"/>
  <c r="H636" i="1"/>
  <c r="J636" i="1" s="1"/>
  <c r="G627" i="1"/>
  <c r="D27" i="10"/>
  <c r="G662" i="1"/>
  <c r="C5" i="10" s="1"/>
  <c r="G657" i="1"/>
  <c r="H650" i="1"/>
  <c r="H654" i="1" s="1"/>
  <c r="J620" i="1"/>
  <c r="G43" i="2"/>
  <c r="J462" i="1"/>
  <c r="G628" i="1"/>
  <c r="D40" i="10" l="1"/>
  <c r="D37" i="10"/>
  <c r="D35" i="10"/>
  <c r="D38" i="10"/>
  <c r="D36" i="10"/>
  <c r="J628" i="1"/>
  <c r="H628" i="1"/>
  <c r="J464" i="1"/>
  <c r="J611" i="1"/>
  <c r="F662" i="1"/>
  <c r="C4" i="10" s="1"/>
  <c r="F657" i="1"/>
  <c r="C30" i="10"/>
  <c r="D22" i="10"/>
  <c r="D24" i="10"/>
  <c r="D17" i="10"/>
  <c r="D26" i="10"/>
  <c r="D21" i="10"/>
  <c r="D28" i="10" s="1"/>
  <c r="D23" i="10"/>
  <c r="D18" i="10"/>
  <c r="D20" i="10"/>
  <c r="I662" i="1"/>
  <c r="C7" i="10" s="1"/>
  <c r="I657" i="1"/>
  <c r="H617" i="1"/>
  <c r="F460" i="1"/>
  <c r="J617" i="1"/>
  <c r="H662" i="1"/>
  <c r="C6" i="10" s="1"/>
  <c r="H657" i="1"/>
  <c r="H462" i="1"/>
  <c r="G623" i="1"/>
  <c r="J619" i="1"/>
  <c r="H621" i="1"/>
  <c r="J621" i="1" s="1"/>
  <c r="H627" i="1"/>
  <c r="J627" i="1" s="1"/>
  <c r="J460" i="1"/>
  <c r="D11" i="10"/>
  <c r="D12" i="10"/>
  <c r="H619" i="1"/>
  <c r="H460" i="1"/>
  <c r="F464" i="1"/>
  <c r="H622" i="1"/>
  <c r="J622" i="1" s="1"/>
  <c r="D19" i="10"/>
  <c r="D39" i="10"/>
  <c r="D41" i="10" l="1"/>
  <c r="H464" i="1"/>
  <c r="H623" i="1"/>
  <c r="J623" i="1" s="1"/>
  <c r="H466" i="1"/>
  <c r="H614" i="1" s="1"/>
  <c r="J614" i="1" s="1"/>
  <c r="F466" i="1"/>
  <c r="H612" i="1" s="1"/>
  <c r="J466" i="1"/>
  <c r="H616" i="1" s="1"/>
  <c r="J616" i="1" s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20C8CD0-B5A1-4BC9-8963-24535330464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7E745E4-350A-4D41-B963-49007319116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B5E810F-3418-4876-AD92-8FF3ADBB302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FED113F-1589-48B7-A831-79254EFB5E4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3B99062-FA4A-4CDA-BEE8-E46069A3CAB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24" authorId="0" shapeId="0" xr:uid="{AE278CDF-B307-497C-95DE-52E6A0815B9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FD3DE71-987A-435B-81ED-E7D4E8490E9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EC73721-2FCF-413F-A1E5-B4F199382C9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B61A997-0E35-4553-8485-FB6BFF293B6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6E52B3B-711B-4CBF-8020-81E01D53C2E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B24A4C2-89DD-4D83-8045-2C0BC07E25E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<sst xmlns="http://schemas.openxmlformats.org/spreadsheetml/2006/main" count="3866" uniqueCount="902">
  <si>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</si>
  <si>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</si>
  <si>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</si>
  <si>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</si>
  <si>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</si>
  <si>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</si>
  <si>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</si>
  <si>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</si>
  <si>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</si>
  <si>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</si>
  <si>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</si>
  <si>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</si>
  <si>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</si>
  <si>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</si>
  <si>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</si>
  <si>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</si>
  <si>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</si>
  <si>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</si>
  <si>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</si>
  <si>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</si>
  <si>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</si>
  <si>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</si>
  <si>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</si>
  <si>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</si>
  <si>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</si>
  <si>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</si>
  <si>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</si>
  <si>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</si>
  <si>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</si>
  <si>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</si>
  <si>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</si>
  <si>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</si>
  <si>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</si>
  <si>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</si>
  <si>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</si>
  <si>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</si>
  <si>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</si>
  <si>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</si>
  <si>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</si>
  <si>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</si>
  <si>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</si>
  <si>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</si>
  <si>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</si>
  <si>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</si>
  <si>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</si>
  <si>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</si>
  <si>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</si>
  <si>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</si>
  <si>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</si>
  <si>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</si>
  <si>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</si>
  <si>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</si>
  <si>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</si>
  <si>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</si>
  <si>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</si>
  <si>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</si>
  <si>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</si>
  <si>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</si>
  <si>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</si>
  <si>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</si>
  <si>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</si>
  <si>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</si>
  <si>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</si>
  <si>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</si>
  <si>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</si>
  <si>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</si>
  <si>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</si>
  <si>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</si>
  <si>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</si>
  <si>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</si>
  <si>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</si>
  <si>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</si>
  <si>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</si>
  <si>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</si>
  <si>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</si>
  <si>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</si>
  <si>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</si>
  <si>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</si>
  <si>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</si>
  <si>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</si>
  <si>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</si>
  <si>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</si>
  <si>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</si>
  <si>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</si>
  <si>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</si>
  <si>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</si>
  <si>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</si>
  <si>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</si>
  <si>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</si>
  <si>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</si>
  <si>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</si>
  <si>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</si>
  <si>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</si>
  <si>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</si>
  <si>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</si>
  <si>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</si>
  <si>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</si>
  <si>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</si>
  <si>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</si>
  <si>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</si>
  <si>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</si>
  <si>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</si>
  <si>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</si>
  <si>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</si>
  <si>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</si>
  <si>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</si>
  <si>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</si>
  <si>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</si>
  <si>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</si>
  <si>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</si>
  <si>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</si>
  <si>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</si>
  <si>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</si>
  <si>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</si>
  <si>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</si>
  <si>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</si>
  <si>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</si>
  <si>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</si>
  <si>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</si>
  <si>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</si>
  <si>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</si>
  <si>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</si>
  <si>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</si>
  <si>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</si>
  <si>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</si>
  <si>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</si>
  <si>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</si>
  <si>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</si>
  <si>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</si>
  <si>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</si>
  <si>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</si>
  <si>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</si>
  <si>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</si>
  <si>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</si>
  <si>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</si>
  <si>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</si>
  <si>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</si>
  <si>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</si>
  <si>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</si>
  <si>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</si>
  <si>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</si>
  <si>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</si>
  <si>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</si>
  <si>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</si>
  <si>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</si>
  <si>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</si>
  <si>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</si>
  <si>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</si>
  <si>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</si>
  <si>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</si>
  <si>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</si>
  <si>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</si>
  <si>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</si>
  <si>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</si>
  <si>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</si>
  <si>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</si>
  <si>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</si>
  <si>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</si>
  <si>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</si>
  <si>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</si>
  <si>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</si>
  <si>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</si>
  <si>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</si>
  <si>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</si>
  <si>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</si>
  <si>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</si>
  <si>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</si>
  <si>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</si>
  <si>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</si>
  <si>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</si>
  <si>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</si>
  <si>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</si>
  <si>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</si>
  <si>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</si>
  <si>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</si>
  <si>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</si>
  <si>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</si>
  <si>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</si>
  <si>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</si>
  <si>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</si>
  <si>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</si>
  <si>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</si>
  <si>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</si>
  <si>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</si>
  <si>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</si>
  <si>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</si>
  <si>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</si>
  <si>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</si>
  <si>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</si>
  <si>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</si>
  <si>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</si>
  <si>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</si>
  <si>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</si>
  <si>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</si>
  <si>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</si>
  <si>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</si>
  <si>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</si>
  <si>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</si>
  <si>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</si>
  <si>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</si>
  <si>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</si>
  <si>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</si>
  <si>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</si>
  <si>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</si>
  <si>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</si>
  <si>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</si>
  <si>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</si>
  <si>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</si>
  <si>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</si>
  <si>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</si>
  <si>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</si>
  <si>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</si>
  <si>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</si>
  <si>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</si>
  <si>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</si>
  <si>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</si>
  <si>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</si>
  <si>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</si>
  <si>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</si>
  <si>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</si>
  <si>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</si>
  <si>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</si>
  <si>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</si>
  <si>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</si>
  <si>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</si>
  <si>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</si>
  <si>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</si>
  <si>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</si>
  <si>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</si>
  <si>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</si>
  <si>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</si>
  <si>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</si>
  <si>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</si>
  <si>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</si>
  <si>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</si>
  <si>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</si>
  <si>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</si>
  <si>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</si>
  <si>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</si>
  <si>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</si>
  <si>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</si>
  <si>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</si>
  <si>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</si>
  <si>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</si>
  <si>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</si>
  <si>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</si>
  <si>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</si>
  <si>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</si>
  <si>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</si>
  <si>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</si>
  <si>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</si>
  <si>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</si>
  <si>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</si>
  <si>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</si>
  <si>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</si>
  <si>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</si>
  <si>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</si>
  <si>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</si>
  <si>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</si>
  <si>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</si>
  <si>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</si>
  <si>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</si>
  <si>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</si>
  <si>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</si>
  <si>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</si>
  <si>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</si>
  <si>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</si>
  <si>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</si>
  <si>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</si>
  <si>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</si>
  <si>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</si>
  <si>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</si>
  <si>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</si>
  <si>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</si>
  <si>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</si>
  <si>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</si>
  <si>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</si>
  <si>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</si>
  <si>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</si>
  <si>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</si>
  <si>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</si>
  <si>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</si>
  <si>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</si>
  <si>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</si>
  <si>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</si>
  <si>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</si>
  <si>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</si>
  <si>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</si>
  <si>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</si>
  <si>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</si>
  <si>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</si>
  <si>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</si>
  <si>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</si>
  <si>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</si>
  <si>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</si>
  <si>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</si>
  <si>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</si>
  <si>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</si>
  <si>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</si>
  <si>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</si>
  <si>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</si>
  <si>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</si>
  <si>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</si>
  <si>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</si>
  <si>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</si>
  <si>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</si>
  <si>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</si>
  <si>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</si>
  <si>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</si>
  <si>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</si>
  <si>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</si>
  <si>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</si>
  <si>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</si>
  <si>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</si>
  <si>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</si>
  <si>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</si>
  <si>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</si>
  <si>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</si>
  <si>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</si>
  <si>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</si>
  <si>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</si>
  <si>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</si>
  <si>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</si>
  <si>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</si>
  <si>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</si>
  <si>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</si>
  <si>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</si>
  <si>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</si>
  <si>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</si>
  <si>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</si>
  <si>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</si>
  <si>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</si>
  <si>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</si>
  <si>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</si>
  <si>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</si>
  <si>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</si>
  <si>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</si>
  <si>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</si>
  <si>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</si>
  <si>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</si>
  <si>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</si>
  <si>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</si>
  <si>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</si>
  <si>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</si>
  <si>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</si>
  <si>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</si>
  <si>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</si>
  <si>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</si>
  <si>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</si>
  <si>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</si>
  <si>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</si>
  <si>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</si>
  <si>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</si>
  <si>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</si>
  <si>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</si>
  <si>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</si>
  <si>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</si>
  <si>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</si>
  <si>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</si>
  <si>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</si>
  <si>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</si>
  <si>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</si>
  <si>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</si>
  <si>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</si>
  <si>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</si>
  <si>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</si>
  <si>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</si>
  <si>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</si>
  <si>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</si>
  <si>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</si>
  <si>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</si>
  <si>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</si>
  <si>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</si>
  <si>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</si>
  <si>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</si>
  <si>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</si>
  <si>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</si>
  <si>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</si>
  <si>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</si>
  <si>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</si>
  <si>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</si>
  <si>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</si>
  <si>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</si>
  <si>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</si>
  <si>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</si>
  <si>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</si>
  <si>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</si>
  <si>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</si>
  <si>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</si>
  <si>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</si>
  <si>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</si>
  <si>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</si>
  <si>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</si>
  <si>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</si>
  <si>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</si>
  <si>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</si>
  <si>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</si>
  <si>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</si>
  <si>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</si>
  <si>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</si>
  <si>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</si>
  <si>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</si>
  <si>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</si>
  <si>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</si>
  <si>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</si>
  <si>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</si>
  <si>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</si>
  <si>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</si>
  <si>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</si>
  <si>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</si>
  <si>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</si>
  <si>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</si>
  <si>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</si>
  <si>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</si>
  <si>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</si>
  <si>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</si>
  <si>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</si>
  <si>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</si>
  <si>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</si>
  <si>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</si>
  <si>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</si>
  <si>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</si>
  <si>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</si>
  <si>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</si>
  <si>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</si>
  <si>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</si>
  <si>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</si>
  <si>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</si>
  <si>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</si>
  <si>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</si>
  <si>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</si>
  <si>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</si>
  <si>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</si>
  <si>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</si>
  <si>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</si>
  <si>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</si>
  <si>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</si>
  <si>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</si>
  <si>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</si>
  <si>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</si>
  <si>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</si>
  <si>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</si>
  <si>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</si>
  <si>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</si>
  <si>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</si>
  <si>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</si>
  <si>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</si>
  <si>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</si>
  <si>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</si>
  <si>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</si>
  <si>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</si>
  <si>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</si>
  <si>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</si>
  <si>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</si>
  <si>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</si>
  <si>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</si>
  <si>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</si>
  <si>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</si>
  <si>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</si>
  <si>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</si>
  <si>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</si>
  <si>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</si>
  <si>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</si>
  <si>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</si>
  <si>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</si>
  <si>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</si>
  <si>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</si>
  <si>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</si>
  <si>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</si>
  <si>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</si>
  <si>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</si>
  <si>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</si>
  <si>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</si>
  <si>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</si>
  <si>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</si>
  <si>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</si>
  <si>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</si>
  <si>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</si>
  <si>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</si>
  <si>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</si>
  <si>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</si>
  <si>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</si>
  <si>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</si>
  <si>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</si>
  <si>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</si>
  <si>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</si>
  <si>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</si>
  <si>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</si>
  <si>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</si>
  <si>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</si>
  <si>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</si>
  <si>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</si>
  <si>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</si>
  <si>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</si>
  <si>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</si>
  <si>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</si>
  <si>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</si>
  <si>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</si>
  <si>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</si>
  <si>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</si>
  <si>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</si>
  <si>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</si>
  <si>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</si>
  <si>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</si>
  <si>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</si>
  <si>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</si>
  <si>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</si>
  <si>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</si>
  <si>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</si>
  <si>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</si>
  <si>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</si>
  <si>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</si>
  <si>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</si>
  <si>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</si>
  <si>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</si>
  <si>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</si>
  <si>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</si>
  <si>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</si>
  <si>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</si>
  <si>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</si>
  <si>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</si>
  <si>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</si>
  <si>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</si>
  <si>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</si>
  <si>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</si>
  <si>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</si>
  <si>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</si>
  <si>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</si>
  <si>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</si>
  <si>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</si>
  <si>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</si>
  <si>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</si>
  <si>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</si>
  <si>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</si>
  <si>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</si>
  <si>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</si>
  <si>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</si>
  <si>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</si>
  <si>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</si>
  <si>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</si>
  <si>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</si>
  <si>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</si>
  <si>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</si>
  <si>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</si>
  <si>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</si>
  <si>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</si>
  <si>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</si>
  <si>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</si>
  <si>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</si>
  <si>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</si>
  <si>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</si>
  <si>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</si>
  <si>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</si>
  <si>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</si>
  <si>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</si>
  <si>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</si>
  <si>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</si>
  <si>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</si>
  <si>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</si>
  <si>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</si>
  <si>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</si>
  <si>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</si>
  <si>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</si>
  <si>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</si>
  <si>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</si>
  <si>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</si>
  <si>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</si>
  <si>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</si>
  <si>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</si>
  <si>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</si>
  <si>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</si>
  <si>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</si>
  <si>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</si>
  <si>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</si>
  <si>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</si>
  <si>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</si>
  <si>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</si>
  <si>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</si>
  <si>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</si>
  <si>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</si>
  <si>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</si>
  <si>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</si>
  <si>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</si>
  <si>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</si>
  <si>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</si>
  <si>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</si>
  <si>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</si>
  <si>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</si>
  <si>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</si>
  <si>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</si>
  <si>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</si>
  <si>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</si>
  <si>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</si>
  <si>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</si>
  <si>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</si>
  <si>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</si>
  <si>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</si>
  <si>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</si>
  <si>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</si>
  <si>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</si>
  <si>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</si>
  <si>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</si>
  <si>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</si>
  <si>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</si>
  <si>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</si>
  <si>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</si>
  <si>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</si>
  <si>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</si>
  <si>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</si>
  <si>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</si>
  <si>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</si>
  <si>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</si>
  <si>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</si>
  <si>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</si>
  <si>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</si>
  <si>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</si>
  <si>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</si>
  <si>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</si>
  <si>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</si>
  <si>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</si>
  <si>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</si>
  <si>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</si>
  <si>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</si>
  <si>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</si>
  <si>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</si>
  <si>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</si>
  <si>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</si>
  <si>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</si>
  <si>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</si>
  <si>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</si>
  <si>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</si>
  <si>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</si>
  <si>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</si>
  <si>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</si>
  <si>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</si>
  <si>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</si>
  <si>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</si>
  <si>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</si>
  <si>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</si>
  <si>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</si>
  <si>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</si>
  <si>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</si>
  <si>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</si>
  <si>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</si>
  <si>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</si>
  <si>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</si>
  <si>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</si>
  <si>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</si>
  <si>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</si>
  <si>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</si>
  <si>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</si>
  <si>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</si>
  <si>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</si>
  <si>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</si>
  <si>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</si>
  <si>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</si>
  <si>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</si>
  <si>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</si>
  <si>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</si>
  <si>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</si>
  <si>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</si>
  <si>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</si>
  <si>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</si>
  <si>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</si>
  <si>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</si>
  <si>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</si>
  <si>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</si>
  <si>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</si>
  <si>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</si>
  <si>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</si>
  <si>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</si>
  <si>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</si>
  <si>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</si>
  <si>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</si>
  <si>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</si>
  <si>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</si>
  <si>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</si>
  <si>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</si>
  <si>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</si>
  <si>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</si>
  <si>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</si>
  <si>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</si>
  <si>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</si>
  <si>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</si>
  <si>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</si>
  <si>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</si>
  <si>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</si>
  <si>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</si>
  <si>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</si>
  <si>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</si>
  <si>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</si>
  <si>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</si>
  <si>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</si>
  <si>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</si>
  <si>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</si>
  <si>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</si>
  <si>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</si>
  <si>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</si>
  <si>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</si>
  <si>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</si>
  <si>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</si>
  <si>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</si>
  <si>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</si>
  <si>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</si>
  <si>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</si>
  <si>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</si>
  <si>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</si>
  <si>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</si>
  <si>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</si>
  <si>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</si>
  <si>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</si>
  <si>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</si>
  <si>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</si>
  <si>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</si>
  <si>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</si>
  <si>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</si>
  <si>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</si>
  <si>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</si>
  <si>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</si>
  <si>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</si>
  <si>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</si>
  <si>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</si>
  <si>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</si>
  <si>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</si>
  <si>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</si>
  <si>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</si>
  <si>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</si>
  <si>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</si>
  <si>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</si>
  <si>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</si>
  <si>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</si>
  <si>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</si>
  <si>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</si>
  <si>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</si>
  <si>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</si>
  <si>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</si>
  <si>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</si>
  <si>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</si>
  <si>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</si>
  <si>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</si>
  <si>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</si>
  <si>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</si>
  <si>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</si>
  <si>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</si>
  <si>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</si>
  <si>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</si>
  <si>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</si>
  <si>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</si>
  <si>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</si>
  <si>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</si>
  <si>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</si>
  <si>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</si>
  <si>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</si>
  <si>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</si>
  <si>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</si>
  <si>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</si>
  <si>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</si>
  <si>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</si>
  <si>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</si>
  <si>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</si>
  <si>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</si>
  <si>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</si>
  <si>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</si>
  <si>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</si>
  <si>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</si>
  <si>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</si>
  <si>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</si>
  <si>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</si>
  <si>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</si>
  <si>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</si>
  <si>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</si>
  <si>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</si>
  <si>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</si>
  <si>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</si>
  <si>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</si>
  <si>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</si>
  <si>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</si>
  <si>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</si>
  <si>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</si>
  <si>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</si>
  <si>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</si>
  <si>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</si>
  <si>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</si>
  <si>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</si>
  <si>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</si>
  <si>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</si>
  <si>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</si>
  <si>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</si>
  <si>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</si>
  <si>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</si>
  <si>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</si>
  <si>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</si>
  <si>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</si>
  <si>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</si>
  <si>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</si>
  <si>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</si>
  <si>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</si>
  <si>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</si>
  <si>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</si>
  <si>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</si>
  <si>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</si>
  <si>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</si>
  <si>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</si>
  <si>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</si>
  <si>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</si>
  <si>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</si>
  <si>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</si>
  <si>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</si>
  <si>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</si>
  <si>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</si>
  <si>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</si>
  <si>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</si>
  <si>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</si>
  <si>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</si>
  <si>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</si>
  <si>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</si>
  <si>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</si>
  <si>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</si>
  <si>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</si>
  <si>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</si>
  <si>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</si>
  <si>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</si>
  <si>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</si>
  <si>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</si>
  <si>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</si>
  <si>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</si>
  <si>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</si>
  <si>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</si>
  <si>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</si>
  <si>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</si>
  <si>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</si>
  <si>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</si>
  <si>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</si>
  <si>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</si>
  <si>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</si>
  <si>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</si>
  <si>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</si>
  <si>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</si>
  <si>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</si>
  <si>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</si>
  <si>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</si>
  <si>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</si>
  <si>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</si>
  <si>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</si>
  <si>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</si>
  <si>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</si>
  <si>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</si>
  <si>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</si>
  <si>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</si>
  <si>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</si>
  <si>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</si>
  <si>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</si>
  <si>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</si>
  <si>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</si>
  <si>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</si>
  <si>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</si>
  <si>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</si>
  <si>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</si>
  <si>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</si>
  <si>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</si>
  <si>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</si>
  <si>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</si>
  <si>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</si>
  <si>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</si>
  <si>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</si>
  <si>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</si>
  <si>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</si>
  <si>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</si>
  <si>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</si>
  <si>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</si>
  <si>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</si>
  <si>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</si>
  <si>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</si>
  <si>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</si>
  <si>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</si>
  <si>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</si>
  <si>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</si>
  <si>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</si>
  <si>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</si>
  <si>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</si>
  <si>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</si>
  <si>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</si>
  <si>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</si>
  <si>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</si>
  <si>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</si>
  <si>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</si>
  <si>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</si>
  <si>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</si>
  <si>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</si>
  <si>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</si>
  <si>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</si>
  <si>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</si>
  <si>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</si>
  <si>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</si>
  <si>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07/03</t>
  </si>
  <si>
    <t>07/12</t>
  </si>
  <si>
    <t>Various</t>
  </si>
  <si>
    <t>12/07</t>
  </si>
  <si>
    <t>01/13</t>
  </si>
  <si>
    <t>12/10</t>
  </si>
  <si>
    <t>01/16</t>
  </si>
  <si>
    <t>Lebanon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</si>
</sst>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15C-70A4-4376-BC5C-05943144DBC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295</v>
      </c>
      <c r="C2" s="21">
        <v>295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942303.03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2354580.27</v>
      </c>
      <c r="G10" s="18"/>
      <c r="H10" s="18"/>
      <c r="I10" s="18"/>
      <c r="J10" s="67">
        <f>SUM(I432)</f>
        <v>1433637.2599999998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575987.02</v>
      </c>
      <c r="G12" s="18">
        <v>8235.5</v>
      </c>
      <c r="H12" s="18"/>
      <c r="I12" s="18">
        <v>1517458.41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10852.31</v>
      </c>
      <c r="H13" s="18">
        <v>643425.79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10000000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104972.77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3977843.09</v>
      </c>
      <c r="G19" s="41">
        <f>SUM(G9:G18)</f>
        <v>19087.809999999998</v>
      </c>
      <c r="H19" s="41">
        <f>SUM(H9:H18)</f>
        <v>643425.79</v>
      </c>
      <c r="I19" s="41">
        <f>SUM(I9:I18)</f>
        <v>11517458.41</v>
      </c>
      <c r="J19" s="41">
        <f>SUM(J9:J18)</f>
        <v>1433637.2599999998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1517458.41+8235.5</f>
        <v>1525693.91</v>
      </c>
      <c r="G23" s="18">
        <v>10852.31</v>
      </c>
      <c r="H23" s="18">
        <v>565134.71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269305.44+206.7-35.4-86.32</f>
        <v>269390.42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>
        <v>10050416.67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8235.5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1795084.3299999998</v>
      </c>
      <c r="G33" s="41">
        <f>SUM(G23:G32)</f>
        <v>19087.809999999998</v>
      </c>
      <c r="H33" s="41">
        <f>SUM(H23:H32)</f>
        <v>565134.71</v>
      </c>
      <c r="I33" s="41">
        <f>SUM(I23:I32)</f>
        <v>10050416.67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>
        <v>1467041.74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1517458.41</v>
      </c>
      <c r="G41" s="18"/>
      <c r="H41" s="18">
        <v>78291.08</v>
      </c>
      <c r="I41" s="18"/>
      <c r="J41" s="13">
        <f>SUM(I449)</f>
        <v>1433637.26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665300.35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2182758.7599999998</v>
      </c>
      <c r="G43" s="41">
        <f>SUM(G35:G42)</f>
        <v>0</v>
      </c>
      <c r="H43" s="41">
        <f>SUM(H35:H42)</f>
        <v>78291.08</v>
      </c>
      <c r="I43" s="41">
        <f>SUM(I35:I42)</f>
        <v>1467041.74</v>
      </c>
      <c r="J43" s="41">
        <f>SUM(J35:J42)</f>
        <v>1433637.26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3977843.09</v>
      </c>
      <c r="G44" s="41">
        <f>G43+G33</f>
        <v>19087.809999999998</v>
      </c>
      <c r="H44" s="41">
        <f>H43+H33</f>
        <v>643425.78999999992</v>
      </c>
      <c r="I44" s="41">
        <f>I43+I33</f>
        <v>11517458.41</v>
      </c>
      <c r="J44" s="41">
        <f>J43+J33</f>
        <v>1433637.26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19587678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19587678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44514+12650</f>
        <v>57164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2070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3919778.77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66605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4045617.77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11679.07</v>
      </c>
      <c r="G88" s="18"/>
      <c r="H88" s="18"/>
      <c r="I88" s="18"/>
      <c r="J88" s="18">
        <v>4326.3500000000004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396198.40000000002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12683.65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60796.5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38790.11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39703.76+1388.59</f>
        <v>41092.35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126251.57</v>
      </c>
      <c r="G103" s="41">
        <f>SUM(G88:G102)</f>
        <v>396198.40000000002</v>
      </c>
      <c r="H103" s="41">
        <f>SUM(H88:H102)</f>
        <v>38790.11</v>
      </c>
      <c r="I103" s="41">
        <f>SUM(I88:I102)</f>
        <v>0</v>
      </c>
      <c r="J103" s="41">
        <f>SUM(J88:J102)</f>
        <v>4326.3500000000004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23759547.34</v>
      </c>
      <c r="G104" s="41">
        <f>G52+G103</f>
        <v>396198.40000000002</v>
      </c>
      <c r="H104" s="41">
        <f>H52+H71+H86+H103</f>
        <v>38790.11</v>
      </c>
      <c r="I104" s="41">
        <f>I52+I103</f>
        <v>0</v>
      </c>
      <c r="J104" s="41">
        <f>J52+J103</f>
        <v>4326.3500000000004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2699992.05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4022172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97927.95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6820092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311289.24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207228.13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293178.38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9816.8799999999992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5042.49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21600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821512.63</v>
      </c>
      <c r="G128" s="41">
        <f>SUM(G115:G127)</f>
        <v>5042.49</v>
      </c>
      <c r="H128" s="41">
        <f>SUM(H115:H127)</f>
        <v>21600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7641604.6299999999</v>
      </c>
      <c r="G132" s="41">
        <f>G113+SUM(G128:G129)</f>
        <v>5042.49</v>
      </c>
      <c r="H132" s="41">
        <f>H113+SUM(H128:H131)</f>
        <v>21600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2400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2400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f>-1434.11+234.75+8392.83+366.81+432269.48</f>
        <v>439829.76000000001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-0.03+7323-20.19+31529.35+16649.7+520.65+11760.29+39447.72+100793.41</f>
        <v>208003.90000000002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10555.26+3844.88-40.7+242.21+2247.08+40.7+11267.56+76727.39</f>
        <v>104884.38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71202.57+22367.95</f>
        <v>93570.52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141999.72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145292.34+15177.23</f>
        <v>160469.57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21067.01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160469.57</v>
      </c>
      <c r="G154" s="41">
        <f>SUM(G142:G153)</f>
        <v>163066.73000000001</v>
      </c>
      <c r="H154" s="41">
        <f>SUM(H142:H153)</f>
        <v>846288.56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4454.26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164923.83000000002</v>
      </c>
      <c r="G161" s="41">
        <f>G139+G154+SUM(G155:G160)</f>
        <v>163066.73000000001</v>
      </c>
      <c r="H161" s="41">
        <f>H139+H154+SUM(H155:H160)</f>
        <v>848688.56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678550</v>
      </c>
      <c r="G165" s="24" t="s">
        <v>312</v>
      </c>
      <c r="H165" s="24" t="s">
        <v>312</v>
      </c>
      <c r="I165" s="18">
        <v>10000000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27050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705600</v>
      </c>
      <c r="G169" s="41" t="s">
        <v>312</v>
      </c>
      <c r="H169" s="41" t="s">
        <v>312</v>
      </c>
      <c r="I169" s="41">
        <f>SUM(I165:I168)</f>
        <v>10000000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15711.38</v>
      </c>
      <c r="H171" s="18"/>
      <c r="I171" s="18"/>
      <c r="J171" s="18">
        <v>450000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15711.38</v>
      </c>
      <c r="H175" s="41">
        <f>SUM(H171:H174)</f>
        <v>0</v>
      </c>
      <c r="I175" s="41">
        <f>SUM(I171:I174)</f>
        <v>0</v>
      </c>
      <c r="J175" s="41">
        <f>SUM(J171:J174)</f>
        <v>450000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705600</v>
      </c>
      <c r="G184" s="41">
        <f>G175+SUM(G180:G183)</f>
        <v>15711.38</v>
      </c>
      <c r="H184" s="41">
        <f>+H175+SUM(H180:H183)</f>
        <v>0</v>
      </c>
      <c r="I184" s="41">
        <f>I169+I175+SUM(I180:I183)</f>
        <v>10000000</v>
      </c>
      <c r="J184" s="41">
        <f>J175</f>
        <v>450000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32271675.799999997</v>
      </c>
      <c r="G185" s="47">
        <f>G104+G132+G161+G184</f>
        <v>580019</v>
      </c>
      <c r="H185" s="47">
        <f>H104+H132+H161+H184</f>
        <v>909078.67</v>
      </c>
      <c r="I185" s="47">
        <f>I104+I132+I161+I184</f>
        <v>10000000</v>
      </c>
      <c r="J185" s="47">
        <f>J104+J132+J184</f>
        <v>454326.35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4192563</v>
      </c>
      <c r="G189" s="18">
        <v>1544998.6</v>
      </c>
      <c r="H189" s="18">
        <v>15776.26</v>
      </c>
      <c r="I189" s="18">
        <v>137140.74</v>
      </c>
      <c r="J189" s="18">
        <v>14242.07</v>
      </c>
      <c r="K189" s="18">
        <v>12597.72</v>
      </c>
      <c r="L189" s="19">
        <f>SUM(F189:K189)</f>
        <v>5917318.3899999997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2074781.11</v>
      </c>
      <c r="G190" s="18">
        <v>882054.14</v>
      </c>
      <c r="H190" s="18">
        <v>371931.13</v>
      </c>
      <c r="I190" s="18">
        <v>12031.29</v>
      </c>
      <c r="J190" s="18">
        <v>4015.17</v>
      </c>
      <c r="K190" s="18">
        <v>668.5</v>
      </c>
      <c r="L190" s="19">
        <f>SUM(F190:K190)</f>
        <v>3345481.34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12348.93</v>
      </c>
      <c r="G192" s="18">
        <v>1890.09</v>
      </c>
      <c r="H192" s="18">
        <v>0</v>
      </c>
      <c r="I192" s="18">
        <v>0</v>
      </c>
      <c r="J192" s="18">
        <v>0</v>
      </c>
      <c r="K192" s="18"/>
      <c r="L192" s="19">
        <f>SUM(F192:K192)</f>
        <v>14239.02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350550.59</v>
      </c>
      <c r="G194" s="18">
        <v>134222.92000000001</v>
      </c>
      <c r="H194" s="18">
        <v>26163.360000000001</v>
      </c>
      <c r="I194" s="18">
        <v>6310.69</v>
      </c>
      <c r="J194" s="18">
        <v>2850.85</v>
      </c>
      <c r="K194" s="18"/>
      <c r="L194" s="19">
        <f t="shared" ref="L194:L200" si="0">SUM(F194:K194)</f>
        <v>520098.41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407689.14</v>
      </c>
      <c r="G195" s="18">
        <v>166980.59</v>
      </c>
      <c r="H195" s="18">
        <v>150426.35999999999</v>
      </c>
      <c r="I195" s="18">
        <v>56735.7</v>
      </c>
      <c r="J195" s="18">
        <v>25284.61</v>
      </c>
      <c r="K195" s="18"/>
      <c r="L195" s="19">
        <f t="shared" si="0"/>
        <v>807116.39999999991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247143.35</v>
      </c>
      <c r="G196" s="18">
        <v>106957.41</v>
      </c>
      <c r="H196" s="18">
        <v>114630.92</v>
      </c>
      <c r="I196" s="18">
        <v>22852.14</v>
      </c>
      <c r="J196" s="18">
        <v>3195.1</v>
      </c>
      <c r="K196" s="18">
        <v>7282.04</v>
      </c>
      <c r="L196" s="19">
        <f t="shared" si="0"/>
        <v>502060.95999999996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412781.84</v>
      </c>
      <c r="G197" s="18">
        <v>100269.37</v>
      </c>
      <c r="H197" s="18">
        <v>43928.63</v>
      </c>
      <c r="I197" s="18">
        <v>3234</v>
      </c>
      <c r="J197" s="18">
        <v>656.11</v>
      </c>
      <c r="K197" s="18">
        <v>2487.13</v>
      </c>
      <c r="L197" s="19">
        <f t="shared" si="0"/>
        <v>563357.07999999996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416838.73</v>
      </c>
      <c r="G199" s="18">
        <v>156930.35999999999</v>
      </c>
      <c r="H199" s="18">
        <v>1067540.24</v>
      </c>
      <c r="I199" s="18">
        <v>342652.11</v>
      </c>
      <c r="J199" s="18">
        <v>7114.69</v>
      </c>
      <c r="K199" s="18">
        <v>141.62</v>
      </c>
      <c r="L199" s="19">
        <f t="shared" si="0"/>
        <v>1991217.75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165464.39000000001</v>
      </c>
      <c r="G200" s="18">
        <v>26579.5</v>
      </c>
      <c r="H200" s="18">
        <v>114473.42</v>
      </c>
      <c r="I200" s="18">
        <v>47989.36</v>
      </c>
      <c r="J200" s="18">
        <v>0</v>
      </c>
      <c r="K200" s="18">
        <v>323.82</v>
      </c>
      <c r="L200" s="19">
        <f t="shared" si="0"/>
        <v>354830.49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8280161.0799999991</v>
      </c>
      <c r="G203" s="41">
        <f t="shared" si="1"/>
        <v>3120882.98</v>
      </c>
      <c r="H203" s="41">
        <f t="shared" si="1"/>
        <v>1904870.3199999998</v>
      </c>
      <c r="I203" s="41">
        <f t="shared" si="1"/>
        <v>628946.02999999991</v>
      </c>
      <c r="J203" s="41">
        <f t="shared" si="1"/>
        <v>57358.6</v>
      </c>
      <c r="K203" s="41">
        <f t="shared" si="1"/>
        <v>23500.829999999998</v>
      </c>
      <c r="L203" s="41">
        <f t="shared" si="1"/>
        <v>14015719.84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1599884.34</v>
      </c>
      <c r="G207" s="18">
        <v>603890.63</v>
      </c>
      <c r="H207" s="18">
        <v>2755.84</v>
      </c>
      <c r="I207" s="18">
        <v>69634.02</v>
      </c>
      <c r="J207" s="18">
        <v>16047.63</v>
      </c>
      <c r="K207" s="18">
        <v>13270.9</v>
      </c>
      <c r="L207" s="19">
        <f>SUM(F207:K207)</f>
        <v>2305483.36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722940.42</v>
      </c>
      <c r="G208" s="18">
        <v>356618.23</v>
      </c>
      <c r="H208" s="18">
        <v>222882.42</v>
      </c>
      <c r="I208" s="18">
        <v>16484.060000000001</v>
      </c>
      <c r="J208" s="18">
        <v>2494.3000000000002</v>
      </c>
      <c r="K208" s="18">
        <v>209.91</v>
      </c>
      <c r="L208" s="19">
        <f>SUM(F208:K208)</f>
        <v>1321629.3399999999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61312.03</v>
      </c>
      <c r="G210" s="18">
        <v>6637.91</v>
      </c>
      <c r="H210" s="18">
        <v>11556.19</v>
      </c>
      <c r="I210" s="18">
        <v>8909.17</v>
      </c>
      <c r="J210" s="18">
        <v>2385.4499999999998</v>
      </c>
      <c r="K210" s="18">
        <v>1168</v>
      </c>
      <c r="L210" s="19">
        <f>SUM(F210:K210)</f>
        <v>91968.75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137916.73000000001</v>
      </c>
      <c r="G212" s="18">
        <v>29180.35</v>
      </c>
      <c r="H212" s="18">
        <v>65446.55</v>
      </c>
      <c r="I212" s="18">
        <v>4541.13</v>
      </c>
      <c r="J212" s="18">
        <v>1117.04</v>
      </c>
      <c r="K212" s="18">
        <v>40</v>
      </c>
      <c r="L212" s="19">
        <f t="shared" ref="L212:L218" si="2">SUM(F212:K212)</f>
        <v>238241.80000000002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127630.97</v>
      </c>
      <c r="G213" s="18">
        <v>46544.76</v>
      </c>
      <c r="H213" s="18">
        <v>62866.02</v>
      </c>
      <c r="I213" s="18">
        <v>22970.31</v>
      </c>
      <c r="J213" s="18">
        <v>5478.89</v>
      </c>
      <c r="K213" s="18"/>
      <c r="L213" s="19">
        <f t="shared" si="2"/>
        <v>265490.95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96837.42</v>
      </c>
      <c r="G214" s="18">
        <v>41908.79</v>
      </c>
      <c r="H214" s="18">
        <v>44915.48</v>
      </c>
      <c r="I214" s="18">
        <v>8954.09</v>
      </c>
      <c r="J214" s="18">
        <v>1251.93</v>
      </c>
      <c r="K214" s="18">
        <v>2853.3</v>
      </c>
      <c r="L214" s="19">
        <f t="shared" si="2"/>
        <v>196721.00999999998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217425.04</v>
      </c>
      <c r="G215" s="18">
        <v>62161.74</v>
      </c>
      <c r="H215" s="18">
        <v>28980.99</v>
      </c>
      <c r="I215" s="18">
        <v>2765.78</v>
      </c>
      <c r="J215" s="18">
        <v>0</v>
      </c>
      <c r="K215" s="18">
        <v>1205.98</v>
      </c>
      <c r="L215" s="19">
        <f t="shared" si="2"/>
        <v>312539.53000000003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180622.94</v>
      </c>
      <c r="G217" s="18">
        <v>79109.89</v>
      </c>
      <c r="H217" s="18">
        <v>75678.86</v>
      </c>
      <c r="I217" s="18">
        <v>127642.58</v>
      </c>
      <c r="J217" s="18">
        <v>718.34</v>
      </c>
      <c r="K217" s="18">
        <v>74.83</v>
      </c>
      <c r="L217" s="19">
        <f t="shared" si="2"/>
        <v>463847.44000000006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74072.259999999995</v>
      </c>
      <c r="G218" s="18">
        <v>10414.56</v>
      </c>
      <c r="H218" s="18">
        <v>47922.74</v>
      </c>
      <c r="I218" s="18">
        <v>18803.52</v>
      </c>
      <c r="J218" s="18">
        <v>0</v>
      </c>
      <c r="K218" s="18">
        <v>171.09</v>
      </c>
      <c r="L218" s="19">
        <f t="shared" si="2"/>
        <v>151384.16999999998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3218642.15</v>
      </c>
      <c r="G221" s="41">
        <f>SUM(G207:G220)</f>
        <v>1236466.8599999999</v>
      </c>
      <c r="H221" s="41">
        <f>SUM(H207:H220)</f>
        <v>563005.09</v>
      </c>
      <c r="I221" s="41">
        <f>SUM(I207:I220)</f>
        <v>280704.66000000003</v>
      </c>
      <c r="J221" s="41">
        <f>SUM(J207:J220)</f>
        <v>29493.58</v>
      </c>
      <c r="K221" s="41">
        <f t="shared" si="3"/>
        <v>18994.010000000002</v>
      </c>
      <c r="L221" s="41">
        <f t="shared" si="3"/>
        <v>5347306.3499999996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3087100.88</v>
      </c>
      <c r="G225" s="18">
        <v>1125914.26</v>
      </c>
      <c r="H225" s="18">
        <v>28587.38</v>
      </c>
      <c r="I225" s="18">
        <v>152342.76999999999</v>
      </c>
      <c r="J225" s="18">
        <v>54610.31</v>
      </c>
      <c r="K225" s="18">
        <v>3951.36</v>
      </c>
      <c r="L225" s="19">
        <f>SUM(F225:K225)</f>
        <v>4452506.959999999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1123789.47</v>
      </c>
      <c r="G226" s="18">
        <v>526095.14</v>
      </c>
      <c r="H226" s="18">
        <v>720788.81</v>
      </c>
      <c r="I226" s="18">
        <v>9946.0300000000007</v>
      </c>
      <c r="J226" s="18">
        <v>4024.78</v>
      </c>
      <c r="K226" s="18">
        <v>593.59</v>
      </c>
      <c r="L226" s="19">
        <f>SUM(F226:K226)</f>
        <v>2385237.8199999994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518421.73</v>
      </c>
      <c r="I227" s="18"/>
      <c r="J227" s="18"/>
      <c r="K227" s="18"/>
      <c r="L227" s="19">
        <f>SUM(F227:K227)</f>
        <v>518421.73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329185.43</v>
      </c>
      <c r="G228" s="18">
        <v>51340.33</v>
      </c>
      <c r="H228" s="18">
        <v>127938.75</v>
      </c>
      <c r="I228" s="18">
        <v>53809.31</v>
      </c>
      <c r="J228" s="18">
        <v>5030</v>
      </c>
      <c r="K228" s="18">
        <v>44117.919999999998</v>
      </c>
      <c r="L228" s="19">
        <f>SUM(F228:K228)</f>
        <v>611421.74000000011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407517.44</v>
      </c>
      <c r="G230" s="18">
        <v>162846.37</v>
      </c>
      <c r="H230" s="18">
        <v>78200.350000000006</v>
      </c>
      <c r="I230" s="18">
        <v>11835.77</v>
      </c>
      <c r="J230" s="18">
        <v>3357.11</v>
      </c>
      <c r="K230" s="18">
        <v>285</v>
      </c>
      <c r="L230" s="19">
        <f t="shared" ref="L230:L236" si="4">SUM(F230:K230)</f>
        <v>664042.04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243864.66</v>
      </c>
      <c r="G231" s="18">
        <v>90163.01</v>
      </c>
      <c r="H231" s="18">
        <v>238937.81</v>
      </c>
      <c r="I231" s="18">
        <v>32342.99</v>
      </c>
      <c r="J231" s="18">
        <v>9855.52</v>
      </c>
      <c r="K231" s="18"/>
      <c r="L231" s="19">
        <f t="shared" si="4"/>
        <v>615163.99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250113.83</v>
      </c>
      <c r="G232" s="18">
        <v>108242.96</v>
      </c>
      <c r="H232" s="18">
        <v>116008.7</v>
      </c>
      <c r="I232" s="18">
        <v>23126.81</v>
      </c>
      <c r="J232" s="18">
        <v>3233.5</v>
      </c>
      <c r="K232" s="18">
        <v>7369.57</v>
      </c>
      <c r="L232" s="19">
        <f t="shared" si="4"/>
        <v>508095.37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371302.57</v>
      </c>
      <c r="G233" s="18">
        <v>151218.38</v>
      </c>
      <c r="H233" s="18">
        <v>48762.63</v>
      </c>
      <c r="I233" s="18">
        <v>12356.74</v>
      </c>
      <c r="J233" s="18">
        <v>0</v>
      </c>
      <c r="K233" s="18">
        <v>3601.41</v>
      </c>
      <c r="L233" s="19">
        <f t="shared" si="4"/>
        <v>587241.73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379367.61</v>
      </c>
      <c r="G235" s="18">
        <v>156871.75</v>
      </c>
      <c r="H235" s="18">
        <v>564589.9</v>
      </c>
      <c r="I235" s="18">
        <v>280131.39</v>
      </c>
      <c r="J235" s="18">
        <v>3998.79</v>
      </c>
      <c r="K235" s="18">
        <v>148.55000000000001</v>
      </c>
      <c r="L235" s="19">
        <f t="shared" si="4"/>
        <v>1385107.99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214466.96</v>
      </c>
      <c r="G236" s="18">
        <v>26898.97</v>
      </c>
      <c r="H236" s="18">
        <v>183072.59</v>
      </c>
      <c r="I236" s="18">
        <v>48566.15</v>
      </c>
      <c r="J236" s="18">
        <v>0</v>
      </c>
      <c r="K236" s="18">
        <v>339.68</v>
      </c>
      <c r="L236" s="19">
        <f t="shared" si="4"/>
        <v>473344.35000000003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6406708.8500000006</v>
      </c>
      <c r="G239" s="41">
        <f t="shared" si="5"/>
        <v>2399591.1700000004</v>
      </c>
      <c r="H239" s="41">
        <f t="shared" si="5"/>
        <v>2625308.65</v>
      </c>
      <c r="I239" s="41">
        <f t="shared" si="5"/>
        <v>624457.96000000008</v>
      </c>
      <c r="J239" s="41">
        <f t="shared" si="5"/>
        <v>84110.01</v>
      </c>
      <c r="K239" s="41">
        <f t="shared" si="5"/>
        <v>60407.079999999994</v>
      </c>
      <c r="L239" s="41">
        <f t="shared" si="5"/>
        <v>12200583.719999999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17905512.079999998</v>
      </c>
      <c r="G249" s="41">
        <f t="shared" si="8"/>
        <v>6756941.0099999998</v>
      </c>
      <c r="H249" s="41">
        <f t="shared" si="8"/>
        <v>5093184.0599999996</v>
      </c>
      <c r="I249" s="41">
        <f t="shared" si="8"/>
        <v>1534108.65</v>
      </c>
      <c r="J249" s="41">
        <f t="shared" si="8"/>
        <v>170962.19</v>
      </c>
      <c r="K249" s="41">
        <f t="shared" si="8"/>
        <v>102901.91999999998</v>
      </c>
      <c r="L249" s="41">
        <f t="shared" si="8"/>
        <v>31563609.909999996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485000</v>
      </c>
      <c r="L252" s="19">
        <f>SUM(F252:K252)</f>
        <v>485000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42438.75</v>
      </c>
      <c r="L253" s="19">
        <f>SUM(F253:K253)</f>
        <v>42438.75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15711.38</v>
      </c>
      <c r="L255" s="19">
        <f>SUM(F255:K255)</f>
        <v>15711.38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450000</v>
      </c>
      <c r="L258" s="19">
        <f t="shared" si="9"/>
        <v>450000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993150.13</v>
      </c>
      <c r="L262" s="41">
        <f t="shared" si="9"/>
        <v>993150.13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17905512.079999998</v>
      </c>
      <c r="G263" s="42">
        <f t="shared" si="11"/>
        <v>6756941.0099999998</v>
      </c>
      <c r="H263" s="42">
        <f t="shared" si="11"/>
        <v>5093184.0599999996</v>
      </c>
      <c r="I263" s="42">
        <f t="shared" si="11"/>
        <v>1534108.65</v>
      </c>
      <c r="J263" s="42">
        <f t="shared" si="11"/>
        <v>170962.19</v>
      </c>
      <c r="K263" s="42">
        <f t="shared" si="11"/>
        <v>1096052.05</v>
      </c>
      <c r="L263" s="42">
        <f t="shared" si="11"/>
        <v>32556760.039999995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1290+110624.56+10534.01+45390.88</f>
        <v>167839.44999999998</v>
      </c>
      <c r="G268" s="18">
        <f>98.68+779.8+2433.7</f>
        <v>3312.18</v>
      </c>
      <c r="H268" s="18">
        <f>28158.32+195.96+17086.51</f>
        <v>45440.789999999994</v>
      </c>
      <c r="I268" s="18">
        <f>2421.48-8.27+15536.8+502.02</f>
        <v>18452.03</v>
      </c>
      <c r="J268" s="18"/>
      <c r="K268" s="18">
        <v>1629.86</v>
      </c>
      <c r="L268" s="19">
        <f>SUM(F268:K268)</f>
        <v>236674.30999999997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148609</v>
      </c>
      <c r="G269" s="18"/>
      <c r="H269" s="18">
        <v>65663.23</v>
      </c>
      <c r="I269" s="18">
        <v>7365.33</v>
      </c>
      <c r="J269" s="18"/>
      <c r="K269" s="18"/>
      <c r="L269" s="19">
        <f>SUM(F269:K269)</f>
        <v>221637.55999999997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>
        <v>1225.23</v>
      </c>
      <c r="J274" s="18"/>
      <c r="K274" s="18"/>
      <c r="L274" s="19">
        <f t="shared" si="12"/>
        <v>1225.23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316448.44999999995</v>
      </c>
      <c r="G282" s="42">
        <f t="shared" si="13"/>
        <v>3312.18</v>
      </c>
      <c r="H282" s="42">
        <f t="shared" si="13"/>
        <v>111104.01999999999</v>
      </c>
      <c r="I282" s="42">
        <f t="shared" si="13"/>
        <v>27042.59</v>
      </c>
      <c r="J282" s="42">
        <f t="shared" si="13"/>
        <v>0</v>
      </c>
      <c r="K282" s="42">
        <f t="shared" si="13"/>
        <v>1629.86</v>
      </c>
      <c r="L282" s="41">
        <f t="shared" si="13"/>
        <v>459537.09999999992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34132.42+17827.61</f>
        <v>51960.03</v>
      </c>
      <c r="G287" s="18">
        <v>955.85</v>
      </c>
      <c r="H287" s="18">
        <v>6710.86</v>
      </c>
      <c r="I287" s="18">
        <v>197.18</v>
      </c>
      <c r="J287" s="18">
        <v>6294</v>
      </c>
      <c r="K287" s="18">
        <v>640.14</v>
      </c>
      <c r="L287" s="19">
        <f>SUM(F287:K287)</f>
        <v>66758.06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46663.23</v>
      </c>
      <c r="G288" s="18">
        <v>19967.82</v>
      </c>
      <c r="H288" s="18"/>
      <c r="I288" s="18">
        <v>1889</v>
      </c>
      <c r="J288" s="18"/>
      <c r="K288" s="18"/>
      <c r="L288" s="19">
        <f>SUM(F288:K288)</f>
        <v>68520.05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3151</v>
      </c>
      <c r="G290" s="18">
        <v>292.29000000000002</v>
      </c>
      <c r="H290" s="18"/>
      <c r="I290" s="18">
        <f>2184.64+533.73</f>
        <v>2718.37</v>
      </c>
      <c r="J290" s="18">
        <v>3419.14</v>
      </c>
      <c r="K290" s="18">
        <v>1107.1600000000001</v>
      </c>
      <c r="L290" s="19">
        <f>SUM(F290:K290)</f>
        <v>10687.96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>
        <v>622.14</v>
      </c>
      <c r="J293" s="18"/>
      <c r="K293" s="18"/>
      <c r="L293" s="19">
        <f t="shared" si="14"/>
        <v>622.14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101774.26000000001</v>
      </c>
      <c r="G301" s="42">
        <f t="shared" si="15"/>
        <v>21215.96</v>
      </c>
      <c r="H301" s="42">
        <f t="shared" si="15"/>
        <v>6710.86</v>
      </c>
      <c r="I301" s="42">
        <f t="shared" si="15"/>
        <v>5426.69</v>
      </c>
      <c r="J301" s="42">
        <f t="shared" si="15"/>
        <v>9713.14</v>
      </c>
      <c r="K301" s="42">
        <f t="shared" si="15"/>
        <v>1747.3000000000002</v>
      </c>
      <c r="L301" s="41">
        <f t="shared" si="15"/>
        <v>146588.21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23645.45</v>
      </c>
      <c r="G306" s="18">
        <v>1559.84</v>
      </c>
      <c r="H306" s="18">
        <f>15201+13257.8+23100</f>
        <v>51558.8</v>
      </c>
      <c r="I306" s="18">
        <v>5406.88</v>
      </c>
      <c r="J306" s="18">
        <v>2250</v>
      </c>
      <c r="K306" s="18">
        <f>3200+500</f>
        <v>3700</v>
      </c>
      <c r="L306" s="19">
        <f>SUM(F306:K306)</f>
        <v>88120.97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101921.26</v>
      </c>
      <c r="G307" s="18"/>
      <c r="H307" s="18">
        <v>43623.97</v>
      </c>
      <c r="I307" s="18">
        <v>4126.93</v>
      </c>
      <c r="J307" s="18"/>
      <c r="K307" s="18"/>
      <c r="L307" s="19">
        <f>SUM(F307:K307)</f>
        <v>149672.15999999997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v>1845.63</v>
      </c>
      <c r="J311" s="18"/>
      <c r="K311" s="18"/>
      <c r="L311" s="19">
        <f t="shared" ref="L311:L317" si="16">SUM(F311:K311)</f>
        <v>1845.63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125566.70999999999</v>
      </c>
      <c r="G320" s="42">
        <f t="shared" si="17"/>
        <v>1559.84</v>
      </c>
      <c r="H320" s="42">
        <f t="shared" si="17"/>
        <v>95182.77</v>
      </c>
      <c r="I320" s="42">
        <f t="shared" si="17"/>
        <v>11379.440000000002</v>
      </c>
      <c r="J320" s="42">
        <f t="shared" si="17"/>
        <v>2250</v>
      </c>
      <c r="K320" s="42">
        <f t="shared" si="17"/>
        <v>3700</v>
      </c>
      <c r="L320" s="41">
        <f t="shared" si="17"/>
        <v>239638.75999999998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9275+31800.12+716</f>
        <v>41791.119999999995</v>
      </c>
      <c r="G325" s="18">
        <v>32522.47</v>
      </c>
      <c r="H325" s="18">
        <v>13070.34</v>
      </c>
      <c r="I325" s="18">
        <v>4798</v>
      </c>
      <c r="J325" s="18"/>
      <c r="K325" s="18">
        <v>1388.59</v>
      </c>
      <c r="L325" s="19">
        <f t="shared" si="18"/>
        <v>93570.51999999999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41791.119999999995</v>
      </c>
      <c r="G329" s="41">
        <f t="shared" si="19"/>
        <v>32522.47</v>
      </c>
      <c r="H329" s="41">
        <f t="shared" si="19"/>
        <v>13070.34</v>
      </c>
      <c r="I329" s="41">
        <f t="shared" si="19"/>
        <v>4798</v>
      </c>
      <c r="J329" s="41">
        <f t="shared" si="19"/>
        <v>0</v>
      </c>
      <c r="K329" s="41">
        <f t="shared" si="19"/>
        <v>1388.59</v>
      </c>
      <c r="L329" s="41">
        <f t="shared" si="18"/>
        <v>93570.51999999999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585580.53999999992</v>
      </c>
      <c r="G330" s="41">
        <f t="shared" si="20"/>
        <v>58610.45</v>
      </c>
      <c r="H330" s="41">
        <f t="shared" si="20"/>
        <v>226067.99</v>
      </c>
      <c r="I330" s="41">
        <f t="shared" si="20"/>
        <v>48646.720000000001</v>
      </c>
      <c r="J330" s="41">
        <f t="shared" si="20"/>
        <v>11963.14</v>
      </c>
      <c r="K330" s="41">
        <f t="shared" si="20"/>
        <v>8465.75</v>
      </c>
      <c r="L330" s="41">
        <f t="shared" si="20"/>
        <v>939334.59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585580.53999999992</v>
      </c>
      <c r="G344" s="41">
        <f>G330</f>
        <v>58610.45</v>
      </c>
      <c r="H344" s="41">
        <f>H330</f>
        <v>226067.99</v>
      </c>
      <c r="I344" s="41">
        <f>I330</f>
        <v>48646.720000000001</v>
      </c>
      <c r="J344" s="41">
        <f>J330</f>
        <v>11963.14</v>
      </c>
      <c r="K344" s="47">
        <f>K330+K343</f>
        <v>8465.75</v>
      </c>
      <c r="L344" s="41">
        <f>L330+L343</f>
        <v>939334.59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232021.23</v>
      </c>
      <c r="I350" s="18">
        <v>9266.67</v>
      </c>
      <c r="J350" s="18"/>
      <c r="K350" s="18"/>
      <c r="L350" s="13">
        <f>SUM(F350:K350)</f>
        <v>241287.90000000002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90912.17</v>
      </c>
      <c r="I351" s="18">
        <v>3630.93</v>
      </c>
      <c r="J351" s="18"/>
      <c r="K351" s="18"/>
      <c r="L351" s="19">
        <f>SUM(F351:K351)</f>
        <v>94543.099999999991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234809.95</v>
      </c>
      <c r="I352" s="18">
        <v>9378.0499999999993</v>
      </c>
      <c r="J352" s="18"/>
      <c r="K352" s="18"/>
      <c r="L352" s="19">
        <f>SUM(F352:K352)</f>
        <v>244188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557743.35000000009</v>
      </c>
      <c r="I354" s="47">
        <f t="shared" si="22"/>
        <v>22275.65</v>
      </c>
      <c r="J354" s="47">
        <f t="shared" si="22"/>
        <v>0</v>
      </c>
      <c r="K354" s="47">
        <f t="shared" si="22"/>
        <v>0</v>
      </c>
      <c r="L354" s="47">
        <f t="shared" si="22"/>
        <v>580019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8763.8799999999992</v>
      </c>
      <c r="G359" s="18">
        <v>3433.92</v>
      </c>
      <c r="H359" s="18">
        <v>8869.2099999999991</v>
      </c>
      <c r="I359" s="56">
        <f>SUM(F359:H359)</f>
        <v>21067.01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9266.67-F359</f>
        <v>502.79000000000087</v>
      </c>
      <c r="G360" s="63">
        <f>3630.93-G359</f>
        <v>197.00999999999976</v>
      </c>
      <c r="H360" s="63">
        <f>9378.05-H359</f>
        <v>508.84000000000015</v>
      </c>
      <c r="I360" s="56">
        <f>SUM(F360:H360)</f>
        <v>1208.6400000000008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9266.67</v>
      </c>
      <c r="G361" s="47">
        <f>SUM(G359:G360)</f>
        <v>3630.93</v>
      </c>
      <c r="H361" s="47">
        <f>SUM(H359:H360)</f>
        <v>9378.0499999999993</v>
      </c>
      <c r="I361" s="47">
        <f>SUM(I359:I360)</f>
        <v>22275.649999999998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1824368.29</v>
      </c>
      <c r="I367" s="18"/>
      <c r="J367" s="18"/>
      <c r="K367" s="18"/>
      <c r="L367" s="13">
        <f t="shared" ref="L367:L373" si="23">SUM(F367:K367)</f>
        <v>1824368.29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1139039.19</v>
      </c>
      <c r="I368" s="18"/>
      <c r="J368" s="18"/>
      <c r="K368" s="18"/>
      <c r="L368" s="13">
        <f t="shared" si="23"/>
        <v>1139039.19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5120494.78</v>
      </c>
      <c r="I370" s="18"/>
      <c r="J370" s="18"/>
      <c r="K370" s="18"/>
      <c r="L370" s="13">
        <f t="shared" si="23"/>
        <v>5120494.78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8083902.2599999998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8083902.2599999998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400000</v>
      </c>
      <c r="H381" s="18">
        <v>3907.74</v>
      </c>
      <c r="I381" s="18"/>
      <c r="J381" s="24" t="s">
        <v>312</v>
      </c>
      <c r="K381" s="24" t="s">
        <v>312</v>
      </c>
      <c r="L381" s="56">
        <f t="shared" si="25"/>
        <v>403907.74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400000</v>
      </c>
      <c r="H385" s="139">
        <f>SUM(H379:H384)</f>
        <v>3907.74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403907.74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418.61</v>
      </c>
      <c r="I389" s="18"/>
      <c r="J389" s="24" t="s">
        <v>312</v>
      </c>
      <c r="K389" s="24" t="s">
        <v>312</v>
      </c>
      <c r="L389" s="56">
        <f t="shared" si="26"/>
        <v>50418.61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418.61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50418.61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450000</v>
      </c>
      <c r="H400" s="47">
        <f>H385+H393+H399</f>
        <v>4326.3499999999995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454326.35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830195.82+400000</f>
        <v>1230195.8199999998</v>
      </c>
      <c r="G432" s="18">
        <f>153441.44+50000</f>
        <v>203441.44</v>
      </c>
      <c r="H432" s="18"/>
      <c r="I432" s="56">
        <f t="shared" si="33"/>
        <v>1433637.2599999998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1230195.8199999998</v>
      </c>
      <c r="G438" s="13">
        <f>SUM(G431:G437)</f>
        <v>203441.44</v>
      </c>
      <c r="H438" s="13">
        <f>SUM(H431:H437)</f>
        <v>0</v>
      </c>
      <c r="I438" s="13">
        <f>SUM(I431:I437)</f>
        <v>1433637.2599999998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1230195.82</v>
      </c>
      <c r="G449" s="18">
        <v>203441.44</v>
      </c>
      <c r="H449" s="18"/>
      <c r="I449" s="56">
        <f>SUM(F449:H449)</f>
        <v>1433637.26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1230195.82</v>
      </c>
      <c r="G450" s="83">
        <f>SUM(G446:G449)</f>
        <v>203441.44</v>
      </c>
      <c r="H450" s="83">
        <f>SUM(H446:H449)</f>
        <v>0</v>
      </c>
      <c r="I450" s="83">
        <f>SUM(I446:I449)</f>
        <v>1433637.26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1230195.82</v>
      </c>
      <c r="G451" s="42">
        <f>G444+G450</f>
        <v>203441.44</v>
      </c>
      <c r="H451" s="42">
        <f>H444+H450</f>
        <v>0</v>
      </c>
      <c r="I451" s="42">
        <f>I444+I450</f>
        <v>1433637.26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2467843</v>
      </c>
      <c r="G455" s="18">
        <v>0</v>
      </c>
      <c r="H455" s="18">
        <v>108547</v>
      </c>
      <c r="I455" s="18">
        <v>-449056</v>
      </c>
      <c r="J455" s="18">
        <v>979310.91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32271675.799999997</v>
      </c>
      <c r="G458" s="18">
        <f>G185</f>
        <v>580019</v>
      </c>
      <c r="H458" s="18">
        <f>H185</f>
        <v>909078.67</v>
      </c>
      <c r="I458" s="18">
        <f>I185</f>
        <v>10000000</v>
      </c>
      <c r="J458" s="18">
        <f>L400</f>
        <v>454326.35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32271675.799999997</v>
      </c>
      <c r="G460" s="53">
        <f>SUM(G458:G459)</f>
        <v>580019</v>
      </c>
      <c r="H460" s="53">
        <f>SUM(H458:H459)</f>
        <v>909078.67</v>
      </c>
      <c r="I460" s="53">
        <f>SUM(I458:I459)</f>
        <v>10000000</v>
      </c>
      <c r="J460" s="53">
        <f>SUM(J458:J459)</f>
        <v>454326.35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32556760.039999995</v>
      </c>
      <c r="G462" s="18">
        <f>L354</f>
        <v>580019</v>
      </c>
      <c r="H462" s="18">
        <f>L344</f>
        <v>939334.59</v>
      </c>
      <c r="I462" s="18">
        <f>L374</f>
        <v>8083902.2599999998</v>
      </c>
      <c r="J462" s="18">
        <f>L426</f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32556760.039999995</v>
      </c>
      <c r="G464" s="53">
        <f>SUM(G462:G463)</f>
        <v>580019</v>
      </c>
      <c r="H464" s="53">
        <f>SUM(H462:H463)</f>
        <v>939334.59</v>
      </c>
      <c r="I464" s="53">
        <f>SUM(I462:I463)</f>
        <v>8083902.2599999998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2182758.7600000016</v>
      </c>
      <c r="G466" s="53">
        <f>(G455+G460)- G464</f>
        <v>0</v>
      </c>
      <c r="H466" s="53">
        <f>(H455+H460)- H464</f>
        <v>78291.080000000075</v>
      </c>
      <c r="I466" s="53">
        <f>(I455+I460)- I464</f>
        <v>1467041.7400000002</v>
      </c>
      <c r="J466" s="53">
        <f>(J455+J460)- J464</f>
        <v>1433637.26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5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897</v>
      </c>
      <c r="H481" s="155" t="s">
        <v>899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898</v>
      </c>
      <c r="H482" s="155" t="s">
        <v>900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4900000</v>
      </c>
      <c r="G483" s="18">
        <v>739000</v>
      </c>
      <c r="H483" s="18">
        <v>678550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896</v>
      </c>
      <c r="G484" s="18" t="s">
        <v>896</v>
      </c>
      <c r="H484" s="18">
        <v>2.23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1020000</v>
      </c>
      <c r="G485" s="18">
        <v>435000</v>
      </c>
      <c r="H485" s="18">
        <v>0</v>
      </c>
      <c r="I485" s="18"/>
      <c r="J485" s="18"/>
      <c r="K485" s="53">
        <f>SUM(F485:J485)</f>
        <v>1455000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678550</v>
      </c>
      <c r="I486" s="18"/>
      <c r="J486" s="18"/>
      <c r="K486" s="53">
        <f t="shared" ref="K486:K493" si="34">SUM(F486:J486)</f>
        <v>678550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340000</v>
      </c>
      <c r="G487" s="18">
        <v>145000</v>
      </c>
      <c r="H487" s="18">
        <v>0</v>
      </c>
      <c r="I487" s="18"/>
      <c r="J487" s="18"/>
      <c r="K487" s="53">
        <f t="shared" si="34"/>
        <v>485000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F485+F486-F487</f>
        <v>680000</v>
      </c>
      <c r="G488" s="205">
        <f>G485+G486-G487</f>
        <v>290000</v>
      </c>
      <c r="H488" s="205">
        <v>678550</v>
      </c>
      <c r="I488" s="205"/>
      <c r="J488" s="205"/>
      <c r="K488" s="206">
        <f t="shared" si="34"/>
        <v>1648550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39950</v>
      </c>
      <c r="G489" s="18">
        <v>21387.5</v>
      </c>
      <c r="H489" s="18">
        <v>74863.83</v>
      </c>
      <c r="I489" s="18"/>
      <c r="J489" s="18"/>
      <c r="K489" s="53">
        <f t="shared" si="34"/>
        <v>136201.33000000002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719950</v>
      </c>
      <c r="G490" s="42">
        <f>SUM(G488:G489)</f>
        <v>311387.5</v>
      </c>
      <c r="H490" s="42">
        <f>SUM(H488:H489)</f>
        <v>753413.83</v>
      </c>
      <c r="I490" s="42">
        <f>SUM(I488:I489)</f>
        <v>0</v>
      </c>
      <c r="J490" s="42">
        <f>SUM(J488:J489)</f>
        <v>0</v>
      </c>
      <c r="K490" s="42">
        <f t="shared" si="34"/>
        <v>1784751.33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340000</v>
      </c>
      <c r="G491" s="205">
        <v>145000</v>
      </c>
      <c r="H491" s="205">
        <v>138550</v>
      </c>
      <c r="I491" s="205"/>
      <c r="J491" s="205"/>
      <c r="K491" s="206">
        <f t="shared" si="34"/>
        <v>623550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26350</v>
      </c>
      <c r="G492" s="18">
        <v>13775</v>
      </c>
      <c r="H492" s="18">
        <v>24913.83</v>
      </c>
      <c r="I492" s="18"/>
      <c r="J492" s="18"/>
      <c r="K492" s="53">
        <f t="shared" si="34"/>
        <v>65038.83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366350</v>
      </c>
      <c r="G493" s="42">
        <f>SUM(G491:G492)</f>
        <v>158775</v>
      </c>
      <c r="H493" s="42">
        <f>SUM(H491:H492)</f>
        <v>163463.83000000002</v>
      </c>
      <c r="I493" s="42">
        <f>SUM(I491:I492)</f>
        <v>0</v>
      </c>
      <c r="J493" s="42">
        <f>SUM(J491:J492)</f>
        <v>0</v>
      </c>
      <c r="K493" s="42">
        <f t="shared" si="34"/>
        <v>688588.83000000007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1812259.43</v>
      </c>
      <c r="G511" s="18">
        <v>702211.16</v>
      </c>
      <c r="H511" s="18">
        <v>254283.29</v>
      </c>
      <c r="I511" s="18">
        <v>12830.11</v>
      </c>
      <c r="J511" s="18">
        <v>772.78</v>
      </c>
      <c r="K511" s="18">
        <v>0</v>
      </c>
      <c r="L511" s="88">
        <f>SUM(F511:K511)</f>
        <v>2782356.7699999996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607747.98</v>
      </c>
      <c r="G512" s="18">
        <v>305784.71000000002</v>
      </c>
      <c r="H512" s="18">
        <v>150715.74</v>
      </c>
      <c r="I512" s="18">
        <v>15787.93</v>
      </c>
      <c r="J512" s="18">
        <v>1217.82</v>
      </c>
      <c r="K512" s="18">
        <v>0</v>
      </c>
      <c r="L512" s="88">
        <f>SUM(F512:K512)</f>
        <v>1081254.18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933158.81</v>
      </c>
      <c r="G513" s="18">
        <v>398122.65</v>
      </c>
      <c r="H513" s="18">
        <v>633972.47999999998</v>
      </c>
      <c r="I513" s="18">
        <v>9400.3700000000008</v>
      </c>
      <c r="J513" s="18">
        <v>1717.56</v>
      </c>
      <c r="K513" s="18">
        <v>135</v>
      </c>
      <c r="L513" s="88">
        <f>SUM(F513:K513)</f>
        <v>1976506.87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3353166.22</v>
      </c>
      <c r="G514" s="108">
        <f t="shared" ref="G514:L514" si="35">SUM(G511:G513)</f>
        <v>1406118.52</v>
      </c>
      <c r="H514" s="108">
        <f t="shared" si="35"/>
        <v>1038971.51</v>
      </c>
      <c r="I514" s="108">
        <f t="shared" si="35"/>
        <v>38018.410000000003</v>
      </c>
      <c r="J514" s="108">
        <f t="shared" si="35"/>
        <v>3708.16</v>
      </c>
      <c r="K514" s="108">
        <f t="shared" si="35"/>
        <v>135</v>
      </c>
      <c r="L514" s="89">
        <f t="shared" si="35"/>
        <v>5840117.8199999994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348216.11</v>
      </c>
      <c r="G516" s="18">
        <v>152327</v>
      </c>
      <c r="H516" s="18">
        <v>178407.81</v>
      </c>
      <c r="I516" s="18">
        <v>6566.51</v>
      </c>
      <c r="J516" s="18">
        <v>3242.39</v>
      </c>
      <c r="K516" s="18"/>
      <c r="L516" s="88">
        <f>SUM(F516:K516)</f>
        <v>688759.82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137087.19</v>
      </c>
      <c r="G517" s="18">
        <v>59968.73</v>
      </c>
      <c r="H517" s="18">
        <v>70236.34</v>
      </c>
      <c r="I517" s="18">
        <v>2585.13</v>
      </c>
      <c r="J517" s="18">
        <v>1276.48</v>
      </c>
      <c r="K517" s="18"/>
      <c r="L517" s="88">
        <f>SUM(F517:K517)</f>
        <v>271153.87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247783.25</v>
      </c>
      <c r="G518" s="18">
        <v>108392.7</v>
      </c>
      <c r="H518" s="18">
        <v>126951.25</v>
      </c>
      <c r="I518" s="18">
        <v>4672.59</v>
      </c>
      <c r="J518" s="18">
        <v>2307.2199999999998</v>
      </c>
      <c r="K518" s="18"/>
      <c r="L518" s="88">
        <f>SUM(F518:K518)</f>
        <v>490107.01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733086.55</v>
      </c>
      <c r="G519" s="89">
        <f t="shared" ref="G519:L519" si="36">SUM(G516:G518)</f>
        <v>320688.43</v>
      </c>
      <c r="H519" s="89">
        <f t="shared" si="36"/>
        <v>375595.4</v>
      </c>
      <c r="I519" s="89">
        <f t="shared" si="36"/>
        <v>13824.23</v>
      </c>
      <c r="J519" s="89">
        <f t="shared" si="36"/>
        <v>6826.09</v>
      </c>
      <c r="K519" s="89">
        <f t="shared" si="36"/>
        <v>0</v>
      </c>
      <c r="L519" s="89">
        <f t="shared" si="36"/>
        <v>1450020.7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62914.57</v>
      </c>
      <c r="G521" s="18">
        <v>27515.98</v>
      </c>
      <c r="H521" s="18">
        <v>4903.26</v>
      </c>
      <c r="I521" s="18"/>
      <c r="J521" s="18"/>
      <c r="K521" s="18">
        <v>637.08000000000004</v>
      </c>
      <c r="L521" s="88">
        <f>SUM(F521:K521)</f>
        <v>95970.89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24768.48</v>
      </c>
      <c r="G522" s="18">
        <v>10832.61</v>
      </c>
      <c r="H522" s="18">
        <v>1930.34</v>
      </c>
      <c r="I522" s="18"/>
      <c r="J522" s="18"/>
      <c r="K522" s="18">
        <v>250.02</v>
      </c>
      <c r="L522" s="88">
        <f>SUM(F522:K522)</f>
        <v>37781.44999999999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44768.67</v>
      </c>
      <c r="G523" s="18">
        <v>19579.79</v>
      </c>
      <c r="H523" s="18">
        <v>3489.05</v>
      </c>
      <c r="I523" s="18"/>
      <c r="J523" s="18"/>
      <c r="K523" s="18">
        <v>449.9</v>
      </c>
      <c r="L523" s="88">
        <f>SUM(F523:K523)</f>
        <v>68287.409999999989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132451.72</v>
      </c>
      <c r="G524" s="89">
        <f t="shared" ref="G524:L524" si="37">SUM(G521:G523)</f>
        <v>57928.38</v>
      </c>
      <c r="H524" s="89">
        <f t="shared" si="37"/>
        <v>10322.650000000001</v>
      </c>
      <c r="I524" s="89">
        <f t="shared" si="37"/>
        <v>0</v>
      </c>
      <c r="J524" s="89">
        <f t="shared" si="37"/>
        <v>0</v>
      </c>
      <c r="K524" s="89">
        <f t="shared" si="37"/>
        <v>1337</v>
      </c>
      <c r="L524" s="89">
        <f t="shared" si="37"/>
        <v>202039.75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2681.82</v>
      </c>
      <c r="I526" s="18"/>
      <c r="J526" s="18"/>
      <c r="K526" s="18"/>
      <c r="L526" s="88">
        <f>SUM(F526:K526)</f>
        <v>2681.82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1055.79</v>
      </c>
      <c r="I527" s="18"/>
      <c r="J527" s="18"/>
      <c r="K527" s="18"/>
      <c r="L527" s="88">
        <f>SUM(F527:K527)</f>
        <v>1055.79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1908.32</v>
      </c>
      <c r="I528" s="18"/>
      <c r="J528" s="18"/>
      <c r="K528" s="18"/>
      <c r="L528" s="88">
        <f>SUM(F528:K528)</f>
        <v>1908.32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5645.93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5645.93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56427.57</v>
      </c>
      <c r="G531" s="18">
        <v>5186.2700000000004</v>
      </c>
      <c r="H531" s="18">
        <v>58967.94</v>
      </c>
      <c r="I531" s="18">
        <v>65.61</v>
      </c>
      <c r="J531" s="18"/>
      <c r="K531" s="18"/>
      <c r="L531" s="88">
        <f>SUM(F531:K531)</f>
        <v>120647.39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22214.639999999999</v>
      </c>
      <c r="G532" s="18">
        <v>2041.75</v>
      </c>
      <c r="H532" s="18">
        <v>23217.75</v>
      </c>
      <c r="I532" s="18">
        <v>25.83</v>
      </c>
      <c r="J532" s="18"/>
      <c r="K532" s="18"/>
      <c r="L532" s="88">
        <f>SUM(F532:K532)</f>
        <v>47499.97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40152.68</v>
      </c>
      <c r="G533" s="18">
        <v>3690.45</v>
      </c>
      <c r="H533" s="18">
        <v>41957.34</v>
      </c>
      <c r="I533" s="18">
        <v>46.68</v>
      </c>
      <c r="J533" s="18"/>
      <c r="K533" s="18"/>
      <c r="L533" s="88">
        <f>SUM(F533:K533)</f>
        <v>85847.15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118794.88999999998</v>
      </c>
      <c r="G534" s="194">
        <f t="shared" ref="G534:L534" si="39">SUM(G531:G533)</f>
        <v>10918.470000000001</v>
      </c>
      <c r="H534" s="194">
        <f t="shared" si="39"/>
        <v>124143.03</v>
      </c>
      <c r="I534" s="194">
        <f t="shared" si="39"/>
        <v>138.12</v>
      </c>
      <c r="J534" s="194">
        <f t="shared" si="39"/>
        <v>0</v>
      </c>
      <c r="K534" s="194">
        <f t="shared" si="39"/>
        <v>0</v>
      </c>
      <c r="L534" s="194">
        <f t="shared" si="39"/>
        <v>253994.50999999998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4337499.38</v>
      </c>
      <c r="G535" s="89">
        <f t="shared" ref="G535:L535" si="40">G514+G519+G524+G529+G534</f>
        <v>1795653.7999999998</v>
      </c>
      <c r="H535" s="89">
        <f t="shared" si="40"/>
        <v>1554678.52</v>
      </c>
      <c r="I535" s="89">
        <f t="shared" si="40"/>
        <v>51980.76</v>
      </c>
      <c r="J535" s="89">
        <f t="shared" si="40"/>
        <v>10534.25</v>
      </c>
      <c r="K535" s="89">
        <f t="shared" si="40"/>
        <v>1472</v>
      </c>
      <c r="L535" s="89">
        <f t="shared" si="40"/>
        <v>7751818.709999999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2782356.7699999996</v>
      </c>
      <c r="G539" s="87">
        <f>L516</f>
        <v>688759.82</v>
      </c>
      <c r="H539" s="87">
        <f>L521</f>
        <v>95970.89</v>
      </c>
      <c r="I539" s="87">
        <f>L526</f>
        <v>2681.82</v>
      </c>
      <c r="J539" s="87">
        <f>L531</f>
        <v>120647.39</v>
      </c>
      <c r="K539" s="87">
        <f>SUM(F539:J539)</f>
        <v>3690416.6899999995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1081254.18</v>
      </c>
      <c r="G540" s="87">
        <f>L517</f>
        <v>271153.87</v>
      </c>
      <c r="H540" s="87">
        <f>L522</f>
        <v>37781.44999999999</v>
      </c>
      <c r="I540" s="87">
        <f>L527</f>
        <v>1055.79</v>
      </c>
      <c r="J540" s="87">
        <f>L532</f>
        <v>47499.97</v>
      </c>
      <c r="K540" s="87">
        <f>SUM(F540:J540)</f>
        <v>1438745.2599999998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1976506.87</v>
      </c>
      <c r="G541" s="87">
        <f>L518</f>
        <v>490107.01</v>
      </c>
      <c r="H541" s="87">
        <f>L523</f>
        <v>68287.409999999989</v>
      </c>
      <c r="I541" s="87">
        <f>L528</f>
        <v>1908.32</v>
      </c>
      <c r="J541" s="87">
        <f>L533</f>
        <v>85847.15</v>
      </c>
      <c r="K541" s="87">
        <f>SUM(F541:J541)</f>
        <v>2622656.7599999998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5840117.8199999994</v>
      </c>
      <c r="G542" s="89">
        <f t="shared" si="41"/>
        <v>1450020.7</v>
      </c>
      <c r="H542" s="89">
        <f t="shared" si="41"/>
        <v>202039.75</v>
      </c>
      <c r="I542" s="89">
        <f t="shared" si="41"/>
        <v>5645.93</v>
      </c>
      <c r="J542" s="89">
        <f t="shared" si="41"/>
        <v>253994.50999999998</v>
      </c>
      <c r="K542" s="89">
        <f t="shared" si="41"/>
        <v>7751818.709999999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9271.81</v>
      </c>
      <c r="I568" s="87">
        <f t="shared" si="46"/>
        <v>9271.81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>
        <v>51421.45</v>
      </c>
      <c r="H570" s="18">
        <v>195543.15</v>
      </c>
      <c r="I570" s="87">
        <f t="shared" si="46"/>
        <v>246964.59999999998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232801.68</v>
      </c>
      <c r="G573" s="18">
        <v>127774.32</v>
      </c>
      <c r="H573" s="18">
        <v>428998.51</v>
      </c>
      <c r="I573" s="87">
        <f t="shared" si="46"/>
        <v>789574.51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518421.73</v>
      </c>
      <c r="I575" s="87">
        <f t="shared" si="46"/>
        <v>518421.73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232366.92</v>
      </c>
      <c r="I581" s="18">
        <v>90219.3</v>
      </c>
      <c r="J581" s="18">
        <v>231044.54</v>
      </c>
      <c r="K581" s="104">
        <f t="shared" ref="K581:K587" si="47">SUM(H581:J581)</f>
        <v>553630.76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105915.24</v>
      </c>
      <c r="I582" s="18">
        <v>41500.44</v>
      </c>
      <c r="J582" s="18">
        <v>107188.26</v>
      </c>
      <c r="K582" s="104">
        <f t="shared" si="47"/>
        <v>254603.94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41284.160000000003</v>
      </c>
      <c r="K583" s="104">
        <f t="shared" si="47"/>
        <v>41284.160000000003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14722.35</v>
      </c>
      <c r="J584" s="18">
        <v>85503.05</v>
      </c>
      <c r="K584" s="104">
        <f t="shared" si="47"/>
        <v>100225.40000000001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16548.330000000002</v>
      </c>
      <c r="I585" s="18">
        <v>4942.08</v>
      </c>
      <c r="J585" s="18">
        <v>8324.34</v>
      </c>
      <c r="K585" s="104">
        <f t="shared" si="47"/>
        <v>29814.750000000004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354830.49000000005</v>
      </c>
      <c r="I588" s="108">
        <f>SUM(I581:I587)</f>
        <v>151384.16999999998</v>
      </c>
      <c r="J588" s="108">
        <f>SUM(J581:J587)</f>
        <v>473344.35</v>
      </c>
      <c r="K588" s="108">
        <f>SUM(K581:K587)</f>
        <v>979559.01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57358.6</v>
      </c>
      <c r="I594" s="18">
        <f>29493.58+9713.14</f>
        <v>39206.720000000001</v>
      </c>
      <c r="J594" s="18">
        <f>84110.01+2250</f>
        <v>86360.01</v>
      </c>
      <c r="K594" s="104">
        <f>SUM(H594:J594)</f>
        <v>182925.33000000002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57358.6</v>
      </c>
      <c r="I595" s="108">
        <f>SUM(I592:I594)</f>
        <v>39206.720000000001</v>
      </c>
      <c r="J595" s="108">
        <f>SUM(J592:J594)</f>
        <v>86360.01</v>
      </c>
      <c r="K595" s="108">
        <f>SUM(K592:K594)</f>
        <v>182925.33000000002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12348.93</v>
      </c>
      <c r="G601" s="18">
        <f>944.74+920.34+25.01</f>
        <v>1890.09</v>
      </c>
      <c r="H601" s="18"/>
      <c r="I601" s="18"/>
      <c r="J601" s="18"/>
      <c r="K601" s="18"/>
      <c r="L601" s="88">
        <f>SUM(F601:K601)</f>
        <v>14239.02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16197.16</v>
      </c>
      <c r="G603" s="18">
        <f>1239.11+1299.02+51.04</f>
        <v>2589.17</v>
      </c>
      <c r="H603" s="18"/>
      <c r="I603" s="18"/>
      <c r="J603" s="18"/>
      <c r="K603" s="18"/>
      <c r="L603" s="88">
        <f>SUM(F603:K603)</f>
        <v>18786.330000000002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28546.09</v>
      </c>
      <c r="G604" s="108">
        <f t="shared" si="48"/>
        <v>4479.26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33025.350000000006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3977843.09</v>
      </c>
      <c r="H607" s="109">
        <f>SUM(F44)</f>
        <v>3977843.09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19087.809999999998</v>
      </c>
      <c r="H608" s="109">
        <f>SUM(G44)</f>
        <v>19087.809999999998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643425.79</v>
      </c>
      <c r="H609" s="109">
        <f>SUM(H44)</f>
        <v>643425.78999999992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11517458.41</v>
      </c>
      <c r="H610" s="109">
        <f>SUM(I44)</f>
        <v>11517458.41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1433637.2599999998</v>
      </c>
      <c r="H611" s="109">
        <f>SUM(J44)</f>
        <v>1433637.26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2182758.7599999998</v>
      </c>
      <c r="H612" s="109">
        <f>F466</f>
        <v>2182758.7600000016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78291.08</v>
      </c>
      <c r="H614" s="109">
        <f>H466</f>
        <v>78291.080000000075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1467041.74</v>
      </c>
      <c r="H615" s="109">
        <f>I466</f>
        <v>1467041.7400000002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1433637.26</v>
      </c>
      <c r="H616" s="109">
        <f>J466</f>
        <v>1433637.26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32271675.799999997</v>
      </c>
      <c r="H617" s="104">
        <f>SUM(F458)</f>
        <v>32271675.799999997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580019</v>
      </c>
      <c r="H618" s="104">
        <f>SUM(G458)</f>
        <v>580019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909078.67</v>
      </c>
      <c r="H619" s="104">
        <f>SUM(H458)</f>
        <v>909078.67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10000000</v>
      </c>
      <c r="H620" s="104">
        <f>SUM(I458)</f>
        <v>10000000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454326.35</v>
      </c>
      <c r="H621" s="104">
        <f>SUM(J458)</f>
        <v>454326.35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32556760.039999995</v>
      </c>
      <c r="H622" s="104">
        <f>SUM(F462)</f>
        <v>32556760.039999995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939334.59</v>
      </c>
      <c r="H623" s="104">
        <f>SUM(H462)</f>
        <v>939334.59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22275.65</v>
      </c>
      <c r="H624" s="104">
        <f>I361</f>
        <v>22275.649999999998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580019</v>
      </c>
      <c r="H625" s="104">
        <f>SUM(G462)</f>
        <v>580019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8083902.2599999998</v>
      </c>
      <c r="H626" s="104">
        <f>SUM(I462)</f>
        <v>8083902.2599999998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454326.35</v>
      </c>
      <c r="H627" s="164">
        <f>SUM(J458)</f>
        <v>454326.35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1230195.8199999998</v>
      </c>
      <c r="H629" s="104">
        <f>SUM(F451)</f>
        <v>1230195.82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203441.44</v>
      </c>
      <c r="H630" s="104">
        <f>SUM(G451)</f>
        <v>203441.44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1433637.2599999998</v>
      </c>
      <c r="H632" s="104">
        <f>SUM(I451)</f>
        <v>1433637.26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4326.3500000000004</v>
      </c>
      <c r="H634" s="104">
        <f>H400</f>
        <v>4326.3499999999995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450000</v>
      </c>
      <c r="H635" s="104">
        <f>G400</f>
        <v>450000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454326.35</v>
      </c>
      <c r="H636" s="104">
        <f>L400</f>
        <v>454326.35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979559.01</v>
      </c>
      <c r="H637" s="104">
        <f>L200+L218+L236</f>
        <v>979559.01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182925.33000000002</v>
      </c>
      <c r="H638" s="104">
        <f>(J249+J330)-(J247+J328)</f>
        <v>182925.33000000002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354830.49</v>
      </c>
      <c r="H639" s="104">
        <f>H588</f>
        <v>354830.49000000005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151384.16999999998</v>
      </c>
      <c r="H640" s="104">
        <f>I588</f>
        <v>151384.16999999998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473344.35000000003</v>
      </c>
      <c r="H641" s="104">
        <f>J588</f>
        <v>473344.35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15711.38</v>
      </c>
      <c r="H642" s="104">
        <f>K255+K337</f>
        <v>15711.38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450000</v>
      </c>
      <c r="H645" s="104">
        <f>K258+K339</f>
        <v>450000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14716544.84</v>
      </c>
      <c r="G650" s="19">
        <f>(L221+L301+L351)</f>
        <v>5588437.6599999992</v>
      </c>
      <c r="H650" s="19">
        <f>(L239+L320+L352)</f>
        <v>12684410.479999999</v>
      </c>
      <c r="I650" s="19">
        <f>SUM(F650:H650)</f>
        <v>32989392.979999997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164818.5316676868</v>
      </c>
      <c r="G651" s="19">
        <f>(L351/IF(SUM(L350:L352)=0,1,SUM(L350:L352))*(SUM(G89:G102)))</f>
        <v>64580.341249234931</v>
      </c>
      <c r="H651" s="19">
        <f>(L352/IF(SUM(L350:L352)=0,1,SUM(L350:L352))*(SUM(G89:G102)))</f>
        <v>166799.52708307834</v>
      </c>
      <c r="I651" s="19">
        <f>SUM(F651:H651)</f>
        <v>396198.40000000008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354830.49</v>
      </c>
      <c r="G652" s="19">
        <f>(L218+L298)-(J218+J298)</f>
        <v>151384.16999999998</v>
      </c>
      <c r="H652" s="19">
        <f>(L236+L317)-(J236+J317)</f>
        <v>473344.35000000003</v>
      </c>
      <c r="I652" s="19">
        <f>SUM(F652:H652)</f>
        <v>979559.01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304399.3</v>
      </c>
      <c r="G653" s="200">
        <f>SUM(G565:G577)+SUM(I592:I594)+L602</f>
        <v>218402.49000000002</v>
      </c>
      <c r="H653" s="200">
        <f>SUM(H565:H577)+SUM(J592:J594)+L603</f>
        <v>1257381.54</v>
      </c>
      <c r="I653" s="19">
        <f>SUM(F653:H653)</f>
        <v>1780183.33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13892496.518332314</v>
      </c>
      <c r="G654" s="19">
        <f>G650-SUM(G651:G653)</f>
        <v>5154070.6587507641</v>
      </c>
      <c r="H654" s="19">
        <f>H650-SUM(H651:H653)</f>
        <v>10786885.06291692</v>
      </c>
      <c r="I654" s="19">
        <f>I650-SUM(I651:I653)</f>
        <v>29833452.239999995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666.84</v>
      </c>
      <c r="G655" s="249">
        <v>280.42</v>
      </c>
      <c r="H655" s="249">
        <v>719.33</v>
      </c>
      <c r="I655" s="19">
        <f>SUM(F655:H655)</f>
        <v>1666.5900000000001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20833.330000000002</v>
      </c>
      <c r="G657" s="19">
        <f>ROUND(G654/G655,2)</f>
        <v>18379.830000000002</v>
      </c>
      <c r="H657" s="19">
        <f>ROUND(H654/H655,2)</f>
        <v>14995.74</v>
      </c>
      <c r="I657" s="19">
        <f>ROUND(I654/I655,2)</f>
        <v>17900.89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-37.270000000000003</v>
      </c>
      <c r="I660" s="19">
        <f>SUM(F660:H660)</f>
        <v>-37.270000000000003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20833.330000000002</v>
      </c>
      <c r="G662" s="19">
        <f>ROUND((G654+G659)/(G655+G660),2)</f>
        <v>18379.830000000002</v>
      </c>
      <c r="H662" s="19">
        <f>ROUND((H654+H659)/(H655+H660),2)</f>
        <v>15815.16</v>
      </c>
      <c r="I662" s="19">
        <f>ROUND((I654+I659)/(I655+I660),2)</f>
        <v>18310.37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DCE-7BCB-423B-8543-E5BCC3C74B0C}">
  <sheetPr>
    <tabColor indexed="20"/>
  </sheetPr>
  <dimension ref="A1:C52"/>
  <sheetViews>
    <sheetView workbookViewId="0">
      <selection activeCell="K27" sqref="K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Lebanon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9122993.1499999966</v>
      </c>
      <c r="C9" s="230">
        <f>'DOE25'!G189+'DOE25'!G207+'DOE25'!G225+'DOE25'!G268+'DOE25'!G287+'DOE25'!G306</f>
        <v>3280631.3600000003</v>
      </c>
    </row>
    <row r="10" spans="1:3" x14ac:dyDescent="0.2">
      <c r="A10" t="s">
        <v>810</v>
      </c>
      <c r="B10" s="241">
        <v>8364270.7000000002</v>
      </c>
      <c r="C10" s="241">
        <v>2837746.12</v>
      </c>
    </row>
    <row r="11" spans="1:3" x14ac:dyDescent="0.2">
      <c r="A11" t="s">
        <v>811</v>
      </c>
      <c r="B11" s="241">
        <f>751432.46+7289.99</f>
        <v>758722.45</v>
      </c>
      <c r="C11" s="241">
        <v>442885.24</v>
      </c>
    </row>
    <row r="12" spans="1:3" x14ac:dyDescent="0.2">
      <c r="A12" t="s">
        <v>812</v>
      </c>
      <c r="B12" s="241">
        <v>0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9122993.1500000004</v>
      </c>
      <c r="C13" s="232">
        <f>SUM(C10:C12)</f>
        <v>3280631.3600000003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4218704.49</v>
      </c>
      <c r="C18" s="230">
        <f>'DOE25'!G190+'DOE25'!G208+'DOE25'!G226+'DOE25'!G269+'DOE25'!G288+'DOE25'!G307</f>
        <v>1784735.3300000003</v>
      </c>
    </row>
    <row r="19" spans="1:3" x14ac:dyDescent="0.2">
      <c r="A19" t="s">
        <v>810</v>
      </c>
      <c r="B19" s="241">
        <v>2875460.9</v>
      </c>
      <c r="C19" s="241">
        <v>1052993.8400000001</v>
      </c>
    </row>
    <row r="20" spans="1:3" x14ac:dyDescent="0.2">
      <c r="A20" t="s">
        <v>811</v>
      </c>
      <c r="B20" s="241">
        <v>1210791.8700000001</v>
      </c>
      <c r="C20" s="241">
        <v>675707.4</v>
      </c>
    </row>
    <row r="21" spans="1:3" x14ac:dyDescent="0.2">
      <c r="A21" t="s">
        <v>812</v>
      </c>
      <c r="B21" s="241">
        <v>132451.72</v>
      </c>
      <c r="C21" s="241">
        <v>56034.09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4218704.49</v>
      </c>
      <c r="C22" s="232">
        <f>SUM(C19:C21)</f>
        <v>1784735.3300000003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405997.39</v>
      </c>
      <c r="C36" s="236">
        <f>'DOE25'!G192+'DOE25'!G210+'DOE25'!G228+'DOE25'!G271+'DOE25'!G290+'DOE25'!G309</f>
        <v>60160.62</v>
      </c>
    </row>
    <row r="37" spans="1:3" x14ac:dyDescent="0.2">
      <c r="A37" t="s">
        <v>810</v>
      </c>
      <c r="B37" s="241">
        <v>94090.46</v>
      </c>
      <c r="C37" s="241">
        <v>14438.55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311906.93</v>
      </c>
      <c r="C39" s="241">
        <v>45722.07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405997.39</v>
      </c>
      <c r="C40" s="232">
        <f>SUM(C37:C39)</f>
        <v>60160.619999999995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25E7-290A-471B-B82C-60997772A8C8}">
  <sheetPr>
    <tabColor indexed="11"/>
  </sheetPr>
  <dimension ref="A1:I51"/>
  <sheetViews>
    <sheetView workbookViewId="0">
      <pane ySplit="4" topLeftCell="A11" activePane="bottomLeft" state="frozen"/>
      <selection pane="bottomLeft" activeCell="D38" sqref="D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Lebanon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20963708.449999996</v>
      </c>
      <c r="D5" s="20">
        <f>SUM('DOE25'!L189:L192)+SUM('DOE25'!L207:L210)+SUM('DOE25'!L225:L228)-F5-G5</f>
        <v>20784280.839999996</v>
      </c>
      <c r="E5" s="244"/>
      <c r="F5" s="256">
        <f>SUM('DOE25'!J189:J192)+SUM('DOE25'!J207:J210)+SUM('DOE25'!J225:J228)</f>
        <v>102849.70999999999</v>
      </c>
      <c r="G5" s="53">
        <f>SUM('DOE25'!K189:K192)+SUM('DOE25'!K207:K210)+SUM('DOE25'!K225:K228)</f>
        <v>76577.899999999994</v>
      </c>
      <c r="H5" s="260"/>
    </row>
    <row r="6" spans="1:9" x14ac:dyDescent="0.2">
      <c r="A6" s="32">
        <v>2100</v>
      </c>
      <c r="B6" t="s">
        <v>832</v>
      </c>
      <c r="C6" s="246">
        <f t="shared" si="0"/>
        <v>1422382.25</v>
      </c>
      <c r="D6" s="20">
        <f>'DOE25'!L194+'DOE25'!L212+'DOE25'!L230-F6-G6</f>
        <v>1414732.25</v>
      </c>
      <c r="E6" s="244"/>
      <c r="F6" s="256">
        <f>'DOE25'!J194+'DOE25'!J212+'DOE25'!J230</f>
        <v>7325</v>
      </c>
      <c r="G6" s="53">
        <f>'DOE25'!K194+'DOE25'!K212+'DOE25'!K230</f>
        <v>325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1687771.3399999999</v>
      </c>
      <c r="D7" s="20">
        <f>'DOE25'!L195+'DOE25'!L213+'DOE25'!L231-F7-G7</f>
        <v>1647152.3199999998</v>
      </c>
      <c r="E7" s="244"/>
      <c r="F7" s="256">
        <f>'DOE25'!J195+'DOE25'!J213+'DOE25'!J231</f>
        <v>40619.020000000004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687699.07</v>
      </c>
      <c r="D8" s="244"/>
      <c r="E8" s="20">
        <f>'DOE25'!L196+'DOE25'!L214+'DOE25'!L232-F8-G8-D9-D11</f>
        <v>662513.62999999989</v>
      </c>
      <c r="F8" s="256">
        <f>'DOE25'!J196+'DOE25'!J214+'DOE25'!J232</f>
        <v>7680.53</v>
      </c>
      <c r="G8" s="53">
        <f>'DOE25'!K196+'DOE25'!K214+'DOE25'!K232</f>
        <v>17504.91</v>
      </c>
      <c r="H8" s="260"/>
    </row>
    <row r="9" spans="1:9" x14ac:dyDescent="0.2">
      <c r="A9" s="32">
        <v>2310</v>
      </c>
      <c r="B9" t="s">
        <v>849</v>
      </c>
      <c r="C9" s="246">
        <f t="shared" si="0"/>
        <v>168326.34</v>
      </c>
      <c r="D9" s="245">
        <v>168326.34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19529</v>
      </c>
      <c r="D10" s="244"/>
      <c r="E10" s="245">
        <v>19529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350851.93</v>
      </c>
      <c r="D11" s="245">
        <v>350851.93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1463138.3399999999</v>
      </c>
      <c r="D12" s="20">
        <f>'DOE25'!L197+'DOE25'!L215+'DOE25'!L233-F12-G12</f>
        <v>1455187.7099999997</v>
      </c>
      <c r="E12" s="244"/>
      <c r="F12" s="256">
        <f>'DOE25'!J197+'DOE25'!J215+'DOE25'!J233</f>
        <v>656.11</v>
      </c>
      <c r="G12" s="53">
        <f>'DOE25'!K197+'DOE25'!K215+'DOE25'!K233</f>
        <v>7294.52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3840173.1799999997</v>
      </c>
      <c r="D14" s="20">
        <f>'DOE25'!L199+'DOE25'!L217+'DOE25'!L235-F14-G14</f>
        <v>3827976.36</v>
      </c>
      <c r="E14" s="244"/>
      <c r="F14" s="256">
        <f>'DOE25'!J199+'DOE25'!J217+'DOE25'!J235</f>
        <v>11831.82</v>
      </c>
      <c r="G14" s="53">
        <f>'DOE25'!K199+'DOE25'!K217+'DOE25'!K235</f>
        <v>365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979559.01</v>
      </c>
      <c r="D15" s="20">
        <f>'DOE25'!L200+'DOE25'!L218+'DOE25'!L236-F15-G15</f>
        <v>978724.42</v>
      </c>
      <c r="E15" s="244"/>
      <c r="F15" s="256">
        <f>'DOE25'!J200+'DOE25'!J218+'DOE25'!J236</f>
        <v>0</v>
      </c>
      <c r="G15" s="53">
        <f>'DOE25'!K200+'DOE25'!K218+'DOE25'!K236</f>
        <v>834.58999999999992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527438.75</v>
      </c>
      <c r="D25" s="244"/>
      <c r="E25" s="244"/>
      <c r="F25" s="259"/>
      <c r="G25" s="257"/>
      <c r="H25" s="258">
        <f>'DOE25'!L252+'DOE25'!L253+'DOE25'!L333+'DOE25'!L334</f>
        <v>527438.75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558951.99</v>
      </c>
      <c r="D29" s="20">
        <f>'DOE25'!L350+'DOE25'!L351+'DOE25'!L352-'DOE25'!I359-F29-G29</f>
        <v>558951.99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939334.59</v>
      </c>
      <c r="D31" s="20">
        <f>'DOE25'!L282+'DOE25'!L301+'DOE25'!L320+'DOE25'!L325+'DOE25'!L326+'DOE25'!L327-F31-G31</f>
        <v>918905.7</v>
      </c>
      <c r="E31" s="244"/>
      <c r="F31" s="256">
        <f>'DOE25'!J282+'DOE25'!J301+'DOE25'!J320+'DOE25'!J325+'DOE25'!J326+'DOE25'!J327</f>
        <v>11963.14</v>
      </c>
      <c r="G31" s="53">
        <f>'DOE25'!K282+'DOE25'!K301+'DOE25'!K320+'DOE25'!K325+'DOE25'!K326+'DOE25'!K327</f>
        <v>8465.75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32105089.859999996</v>
      </c>
      <c r="E33" s="247">
        <f>SUM(E5:E31)</f>
        <v>682042.62999999989</v>
      </c>
      <c r="F33" s="247">
        <f>SUM(F5:F31)</f>
        <v>182925.32999999996</v>
      </c>
      <c r="G33" s="247">
        <f>SUM(G5:G31)</f>
        <v>111367.67</v>
      </c>
      <c r="H33" s="247">
        <f>SUM(H5:H31)</f>
        <v>527438.75</v>
      </c>
    </row>
    <row r="35" spans="2:8" ht="12" thickBot="1" x14ac:dyDescent="0.25">
      <c r="B35" s="254" t="s">
        <v>878</v>
      </c>
      <c r="D35" s="255">
        <f>E33</f>
        <v>682042.62999999989</v>
      </c>
      <c r="E35" s="250"/>
    </row>
    <row r="36" spans="2:8" ht="12" thickTop="1" x14ac:dyDescent="0.2">
      <c r="B36" t="s">
        <v>846</v>
      </c>
      <c r="D36" s="20">
        <f>D33</f>
        <v>32105089.859999996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EE4D-691C-4E11-A4E9-1E4785E70A4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942303.03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2354580.27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1433637.2599999998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575987.02</v>
      </c>
      <c r="D12" s="95">
        <f>'DOE25'!G12</f>
        <v>8235.5</v>
      </c>
      <c r="E12" s="95">
        <f>'DOE25'!H12</f>
        <v>0</v>
      </c>
      <c r="F12" s="95">
        <f>'DOE25'!I12</f>
        <v>1517458.41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10852.31</v>
      </c>
      <c r="E13" s="95">
        <f>'DOE25'!H13</f>
        <v>643425.79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10000000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104972.77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3977843.09</v>
      </c>
      <c r="D19" s="41">
        <f>SUM(D9:D18)</f>
        <v>19087.809999999998</v>
      </c>
      <c r="E19" s="41">
        <f>SUM(E9:E18)</f>
        <v>643425.79</v>
      </c>
      <c r="F19" s="41">
        <f>SUM(F9:F18)</f>
        <v>11517458.41</v>
      </c>
      <c r="G19" s="41">
        <f>SUM(G9:G18)</f>
        <v>1433637.2599999998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1525693.91</v>
      </c>
      <c r="D22" s="95">
        <f>'DOE25'!G23</f>
        <v>10852.31</v>
      </c>
      <c r="E22" s="95">
        <f>'DOE25'!H23</f>
        <v>565134.71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269390.42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10050416.67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8235.5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1795084.3299999998</v>
      </c>
      <c r="D32" s="41">
        <f>SUM(D22:D31)</f>
        <v>19087.809999999998</v>
      </c>
      <c r="E32" s="41">
        <f>SUM(E22:E31)</f>
        <v>565134.71</v>
      </c>
      <c r="F32" s="41">
        <f>SUM(F22:F31)</f>
        <v>10050416.67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1467041.74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1517458.41</v>
      </c>
      <c r="D40" s="95">
        <f>'DOE25'!G41</f>
        <v>0</v>
      </c>
      <c r="E40" s="95">
        <f>'DOE25'!H41</f>
        <v>78291.08</v>
      </c>
      <c r="F40" s="95">
        <f>'DOE25'!I41</f>
        <v>0</v>
      </c>
      <c r="G40" s="95">
        <f>'DOE25'!J41</f>
        <v>1433637.26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665300.35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2182758.7599999998</v>
      </c>
      <c r="D42" s="41">
        <f>SUM(D34:D41)</f>
        <v>0</v>
      </c>
      <c r="E42" s="41">
        <f>SUM(E34:E41)</f>
        <v>78291.08</v>
      </c>
      <c r="F42" s="41">
        <f>SUM(F34:F41)</f>
        <v>1467041.74</v>
      </c>
      <c r="G42" s="41">
        <f>SUM(G34:G41)</f>
        <v>1433637.26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3977843.09</v>
      </c>
      <c r="D43" s="41">
        <f>D42+D32</f>
        <v>19087.809999999998</v>
      </c>
      <c r="E43" s="41">
        <f>E42+E32</f>
        <v>643425.78999999992</v>
      </c>
      <c r="F43" s="41">
        <f>F42+F32</f>
        <v>11517458.41</v>
      </c>
      <c r="G43" s="41">
        <f>G42+G32</f>
        <v>1433637.26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19587678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4045617.77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11679.07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4326.3500000000004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396198.40000000002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114572.5</v>
      </c>
      <c r="D53" s="95">
        <f>SUM('DOE25'!G90:G102)</f>
        <v>0</v>
      </c>
      <c r="E53" s="95">
        <f>SUM('DOE25'!H90:H102)</f>
        <v>38790.11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4171869.34</v>
      </c>
      <c r="D54" s="130">
        <f>SUM(D49:D53)</f>
        <v>396198.40000000002</v>
      </c>
      <c r="E54" s="130">
        <f>SUM(E49:E53)</f>
        <v>38790.11</v>
      </c>
      <c r="F54" s="130">
        <f>SUM(F49:F53)</f>
        <v>0</v>
      </c>
      <c r="G54" s="130">
        <f>SUM(G49:G53)</f>
        <v>4326.3500000000004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23759547.34</v>
      </c>
      <c r="D55" s="22">
        <f>D48+D54</f>
        <v>396198.40000000002</v>
      </c>
      <c r="E55" s="22">
        <f>E48+E54</f>
        <v>38790.11</v>
      </c>
      <c r="F55" s="22">
        <f>F48+F54</f>
        <v>0</v>
      </c>
      <c r="G55" s="22">
        <f>G48+G54</f>
        <v>4326.3500000000004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2699992.05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4022172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97927.95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6820092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311289.24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207228.13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302995.26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5042.49</v>
      </c>
      <c r="E69" s="95">
        <f>SUM('DOE25'!H123:H127)</f>
        <v>21600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821512.63</v>
      </c>
      <c r="D70" s="130">
        <f>SUM(D64:D69)</f>
        <v>5042.49</v>
      </c>
      <c r="E70" s="130">
        <f>SUM(E64:E69)</f>
        <v>21600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7641604.6299999999</v>
      </c>
      <c r="D73" s="130">
        <f>SUM(D71:D72)+D70+D62</f>
        <v>5042.49</v>
      </c>
      <c r="E73" s="130">
        <f>SUM(E71:E72)+E70+E62</f>
        <v>21600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2400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439829.76000000001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160469.57</v>
      </c>
      <c r="D80" s="95">
        <f>SUM('DOE25'!G145:G153)</f>
        <v>163066.73000000001</v>
      </c>
      <c r="E80" s="95">
        <f>SUM('DOE25'!H145:H153)</f>
        <v>406458.80000000005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4454.26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164923.83000000002</v>
      </c>
      <c r="D83" s="131">
        <f>SUM(D77:D82)</f>
        <v>163066.73000000001</v>
      </c>
      <c r="E83" s="131">
        <f>SUM(E77:E82)</f>
        <v>848688.56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705600</v>
      </c>
      <c r="D85" s="24" t="s">
        <v>312</v>
      </c>
      <c r="E85" s="24" t="s">
        <v>312</v>
      </c>
      <c r="F85" s="95">
        <f>SUM('DOE25'!I165:I167)</f>
        <v>10000000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15711.38</v>
      </c>
      <c r="E88" s="95">
        <f>'DOE25'!H171</f>
        <v>0</v>
      </c>
      <c r="F88" s="95">
        <f>'DOE25'!I171</f>
        <v>0</v>
      </c>
      <c r="G88" s="95">
        <f>'DOE25'!J171</f>
        <v>450000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705600</v>
      </c>
      <c r="D95" s="86">
        <f>SUM(D85:D94)</f>
        <v>15711.38</v>
      </c>
      <c r="E95" s="86">
        <f>SUM(E85:E94)</f>
        <v>0</v>
      </c>
      <c r="F95" s="86">
        <f>SUM(F85:F94)</f>
        <v>10000000</v>
      </c>
      <c r="G95" s="86">
        <f>SUM(G85:G94)</f>
        <v>450000</v>
      </c>
    </row>
    <row r="96" spans="1:7" ht="12.75" thickTop="1" thickBot="1" x14ac:dyDescent="0.25">
      <c r="A96" s="33" t="s">
        <v>796</v>
      </c>
      <c r="C96" s="86">
        <f>C55+C73+C83+C95</f>
        <v>32271675.799999997</v>
      </c>
      <c r="D96" s="86">
        <f>D55+D73+D83+D95</f>
        <v>580019</v>
      </c>
      <c r="E96" s="86">
        <f>E55+E73+E83+E95</f>
        <v>909078.67</v>
      </c>
      <c r="F96" s="86">
        <f>F55+F73+F83+F95</f>
        <v>10000000</v>
      </c>
      <c r="G96" s="86">
        <f>G55+G73+G95</f>
        <v>454326.35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12675308.709999999</v>
      </c>
      <c r="D101" s="24" t="s">
        <v>312</v>
      </c>
      <c r="E101" s="95">
        <f>('DOE25'!L268)+('DOE25'!L287)+('DOE25'!L306)</f>
        <v>391553.33999999997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7052348.4999999991</v>
      </c>
      <c r="D102" s="24" t="s">
        <v>312</v>
      </c>
      <c r="E102" s="95">
        <f>('DOE25'!L269)+('DOE25'!L288)+('DOE25'!L307)</f>
        <v>439829.76999999996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518421.73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717629.51000000013</v>
      </c>
      <c r="D104" s="24" t="s">
        <v>312</v>
      </c>
      <c r="E104" s="95">
        <f>+('DOE25'!L271)+('DOE25'!L290)+('DOE25'!L309)</f>
        <v>10687.96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93570.51999999999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20963708.449999999</v>
      </c>
      <c r="D107" s="86">
        <f>SUM(D101:D106)</f>
        <v>0</v>
      </c>
      <c r="E107" s="86">
        <f>SUM(E101:E106)</f>
        <v>935641.58999999985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1422382.25</v>
      </c>
      <c r="D110" s="24" t="s">
        <v>312</v>
      </c>
      <c r="E110" s="95">
        <f>+('DOE25'!L273)+('DOE25'!L292)+('DOE25'!L311)</f>
        <v>1845.63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1687771.3399999999</v>
      </c>
      <c r="D111" s="24" t="s">
        <v>312</v>
      </c>
      <c r="E111" s="95">
        <f>+('DOE25'!L274)+('DOE25'!L293)+('DOE25'!L312)</f>
        <v>1847.37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1206877.3399999999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1463138.3399999999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3840173.1799999997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979559.01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580019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10599901.459999999</v>
      </c>
      <c r="D120" s="86">
        <f>SUM(D110:D119)</f>
        <v>580019</v>
      </c>
      <c r="E120" s="86">
        <f>SUM(E110:E119)</f>
        <v>3693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8083902.2599999998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42438.75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15711.38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403907.74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50418.61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-4326.3499999999767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993150.13</v>
      </c>
      <c r="D136" s="141">
        <f>SUM(D122:D135)</f>
        <v>0</v>
      </c>
      <c r="E136" s="141">
        <f>SUM(E122:E135)</f>
        <v>0</v>
      </c>
      <c r="F136" s="141">
        <f>SUM(F122:F135)</f>
        <v>8083902.2599999998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32556760.039999995</v>
      </c>
      <c r="D137" s="86">
        <f>(D107+D120+D136)</f>
        <v>580019</v>
      </c>
      <c r="E137" s="86">
        <f>(E107+E120+E136)</f>
        <v>939334.58999999985</v>
      </c>
      <c r="F137" s="86">
        <f>(F107+F120+F136)</f>
        <v>8083902.2599999998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5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07/03</v>
      </c>
      <c r="C144" s="152" t="str">
        <f>'DOE25'!G481</f>
        <v>12/07</v>
      </c>
      <c r="D144" s="152" t="str">
        <f>'DOE25'!H481</f>
        <v>12/10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07/12</v>
      </c>
      <c r="C145" s="152" t="str">
        <f>'DOE25'!G482</f>
        <v>01/13</v>
      </c>
      <c r="D145" s="152" t="str">
        <f>'DOE25'!H482</f>
        <v>01/16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4900000</v>
      </c>
      <c r="C146" s="137">
        <f>'DOE25'!G483</f>
        <v>739000</v>
      </c>
      <c r="D146" s="137">
        <f>'DOE25'!H483</f>
        <v>678550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Various</v>
      </c>
      <c r="C147" s="137" t="str">
        <f>'DOE25'!G484</f>
        <v>Various</v>
      </c>
      <c r="D147" s="137">
        <f>'DOE25'!H484</f>
        <v>2.23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1020000</v>
      </c>
      <c r="C148" s="137">
        <f>'DOE25'!G485</f>
        <v>435000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1455000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678550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678550</v>
      </c>
    </row>
    <row r="150" spans="1:7" x14ac:dyDescent="0.2">
      <c r="A150" s="22" t="s">
        <v>34</v>
      </c>
      <c r="B150" s="137">
        <f>'DOE25'!F487</f>
        <v>340000</v>
      </c>
      <c r="C150" s="137">
        <f>'DOE25'!G487</f>
        <v>145000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485000</v>
      </c>
    </row>
    <row r="151" spans="1:7" x14ac:dyDescent="0.2">
      <c r="A151" s="22" t="s">
        <v>35</v>
      </c>
      <c r="B151" s="137">
        <f>'DOE25'!F488</f>
        <v>680000</v>
      </c>
      <c r="C151" s="137">
        <f>'DOE25'!G488</f>
        <v>290000</v>
      </c>
      <c r="D151" s="137">
        <f>'DOE25'!H488</f>
        <v>678550</v>
      </c>
      <c r="E151" s="137">
        <f>'DOE25'!I488</f>
        <v>0</v>
      </c>
      <c r="F151" s="137">
        <f>'DOE25'!J488</f>
        <v>0</v>
      </c>
      <c r="G151" s="138">
        <f t="shared" si="0"/>
        <v>1648550</v>
      </c>
    </row>
    <row r="152" spans="1:7" x14ac:dyDescent="0.2">
      <c r="A152" s="22" t="s">
        <v>36</v>
      </c>
      <c r="B152" s="137">
        <f>'DOE25'!F489</f>
        <v>39950</v>
      </c>
      <c r="C152" s="137">
        <f>'DOE25'!G489</f>
        <v>21387.5</v>
      </c>
      <c r="D152" s="137">
        <f>'DOE25'!H489</f>
        <v>74863.83</v>
      </c>
      <c r="E152" s="137">
        <f>'DOE25'!I489</f>
        <v>0</v>
      </c>
      <c r="F152" s="137">
        <f>'DOE25'!J489</f>
        <v>0</v>
      </c>
      <c r="G152" s="138">
        <f t="shared" si="0"/>
        <v>136201.33000000002</v>
      </c>
    </row>
    <row r="153" spans="1:7" x14ac:dyDescent="0.2">
      <c r="A153" s="22" t="s">
        <v>37</v>
      </c>
      <c r="B153" s="137">
        <f>'DOE25'!F490</f>
        <v>719950</v>
      </c>
      <c r="C153" s="137">
        <f>'DOE25'!G490</f>
        <v>311387.5</v>
      </c>
      <c r="D153" s="137">
        <f>'DOE25'!H490</f>
        <v>753413.83</v>
      </c>
      <c r="E153" s="137">
        <f>'DOE25'!I490</f>
        <v>0</v>
      </c>
      <c r="F153" s="137">
        <f>'DOE25'!J490</f>
        <v>0</v>
      </c>
      <c r="G153" s="138">
        <f t="shared" si="0"/>
        <v>1784751.33</v>
      </c>
    </row>
    <row r="154" spans="1:7" x14ac:dyDescent="0.2">
      <c r="A154" s="22" t="s">
        <v>38</v>
      </c>
      <c r="B154" s="137">
        <f>'DOE25'!F491</f>
        <v>340000</v>
      </c>
      <c r="C154" s="137">
        <f>'DOE25'!G491</f>
        <v>145000</v>
      </c>
      <c r="D154" s="137">
        <f>'DOE25'!H491</f>
        <v>138550</v>
      </c>
      <c r="E154" s="137">
        <f>'DOE25'!I491</f>
        <v>0</v>
      </c>
      <c r="F154" s="137">
        <f>'DOE25'!J491</f>
        <v>0</v>
      </c>
      <c r="G154" s="138">
        <f t="shared" si="0"/>
        <v>623550</v>
      </c>
    </row>
    <row r="155" spans="1:7" x14ac:dyDescent="0.2">
      <c r="A155" s="22" t="s">
        <v>39</v>
      </c>
      <c r="B155" s="137">
        <f>'DOE25'!F492</f>
        <v>26350</v>
      </c>
      <c r="C155" s="137">
        <f>'DOE25'!G492</f>
        <v>13775</v>
      </c>
      <c r="D155" s="137">
        <f>'DOE25'!H492</f>
        <v>24913.83</v>
      </c>
      <c r="E155" s="137">
        <f>'DOE25'!I492</f>
        <v>0</v>
      </c>
      <c r="F155" s="137">
        <f>'DOE25'!J492</f>
        <v>0</v>
      </c>
      <c r="G155" s="138">
        <f t="shared" si="0"/>
        <v>65038.83</v>
      </c>
    </row>
    <row r="156" spans="1:7" x14ac:dyDescent="0.2">
      <c r="A156" s="22" t="s">
        <v>269</v>
      </c>
      <c r="B156" s="137">
        <f>'DOE25'!F493</f>
        <v>366350</v>
      </c>
      <c r="C156" s="137">
        <f>'DOE25'!G493</f>
        <v>158775</v>
      </c>
      <c r="D156" s="137">
        <f>'DOE25'!H493</f>
        <v>163463.83000000002</v>
      </c>
      <c r="E156" s="137">
        <f>'DOE25'!I493</f>
        <v>0</v>
      </c>
      <c r="F156" s="137">
        <f>'DOE25'!J493</f>
        <v>0</v>
      </c>
      <c r="G156" s="138">
        <f t="shared" si="0"/>
        <v>688588.83000000007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9159-D769-404E-A664-6C965979529A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Lebanon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20833</v>
      </c>
    </row>
    <row r="5" spans="1:4" x14ac:dyDescent="0.2">
      <c r="B5" t="s">
        <v>735</v>
      </c>
      <c r="C5" s="179">
        <f>IF('DOE25'!G655+'DOE25'!G660=0,0,ROUND('DOE25'!G662,0))</f>
        <v>18380</v>
      </c>
    </row>
    <row r="6" spans="1:4" x14ac:dyDescent="0.2">
      <c r="B6" t="s">
        <v>62</v>
      </c>
      <c r="C6" s="179">
        <f>IF('DOE25'!H655+'DOE25'!H660=0,0,ROUND('DOE25'!H662,0))</f>
        <v>15815</v>
      </c>
    </row>
    <row r="7" spans="1:4" x14ac:dyDescent="0.2">
      <c r="B7" t="s">
        <v>736</v>
      </c>
      <c r="C7" s="179">
        <f>IF('DOE25'!I655+'DOE25'!I660=0,0,ROUND('DOE25'!I662,0))</f>
        <v>18310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13066862</v>
      </c>
      <c r="D10" s="182">
        <f>ROUND((C10/$C$28)*100,1)</f>
        <v>39.9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7492178</v>
      </c>
      <c r="D11" s="182">
        <f>ROUND((C11/$C$28)*100,1)</f>
        <v>22.9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518422</v>
      </c>
      <c r="D12" s="182">
        <f>ROUND((C12/$C$28)*100,1)</f>
        <v>1.6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728317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1424228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1689619</v>
      </c>
      <c r="D16" s="182">
        <f t="shared" si="0"/>
        <v>5.2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1206877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1463138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3840173</v>
      </c>
      <c r="D20" s="182">
        <f t="shared" si="0"/>
        <v>11.7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979559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93571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42439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183820.59999999998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32729203.600000001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8083902</v>
      </c>
    </row>
    <row r="30" spans="1:4" x14ac:dyDescent="0.2">
      <c r="B30" s="187" t="s">
        <v>760</v>
      </c>
      <c r="C30" s="180">
        <f>SUM(C28:C29)</f>
        <v>40813105.600000001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485000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19587678</v>
      </c>
      <c r="D35" s="182">
        <f t="shared" ref="D35:D40" si="1">ROUND((C35/$C$41)*100,1)</f>
        <v>59.9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4242035.8000000007</v>
      </c>
      <c r="D36" s="182">
        <f t="shared" si="1"/>
        <v>13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6820092</v>
      </c>
      <c r="D37" s="182">
        <f t="shared" si="1"/>
        <v>20.9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848155</v>
      </c>
      <c r="D38" s="182">
        <f t="shared" si="1"/>
        <v>2.6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1176679</v>
      </c>
      <c r="D39" s="182">
        <f t="shared" si="1"/>
        <v>3.6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32674639.800000001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10678550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BAD5-B964-4B85-AAD7-E8CAB3A5E6F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Lebanon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2011-10-17T15:39:46Z</cp:lastPrinted>
  <dcterms:created xsi:type="dcterms:W3CDTF">1997-12-04T19:04:30Z</dcterms:created>
  <dcterms:modified xsi:type="dcterms:W3CDTF">2025-01-10T20:07:36Z</dcterms:modified>
</cp:coreProperties>
</file>