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BACDEB7E-E56E-4ECA-A78E-1C59548556DA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0681C3E8-D254-46C0-9D4B-B900418347C6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F132" i="1" s="1"/>
  <c r="F128" i="1"/>
  <c r="G113" i="1"/>
  <c r="G132" i="1" s="1"/>
  <c r="G128" i="1"/>
  <c r="H113" i="1"/>
  <c r="H128" i="1"/>
  <c r="H132" i="1"/>
  <c r="I113" i="1"/>
  <c r="I128" i="1"/>
  <c r="I132" i="1"/>
  <c r="I185" i="1" s="1"/>
  <c r="G620" i="1" s="1"/>
  <c r="J620" i="1" s="1"/>
  <c r="J113" i="1"/>
  <c r="J132" i="1" s="1"/>
  <c r="J128" i="1"/>
  <c r="C37" i="10"/>
  <c r="C60" i="2"/>
  <c r="B2" i="13"/>
  <c r="F8" i="13"/>
  <c r="G8" i="13"/>
  <c r="L196" i="1"/>
  <c r="E8" i="13" s="1"/>
  <c r="L214" i="1"/>
  <c r="L232" i="1"/>
  <c r="D39" i="13"/>
  <c r="F13" i="13"/>
  <c r="G13" i="13"/>
  <c r="L198" i="1"/>
  <c r="L216" i="1"/>
  <c r="L234" i="1"/>
  <c r="E13" i="13"/>
  <c r="F16" i="13"/>
  <c r="G16" i="13"/>
  <c r="L201" i="1"/>
  <c r="E16" i="13" s="1"/>
  <c r="C16" i="13" s="1"/>
  <c r="L219" i="1"/>
  <c r="L237" i="1"/>
  <c r="F5" i="13"/>
  <c r="D5" i="13" s="1"/>
  <c r="G5" i="13"/>
  <c r="L189" i="1"/>
  <c r="L190" i="1"/>
  <c r="C11" i="10" s="1"/>
  <c r="L191" i="1"/>
  <c r="C103" i="2" s="1"/>
  <c r="L192" i="1"/>
  <c r="C104" i="2" s="1"/>
  <c r="L207" i="1"/>
  <c r="C10" i="10" s="1"/>
  <c r="L208" i="1"/>
  <c r="C102" i="2" s="1"/>
  <c r="L209" i="1"/>
  <c r="L210" i="1"/>
  <c r="L225" i="1"/>
  <c r="L226" i="1"/>
  <c r="L227" i="1"/>
  <c r="L228" i="1"/>
  <c r="F6" i="13"/>
  <c r="G6" i="13"/>
  <c r="G33" i="13" s="1"/>
  <c r="L194" i="1"/>
  <c r="D6" i="13" s="1"/>
  <c r="C6" i="13" s="1"/>
  <c r="L212" i="1"/>
  <c r="L230" i="1"/>
  <c r="L239" i="1" s="1"/>
  <c r="H650" i="1" s="1"/>
  <c r="F7" i="13"/>
  <c r="G7" i="13"/>
  <c r="L195" i="1"/>
  <c r="D7" i="13" s="1"/>
  <c r="C7" i="13" s="1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D15" i="13" s="1"/>
  <c r="C15" i="13" s="1"/>
  <c r="L218" i="1"/>
  <c r="G640" i="1" s="1"/>
  <c r="J640" i="1" s="1"/>
  <c r="L236" i="1"/>
  <c r="H652" i="1" s="1"/>
  <c r="F17" i="13"/>
  <c r="G17" i="13"/>
  <c r="L243" i="1"/>
  <c r="D17" i="13"/>
  <c r="F18" i="13"/>
  <c r="G18" i="13"/>
  <c r="L244" i="1"/>
  <c r="C24" i="10" s="1"/>
  <c r="D18" i="13"/>
  <c r="C18" i="13" s="1"/>
  <c r="F19" i="13"/>
  <c r="G19" i="13"/>
  <c r="L245" i="1"/>
  <c r="D19" i="13" s="1"/>
  <c r="C19" i="13" s="1"/>
  <c r="F29" i="13"/>
  <c r="G29" i="13"/>
  <c r="L350" i="1"/>
  <c r="L351" i="1"/>
  <c r="L352" i="1"/>
  <c r="I359" i="1"/>
  <c r="D29" i="13"/>
  <c r="C29" i="13" s="1"/>
  <c r="J282" i="1"/>
  <c r="J301" i="1"/>
  <c r="J330" i="1" s="1"/>
  <c r="J344" i="1" s="1"/>
  <c r="J320" i="1"/>
  <c r="F31" i="13"/>
  <c r="K282" i="1"/>
  <c r="K301" i="1"/>
  <c r="G31" i="13" s="1"/>
  <c r="K320" i="1"/>
  <c r="L268" i="1"/>
  <c r="L269" i="1"/>
  <c r="L270" i="1"/>
  <c r="L271" i="1"/>
  <c r="E104" i="2" s="1"/>
  <c r="L273" i="1"/>
  <c r="E110" i="2" s="1"/>
  <c r="L274" i="1"/>
  <c r="E111" i="2" s="1"/>
  <c r="L275" i="1"/>
  <c r="E112" i="2" s="1"/>
  <c r="L276" i="1"/>
  <c r="E113" i="2" s="1"/>
  <c r="L277" i="1"/>
  <c r="L278" i="1"/>
  <c r="L279" i="1"/>
  <c r="L280" i="1"/>
  <c r="L287" i="1"/>
  <c r="L288" i="1"/>
  <c r="L289" i="1"/>
  <c r="E103" i="2" s="1"/>
  <c r="L290" i="1"/>
  <c r="L292" i="1"/>
  <c r="L293" i="1"/>
  <c r="L294" i="1"/>
  <c r="L295" i="1"/>
  <c r="L296" i="1"/>
  <c r="L297" i="1"/>
  <c r="L298" i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L326" i="1"/>
  <c r="E106" i="2" s="1"/>
  <c r="L327" i="1"/>
  <c r="L252" i="1"/>
  <c r="L253" i="1"/>
  <c r="L333" i="1"/>
  <c r="L334" i="1"/>
  <c r="H25" i="13"/>
  <c r="C25" i="13" s="1"/>
  <c r="H33" i="13"/>
  <c r="L247" i="1"/>
  <c r="C29" i="10" s="1"/>
  <c r="L328" i="1"/>
  <c r="E122" i="2" s="1"/>
  <c r="F22" i="13"/>
  <c r="C22" i="13" s="1"/>
  <c r="F33" i="13"/>
  <c r="C17" i="13"/>
  <c r="C13" i="13"/>
  <c r="C11" i="13"/>
  <c r="C10" i="13"/>
  <c r="C9" i="13"/>
  <c r="L353" i="1"/>
  <c r="L354" i="1"/>
  <c r="C27" i="10" s="1"/>
  <c r="B4" i="12"/>
  <c r="B36" i="12"/>
  <c r="A40" i="12" s="1"/>
  <c r="C36" i="12"/>
  <c r="B40" i="12"/>
  <c r="C40" i="12"/>
  <c r="B27" i="12"/>
  <c r="C27" i="12"/>
  <c r="B31" i="12"/>
  <c r="C31" i="12"/>
  <c r="A31" i="12"/>
  <c r="B9" i="12"/>
  <c r="A13" i="12" s="1"/>
  <c r="B13" i="12"/>
  <c r="C9" i="12"/>
  <c r="C13" i="12"/>
  <c r="B18" i="12"/>
  <c r="B22" i="12"/>
  <c r="C18" i="12"/>
  <c r="A22" i="12" s="1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3" i="1"/>
  <c r="C131" i="2"/>
  <c r="L395" i="1"/>
  <c r="L399" i="1" s="1"/>
  <c r="C132" i="2" s="1"/>
  <c r="L396" i="1"/>
  <c r="L397" i="1"/>
  <c r="L398" i="1"/>
  <c r="L258" i="1"/>
  <c r="J52" i="1"/>
  <c r="J104" i="1" s="1"/>
  <c r="J185" i="1" s="1"/>
  <c r="G48" i="2"/>
  <c r="G55" i="2" s="1"/>
  <c r="G96" i="2" s="1"/>
  <c r="G51" i="2"/>
  <c r="G53" i="2"/>
  <c r="G54" i="2"/>
  <c r="F2" i="11"/>
  <c r="L603" i="1"/>
  <c r="H653" i="1"/>
  <c r="L602" i="1"/>
  <c r="G653" i="1" s="1"/>
  <c r="I653" i="1" s="1"/>
  <c r="L601" i="1"/>
  <c r="F653" i="1"/>
  <c r="C40" i="10"/>
  <c r="F52" i="1"/>
  <c r="C35" i="10" s="1"/>
  <c r="G52" i="1"/>
  <c r="D48" i="2" s="1"/>
  <c r="D55" i="2" s="1"/>
  <c r="D96" i="2" s="1"/>
  <c r="H52" i="1"/>
  <c r="E48" i="2" s="1"/>
  <c r="I52" i="1"/>
  <c r="F71" i="1"/>
  <c r="F86" i="1"/>
  <c r="F103" i="1"/>
  <c r="G103" i="1"/>
  <c r="H71" i="1"/>
  <c r="E49" i="2" s="1"/>
  <c r="H86" i="1"/>
  <c r="E50" i="2" s="1"/>
  <c r="H103" i="1"/>
  <c r="H104" i="1"/>
  <c r="H185" i="1" s="1"/>
  <c r="G619" i="1" s="1"/>
  <c r="J619" i="1" s="1"/>
  <c r="I103" i="1"/>
  <c r="I104" i="1"/>
  <c r="J103" i="1"/>
  <c r="F139" i="1"/>
  <c r="F154" i="1"/>
  <c r="F161" i="1"/>
  <c r="G139" i="1"/>
  <c r="D77" i="2" s="1"/>
  <c r="D83" i="2" s="1"/>
  <c r="G154" i="1"/>
  <c r="G161" i="1"/>
  <c r="H139" i="1"/>
  <c r="H161" i="1" s="1"/>
  <c r="H154" i="1"/>
  <c r="I139" i="1"/>
  <c r="I154" i="1"/>
  <c r="I161" i="1"/>
  <c r="C19" i="10"/>
  <c r="C20" i="10"/>
  <c r="L242" i="1"/>
  <c r="C23" i="10" s="1"/>
  <c r="L324" i="1"/>
  <c r="L246" i="1"/>
  <c r="C25" i="10"/>
  <c r="L260" i="1"/>
  <c r="C134" i="2" s="1"/>
  <c r="L261" i="1"/>
  <c r="L341" i="1"/>
  <c r="L343" i="1" s="1"/>
  <c r="L342" i="1"/>
  <c r="E135" i="2" s="1"/>
  <c r="C26" i="10"/>
  <c r="I655" i="1"/>
  <c r="I660" i="1"/>
  <c r="F651" i="1"/>
  <c r="G651" i="1"/>
  <c r="I651" i="1" s="1"/>
  <c r="H651" i="1"/>
  <c r="I659" i="1"/>
  <c r="C42" i="10"/>
  <c r="C32" i="10"/>
  <c r="L366" i="1"/>
  <c r="L367" i="1"/>
  <c r="L368" i="1"/>
  <c r="F122" i="2" s="1"/>
  <c r="F136" i="2" s="1"/>
  <c r="L369" i="1"/>
  <c r="L370" i="1"/>
  <c r="L371" i="1"/>
  <c r="L372" i="1"/>
  <c r="B2" i="10"/>
  <c r="L336" i="1"/>
  <c r="L337" i="1"/>
  <c r="L338" i="1"/>
  <c r="L339" i="1"/>
  <c r="K343" i="1"/>
  <c r="L511" i="1"/>
  <c r="F539" i="1"/>
  <c r="K539" i="1" s="1"/>
  <c r="L512" i="1"/>
  <c r="F540" i="1"/>
  <c r="K540" i="1" s="1"/>
  <c r="L513" i="1"/>
  <c r="F541" i="1"/>
  <c r="K541" i="1" s="1"/>
  <c r="F542" i="1"/>
  <c r="L516" i="1"/>
  <c r="G539" i="1"/>
  <c r="G542" i="1" s="1"/>
  <c r="L517" i="1"/>
  <c r="L519" i="1" s="1"/>
  <c r="G540" i="1"/>
  <c r="L518" i="1"/>
  <c r="G541" i="1"/>
  <c r="L521" i="1"/>
  <c r="H539" i="1"/>
  <c r="L522" i="1"/>
  <c r="H540" i="1"/>
  <c r="L523" i="1"/>
  <c r="L524" i="1" s="1"/>
  <c r="H541" i="1"/>
  <c r="H542" i="1"/>
  <c r="L526" i="1"/>
  <c r="I539" i="1"/>
  <c r="I542" i="1" s="1"/>
  <c r="L527" i="1"/>
  <c r="I540" i="1"/>
  <c r="L528" i="1"/>
  <c r="I541" i="1"/>
  <c r="L531" i="1"/>
  <c r="J539" i="1"/>
  <c r="L532" i="1"/>
  <c r="L534" i="1" s="1"/>
  <c r="J540" i="1"/>
  <c r="L533" i="1"/>
  <c r="J541" i="1"/>
  <c r="J542" i="1"/>
  <c r="E124" i="2"/>
  <c r="E123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E9" i="2"/>
  <c r="E19" i="2" s="1"/>
  <c r="F9" i="2"/>
  <c r="F19" i="2" s="1"/>
  <c r="I431" i="1"/>
  <c r="I438" i="1" s="1"/>
  <c r="G632" i="1" s="1"/>
  <c r="J9" i="1"/>
  <c r="G9" i="2"/>
  <c r="C10" i="2"/>
  <c r="D10" i="2"/>
  <c r="E10" i="2"/>
  <c r="F10" i="2"/>
  <c r="I432" i="1"/>
  <c r="J10" i="1"/>
  <c r="G10" i="2" s="1"/>
  <c r="C11" i="2"/>
  <c r="C12" i="2"/>
  <c r="D12" i="2"/>
  <c r="D19" i="2" s="1"/>
  <c r="E12" i="2"/>
  <c r="F12" i="2"/>
  <c r="I433" i="1"/>
  <c r="J12" i="1" s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19" i="2"/>
  <c r="C22" i="2"/>
  <c r="D22" i="2"/>
  <c r="E22" i="2"/>
  <c r="F22" i="2"/>
  <c r="I440" i="1"/>
  <c r="I444" i="1" s="1"/>
  <c r="J23" i="1"/>
  <c r="G22" i="2"/>
  <c r="C23" i="2"/>
  <c r="C32" i="2" s="1"/>
  <c r="D23" i="2"/>
  <c r="D32" i="2" s="1"/>
  <c r="E23" i="2"/>
  <c r="F23" i="2"/>
  <c r="I441" i="1"/>
  <c r="J24" i="1"/>
  <c r="G23" i="2" s="1"/>
  <c r="C24" i="2"/>
  <c r="D24" i="2"/>
  <c r="E24" i="2"/>
  <c r="E32" i="2" s="1"/>
  <c r="F24" i="2"/>
  <c r="F32" i="2" s="1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C42" i="2" s="1"/>
  <c r="C43" i="2" s="1"/>
  <c r="D34" i="2"/>
  <c r="D42" i="2" s="1"/>
  <c r="E34" i="2"/>
  <c r="E42" i="2" s="1"/>
  <c r="F34" i="2"/>
  <c r="C35" i="2"/>
  <c r="D35" i="2"/>
  <c r="E35" i="2"/>
  <c r="F35" i="2"/>
  <c r="C36" i="2"/>
  <c r="D36" i="2"/>
  <c r="E36" i="2"/>
  <c r="F36" i="2"/>
  <c r="F42" i="2" s="1"/>
  <c r="I446" i="1"/>
  <c r="J37" i="1"/>
  <c r="G36" i="2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C55" i="2" s="1"/>
  <c r="F48" i="2"/>
  <c r="C49" i="2"/>
  <c r="C50" i="2"/>
  <c r="C51" i="2"/>
  <c r="C54" i="2" s="1"/>
  <c r="D51" i="2"/>
  <c r="D54" i="2" s="1"/>
  <c r="E51" i="2"/>
  <c r="F51" i="2"/>
  <c r="F54" i="2" s="1"/>
  <c r="F55" i="2" s="1"/>
  <c r="D52" i="2"/>
  <c r="C53" i="2"/>
  <c r="D53" i="2"/>
  <c r="E53" i="2"/>
  <c r="F53" i="2"/>
  <c r="C58" i="2"/>
  <c r="C59" i="2"/>
  <c r="C61" i="2"/>
  <c r="D61" i="2"/>
  <c r="E61" i="2"/>
  <c r="F61" i="2"/>
  <c r="G61" i="2"/>
  <c r="C62" i="2"/>
  <c r="D62" i="2"/>
  <c r="E62" i="2"/>
  <c r="F62" i="2"/>
  <c r="G62" i="2"/>
  <c r="G73" i="2" s="1"/>
  <c r="C64" i="2"/>
  <c r="C70" i="2" s="1"/>
  <c r="C73" i="2" s="1"/>
  <c r="F64" i="2"/>
  <c r="C65" i="2"/>
  <c r="F65" i="2"/>
  <c r="C66" i="2"/>
  <c r="C67" i="2"/>
  <c r="C68" i="2"/>
  <c r="E68" i="2"/>
  <c r="E70" i="2" s="1"/>
  <c r="E73" i="2" s="1"/>
  <c r="F68" i="2"/>
  <c r="F70" i="2" s="1"/>
  <c r="F73" i="2" s="1"/>
  <c r="C69" i="2"/>
  <c r="D69" i="2"/>
  <c r="D70" i="2" s="1"/>
  <c r="D73" i="2" s="1"/>
  <c r="E69" i="2"/>
  <c r="F69" i="2"/>
  <c r="G69" i="2"/>
  <c r="G70" i="2"/>
  <c r="C71" i="2"/>
  <c r="D71" i="2"/>
  <c r="E71" i="2"/>
  <c r="C72" i="2"/>
  <c r="E72" i="2"/>
  <c r="C77" i="2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C85" i="2"/>
  <c r="F85" i="2"/>
  <c r="C86" i="2"/>
  <c r="F86" i="2"/>
  <c r="F95" i="2" s="1"/>
  <c r="D88" i="2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101" i="2"/>
  <c r="E102" i="2"/>
  <c r="E107" i="2" s="1"/>
  <c r="C105" i="2"/>
  <c r="E105" i="2"/>
  <c r="D107" i="2"/>
  <c r="D137" i="2" s="1"/>
  <c r="F107" i="2"/>
  <c r="G107" i="2"/>
  <c r="C111" i="2"/>
  <c r="C114" i="2"/>
  <c r="E114" i="2"/>
  <c r="C115" i="2"/>
  <c r="E115" i="2"/>
  <c r="E116" i="2"/>
  <c r="E117" i="2"/>
  <c r="D119" i="2"/>
  <c r="D120" i="2"/>
  <c r="F120" i="2"/>
  <c r="G120" i="2"/>
  <c r="C122" i="2"/>
  <c r="D126" i="2"/>
  <c r="E126" i="2"/>
  <c r="F126" i="2"/>
  <c r="K411" i="1"/>
  <c r="K419" i="1"/>
  <c r="K425" i="1"/>
  <c r="K426" i="1"/>
  <c r="G126" i="2"/>
  <c r="G136" i="2" s="1"/>
  <c r="L255" i="1"/>
  <c r="C127" i="2"/>
  <c r="E127" i="2"/>
  <c r="L256" i="1"/>
  <c r="C128" i="2" s="1"/>
  <c r="L257" i="1"/>
  <c r="C129" i="2"/>
  <c r="E129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/>
  <c r="G490" i="1"/>
  <c r="C153" i="2" s="1"/>
  <c r="G153" i="2" s="1"/>
  <c r="H490" i="1"/>
  <c r="D153" i="2"/>
  <c r="I490" i="1"/>
  <c r="E153" i="2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 s="1"/>
  <c r="G156" i="2" s="1"/>
  <c r="G493" i="1"/>
  <c r="C156" i="2"/>
  <c r="H493" i="1"/>
  <c r="D156" i="2"/>
  <c r="I493" i="1"/>
  <c r="K493" i="1" s="1"/>
  <c r="E156" i="2"/>
  <c r="J493" i="1"/>
  <c r="F156" i="2"/>
  <c r="F19" i="1"/>
  <c r="G19" i="1"/>
  <c r="H19" i="1"/>
  <c r="I19" i="1"/>
  <c r="F33" i="1"/>
  <c r="G33" i="1"/>
  <c r="G44" i="1" s="1"/>
  <c r="H608" i="1" s="1"/>
  <c r="J608" i="1" s="1"/>
  <c r="H33" i="1"/>
  <c r="H44" i="1" s="1"/>
  <c r="H609" i="1" s="1"/>
  <c r="I33" i="1"/>
  <c r="I44" i="1" s="1"/>
  <c r="H610" i="1" s="1"/>
  <c r="F43" i="1"/>
  <c r="F44" i="1" s="1"/>
  <c r="H607" i="1" s="1"/>
  <c r="J607" i="1" s="1"/>
  <c r="G43" i="1"/>
  <c r="H43" i="1"/>
  <c r="I43" i="1"/>
  <c r="F169" i="1"/>
  <c r="F184" i="1" s="1"/>
  <c r="I169" i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I184" i="1"/>
  <c r="F203" i="1"/>
  <c r="G203" i="1"/>
  <c r="H203" i="1"/>
  <c r="I203" i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 s="1"/>
  <c r="F249" i="1"/>
  <c r="F263" i="1" s="1"/>
  <c r="G249" i="1"/>
  <c r="G263" i="1" s="1"/>
  <c r="H249" i="1"/>
  <c r="H263" i="1" s="1"/>
  <c r="I249" i="1"/>
  <c r="I263" i="1" s="1"/>
  <c r="J249" i="1"/>
  <c r="H638" i="1" s="1"/>
  <c r="F282" i="1"/>
  <c r="F330" i="1" s="1"/>
  <c r="F344" i="1" s="1"/>
  <c r="G282" i="1"/>
  <c r="G330" i="1" s="1"/>
  <c r="G344" i="1" s="1"/>
  <c r="H282" i="1"/>
  <c r="I282" i="1"/>
  <c r="F301" i="1"/>
  <c r="G301" i="1"/>
  <c r="H301" i="1"/>
  <c r="I301" i="1"/>
  <c r="F320" i="1"/>
  <c r="G320" i="1"/>
  <c r="H320" i="1"/>
  <c r="H330" i="1" s="1"/>
  <c r="H344" i="1" s="1"/>
  <c r="I320" i="1"/>
  <c r="I330" i="1" s="1"/>
  <c r="I344" i="1" s="1"/>
  <c r="F329" i="1"/>
  <c r="L329" i="1" s="1"/>
  <c r="G329" i="1"/>
  <c r="H329" i="1"/>
  <c r="I329" i="1"/>
  <c r="J329" i="1"/>
  <c r="K329" i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J635" i="1" s="1"/>
  <c r="H393" i="1"/>
  <c r="H400" i="1" s="1"/>
  <c r="H634" i="1" s="1"/>
  <c r="I393" i="1"/>
  <c r="I400" i="1" s="1"/>
  <c r="F399" i="1"/>
  <c r="G399" i="1"/>
  <c r="H399" i="1"/>
  <c r="I399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H425" i="1"/>
  <c r="I425" i="1"/>
  <c r="J425" i="1"/>
  <c r="G426" i="1"/>
  <c r="H426" i="1"/>
  <c r="I426" i="1"/>
  <c r="J426" i="1"/>
  <c r="F438" i="1"/>
  <c r="G629" i="1" s="1"/>
  <c r="J629" i="1" s="1"/>
  <c r="G438" i="1"/>
  <c r="H438" i="1"/>
  <c r="F444" i="1"/>
  <c r="G444" i="1"/>
  <c r="G451" i="1" s="1"/>
  <c r="H630" i="1" s="1"/>
  <c r="H444" i="1"/>
  <c r="H451" i="1" s="1"/>
  <c r="H631" i="1" s="1"/>
  <c r="J631" i="1" s="1"/>
  <c r="F450" i="1"/>
  <c r="G450" i="1"/>
  <c r="H450" i="1"/>
  <c r="F451" i="1"/>
  <c r="F460" i="1"/>
  <c r="G460" i="1"/>
  <c r="H460" i="1"/>
  <c r="H466" i="1" s="1"/>
  <c r="H614" i="1" s="1"/>
  <c r="I460" i="1"/>
  <c r="I466" i="1" s="1"/>
  <c r="H615" i="1" s="1"/>
  <c r="J615" i="1" s="1"/>
  <c r="J460" i="1"/>
  <c r="J466" i="1" s="1"/>
  <c r="H616" i="1" s="1"/>
  <c r="F464" i="1"/>
  <c r="F466" i="1" s="1"/>
  <c r="H612" i="1" s="1"/>
  <c r="G464" i="1"/>
  <c r="G466" i="1" s="1"/>
  <c r="H613" i="1" s="1"/>
  <c r="H464" i="1"/>
  <c r="I464" i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F535" i="1" s="1"/>
  <c r="G514" i="1"/>
  <c r="G535" i="1" s="1"/>
  <c r="H514" i="1"/>
  <c r="H535" i="1" s="1"/>
  <c r="I514" i="1"/>
  <c r="I535" i="1" s="1"/>
  <c r="J514" i="1"/>
  <c r="J535" i="1" s="1"/>
  <c r="K514" i="1"/>
  <c r="L514" i="1"/>
  <c r="F519" i="1"/>
  <c r="G519" i="1"/>
  <c r="H519" i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35" i="1"/>
  <c r="L547" i="1"/>
  <c r="L548" i="1"/>
  <c r="L549" i="1"/>
  <c r="F550" i="1"/>
  <c r="G550" i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F561" i="1"/>
  <c r="G561" i="1"/>
  <c r="H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J637" i="1" s="1"/>
  <c r="K584" i="1"/>
  <c r="K585" i="1"/>
  <c r="K586" i="1"/>
  <c r="K587" i="1"/>
  <c r="H588" i="1"/>
  <c r="H639" i="1" s="1"/>
  <c r="I588" i="1"/>
  <c r="H640" i="1" s="1"/>
  <c r="J588" i="1"/>
  <c r="K592" i="1"/>
  <c r="K593" i="1"/>
  <c r="K594" i="1"/>
  <c r="H595" i="1"/>
  <c r="I595" i="1"/>
  <c r="J595" i="1"/>
  <c r="K595" i="1"/>
  <c r="G638" i="1" s="1"/>
  <c r="J638" i="1" s="1"/>
  <c r="F604" i="1"/>
  <c r="G604" i="1"/>
  <c r="H604" i="1"/>
  <c r="I604" i="1"/>
  <c r="J604" i="1"/>
  <c r="K604" i="1"/>
  <c r="L604" i="1"/>
  <c r="G607" i="1"/>
  <c r="G608" i="1"/>
  <c r="G609" i="1"/>
  <c r="J609" i="1" s="1"/>
  <c r="G610" i="1"/>
  <c r="J610" i="1" s="1"/>
  <c r="G613" i="1"/>
  <c r="J613" i="1" s="1"/>
  <c r="G614" i="1"/>
  <c r="J614" i="1" s="1"/>
  <c r="G615" i="1"/>
  <c r="H617" i="1"/>
  <c r="H618" i="1"/>
  <c r="H619" i="1"/>
  <c r="H620" i="1"/>
  <c r="H621" i="1"/>
  <c r="H622" i="1"/>
  <c r="H623" i="1"/>
  <c r="H624" i="1"/>
  <c r="G625" i="1"/>
  <c r="J625" i="1" s="1"/>
  <c r="H625" i="1"/>
  <c r="H626" i="1"/>
  <c r="H627" i="1"/>
  <c r="H628" i="1"/>
  <c r="H629" i="1"/>
  <c r="G630" i="1"/>
  <c r="G631" i="1"/>
  <c r="G633" i="1"/>
  <c r="G634" i="1"/>
  <c r="G635" i="1"/>
  <c r="H637" i="1"/>
  <c r="H641" i="1"/>
  <c r="G642" i="1"/>
  <c r="J642" i="1" s="1"/>
  <c r="H642" i="1"/>
  <c r="G643" i="1"/>
  <c r="H643" i="1"/>
  <c r="J643" i="1" s="1"/>
  <c r="G644" i="1"/>
  <c r="H644" i="1"/>
  <c r="J644" i="1"/>
  <c r="G645" i="1"/>
  <c r="J645" i="1" s="1"/>
  <c r="H645" i="1"/>
  <c r="G19" i="2" l="1"/>
  <c r="J19" i="1"/>
  <c r="G611" i="1" s="1"/>
  <c r="G621" i="1"/>
  <c r="J621" i="1" s="1"/>
  <c r="G636" i="1"/>
  <c r="E136" i="2"/>
  <c r="J634" i="1"/>
  <c r="J633" i="1"/>
  <c r="L561" i="1"/>
  <c r="L535" i="1"/>
  <c r="G137" i="2"/>
  <c r="F137" i="2"/>
  <c r="E54" i="2"/>
  <c r="E55" i="2" s="1"/>
  <c r="E96" i="2" s="1"/>
  <c r="E33" i="13"/>
  <c r="D35" i="13" s="1"/>
  <c r="C8" i="13"/>
  <c r="F96" i="2"/>
  <c r="C5" i="13"/>
  <c r="J630" i="1"/>
  <c r="G42" i="2"/>
  <c r="G43" i="2" s="1"/>
  <c r="E43" i="2"/>
  <c r="E120" i="2"/>
  <c r="E137" i="2" s="1"/>
  <c r="K542" i="1"/>
  <c r="J43" i="1"/>
  <c r="D43" i="2"/>
  <c r="C39" i="10"/>
  <c r="C130" i="2"/>
  <c r="C133" i="2" s="1"/>
  <c r="L400" i="1"/>
  <c r="C96" i="2"/>
  <c r="H654" i="1"/>
  <c r="C28" i="10"/>
  <c r="D10" i="10" s="1"/>
  <c r="F43" i="2"/>
  <c r="G32" i="2"/>
  <c r="C38" i="10"/>
  <c r="G641" i="1"/>
  <c r="J641" i="1" s="1"/>
  <c r="I450" i="1"/>
  <c r="I451" i="1" s="1"/>
  <c r="H632" i="1" s="1"/>
  <c r="J632" i="1" s="1"/>
  <c r="J33" i="1"/>
  <c r="L221" i="1"/>
  <c r="G650" i="1" s="1"/>
  <c r="G654" i="1" s="1"/>
  <c r="C101" i="2"/>
  <c r="G652" i="1"/>
  <c r="L203" i="1"/>
  <c r="C17" i="10"/>
  <c r="G612" i="1"/>
  <c r="J612" i="1" s="1"/>
  <c r="J263" i="1"/>
  <c r="E134" i="2"/>
  <c r="C113" i="2"/>
  <c r="E77" i="2"/>
  <c r="E83" i="2" s="1"/>
  <c r="F652" i="1"/>
  <c r="I652" i="1" s="1"/>
  <c r="C16" i="10"/>
  <c r="G104" i="1"/>
  <c r="G185" i="1" s="1"/>
  <c r="G618" i="1" s="1"/>
  <c r="J618" i="1" s="1"/>
  <c r="C106" i="2"/>
  <c r="C15" i="10"/>
  <c r="C112" i="2"/>
  <c r="C13" i="10"/>
  <c r="F104" i="1"/>
  <c r="F185" i="1" s="1"/>
  <c r="G617" i="1" s="1"/>
  <c r="J617" i="1" s="1"/>
  <c r="L301" i="1"/>
  <c r="C18" i="10"/>
  <c r="G639" i="1"/>
  <c r="J639" i="1" s="1"/>
  <c r="C12" i="10"/>
  <c r="L282" i="1"/>
  <c r="C117" i="2"/>
  <c r="L374" i="1"/>
  <c r="G626" i="1" s="1"/>
  <c r="J626" i="1" s="1"/>
  <c r="C116" i="2"/>
  <c r="C110" i="2"/>
  <c r="C21" i="10"/>
  <c r="D21" i="10" l="1"/>
  <c r="L249" i="1"/>
  <c r="L263" i="1" s="1"/>
  <c r="G622" i="1" s="1"/>
  <c r="J622" i="1" s="1"/>
  <c r="F650" i="1"/>
  <c r="D27" i="10"/>
  <c r="C120" i="2"/>
  <c r="D15" i="10"/>
  <c r="J636" i="1"/>
  <c r="C36" i="10"/>
  <c r="G627" i="1"/>
  <c r="J627" i="1" s="1"/>
  <c r="H636" i="1"/>
  <c r="C30" i="10"/>
  <c r="D22" i="10"/>
  <c r="G662" i="1"/>
  <c r="C5" i="10" s="1"/>
  <c r="G657" i="1"/>
  <c r="D24" i="10"/>
  <c r="D16" i="10"/>
  <c r="D25" i="10"/>
  <c r="D12" i="10"/>
  <c r="D26" i="10"/>
  <c r="D18" i="10"/>
  <c r="C136" i="2"/>
  <c r="C107" i="2"/>
  <c r="D23" i="10"/>
  <c r="D31" i="13"/>
  <c r="L330" i="1"/>
  <c r="L344" i="1" s="1"/>
  <c r="G623" i="1" s="1"/>
  <c r="J623" i="1" s="1"/>
  <c r="D19" i="10"/>
  <c r="D11" i="10"/>
  <c r="D28" i="10" s="1"/>
  <c r="H662" i="1"/>
  <c r="C6" i="10" s="1"/>
  <c r="H657" i="1"/>
  <c r="D13" i="10"/>
  <c r="D17" i="10"/>
  <c r="D20" i="10"/>
  <c r="G616" i="1"/>
  <c r="J616" i="1" s="1"/>
  <c r="J44" i="1"/>
  <c r="H611" i="1" s="1"/>
  <c r="J611" i="1" s="1"/>
  <c r="D36" i="10" l="1"/>
  <c r="C41" i="10"/>
  <c r="C31" i="13"/>
  <c r="D33" i="13"/>
  <c r="D36" i="13" s="1"/>
  <c r="I650" i="1"/>
  <c r="I654" i="1" s="1"/>
  <c r="F654" i="1"/>
  <c r="C137" i="2"/>
  <c r="H646" i="1"/>
  <c r="F662" i="1" l="1"/>
  <c r="C4" i="10" s="1"/>
  <c r="F657" i="1"/>
  <c r="I662" i="1"/>
  <c r="C7" i="10" s="1"/>
  <c r="I657" i="1"/>
  <c r="D37" i="10"/>
  <c r="D40" i="10"/>
  <c r="D35" i="10"/>
  <c r="D38" i="10"/>
  <c r="D39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4F47B67-853B-4AA6-8895-5EC9E951B67B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F2A8DD2-F94B-4C93-BFCE-7CF6E7DF4B42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1F92E935-1EEE-4F5C-99B9-4D2CE9A6F19C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2D8A4B41-4DAC-4295-919F-17B43DADAF10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95A01FA-319D-485B-B41D-E27160B7F40A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7F2A9A04-1A0B-4DC1-9614-F49F13D9FA50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688B54E-7DA3-4093-A19E-124DA6044A8E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91B41340-5551-44F0-955F-315E910287AB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38547F25-64A1-48BD-99C9-1D21D9A1E91D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B6620FB1-7786-4F5C-A2BF-E1A4EBE53283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A758704-0F3F-422D-A5CC-B2D2DE3576F2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588D7E79-AFA5-451C-A6CF-C2771D81B54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<sst xmlns="http://schemas.openxmlformats.org/spreadsheetml/2006/main" count="3861" uniqueCount="897">
  <si>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</si>
  <si>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</si>
  <si>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</si>
  <si>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</si>
  <si>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</si>
  <si>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</si>
  <si>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</si>
  <si>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</si>
  <si>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</si>
  <si>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</si>
  <si>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</si>
  <si>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</si>
  <si>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</si>
  <si>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</si>
  <si>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</si>
  <si>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</si>
  <si>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</si>
  <si>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</si>
  <si>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</si>
  <si>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</si>
  <si>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</si>
  <si>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</si>
  <si>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</si>
  <si>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</si>
  <si>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</si>
  <si>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</si>
  <si>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</si>
  <si>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</si>
  <si>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</si>
  <si>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</si>
  <si>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</si>
  <si>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</si>
  <si>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</si>
  <si>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</si>
  <si>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</si>
  <si>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</si>
  <si>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</si>
  <si>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</si>
  <si>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</si>
  <si>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</si>
  <si>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</si>
  <si>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</si>
  <si>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</si>
  <si>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</si>
  <si>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</si>
  <si>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</si>
  <si>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</si>
  <si>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</si>
  <si>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</si>
  <si>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</si>
  <si>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</si>
  <si>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</si>
  <si>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</si>
  <si>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</si>
  <si>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</si>
  <si>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</si>
  <si>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</si>
  <si>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</si>
  <si>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</si>
  <si>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</si>
  <si>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</si>
  <si>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</si>
  <si>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</si>
  <si>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</si>
  <si>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</si>
  <si>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</si>
  <si>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</si>
  <si>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</si>
  <si>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</si>
  <si>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</si>
  <si>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</si>
  <si>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</si>
  <si>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</si>
  <si>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</si>
  <si>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</si>
  <si>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</si>
  <si>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</si>
  <si>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</si>
  <si>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</si>
  <si>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</si>
  <si>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</si>
  <si>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</si>
  <si>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</si>
  <si>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</si>
  <si>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</si>
  <si>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</si>
  <si>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</si>
  <si>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</si>
  <si>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</si>
  <si>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</si>
  <si>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</si>
  <si>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</si>
  <si>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</si>
  <si>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</si>
  <si>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</si>
  <si>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</si>
  <si>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</si>
  <si>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</si>
  <si>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</si>
  <si>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</si>
  <si>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</si>
  <si>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</si>
  <si>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</si>
  <si>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</si>
  <si>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</si>
  <si>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</si>
  <si>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</si>
  <si>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</si>
  <si>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</si>
  <si>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</si>
  <si>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</si>
  <si>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</si>
  <si>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</si>
  <si>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</si>
  <si>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</si>
  <si>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</si>
  <si>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</si>
  <si>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</si>
  <si>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</si>
  <si>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</si>
  <si>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</si>
  <si>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</si>
  <si>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</si>
  <si>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</si>
  <si>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</si>
  <si>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</si>
  <si>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</si>
  <si>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</si>
  <si>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</si>
  <si>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</si>
  <si>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</si>
  <si>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</si>
  <si>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</si>
  <si>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</si>
  <si>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</si>
  <si>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</si>
  <si>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</si>
  <si>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</si>
  <si>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</si>
  <si>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</si>
  <si>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</si>
  <si>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</si>
  <si>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</si>
  <si>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</si>
  <si>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</si>
  <si>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</si>
  <si>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</si>
  <si>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</si>
  <si>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</si>
  <si>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</si>
  <si>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</si>
  <si>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</si>
  <si>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</si>
  <si>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</si>
  <si>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</si>
  <si>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</si>
  <si>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</si>
  <si>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</si>
  <si>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</si>
  <si>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</si>
  <si>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</si>
  <si>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</si>
  <si>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</si>
  <si>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</si>
  <si>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</si>
  <si>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</si>
  <si>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</si>
  <si>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</si>
  <si>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</si>
  <si>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</si>
  <si>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</si>
  <si>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</si>
  <si>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</si>
  <si>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</si>
  <si>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</si>
  <si>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</si>
  <si>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</si>
  <si>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</si>
  <si>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</si>
  <si>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</si>
  <si>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</si>
  <si>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</si>
  <si>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</si>
  <si>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</si>
  <si>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</si>
  <si>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</si>
  <si>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</si>
  <si>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</si>
  <si>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</si>
  <si>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</si>
  <si>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</si>
  <si>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</si>
  <si>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</si>
  <si>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</si>
  <si>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</si>
  <si>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</si>
  <si>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</si>
  <si>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</si>
  <si>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</si>
  <si>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</si>
  <si>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</si>
  <si>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</si>
  <si>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</si>
  <si>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</si>
  <si>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</si>
  <si>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</si>
  <si>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</si>
  <si>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</si>
  <si>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</si>
  <si>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</si>
  <si>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</si>
  <si>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</si>
  <si>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</si>
  <si>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</si>
  <si>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</si>
  <si>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</si>
  <si>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</si>
  <si>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</si>
  <si>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</si>
  <si>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</si>
  <si>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</si>
  <si>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</si>
  <si>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</si>
  <si>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</si>
  <si>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</si>
  <si>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</si>
  <si>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</si>
  <si>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</si>
  <si>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</si>
  <si>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</si>
  <si>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</si>
  <si>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</si>
  <si>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</si>
  <si>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</si>
  <si>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</si>
  <si>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</si>
  <si>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</si>
  <si>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</si>
  <si>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</si>
  <si>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</si>
  <si>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</si>
  <si>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</si>
  <si>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</si>
  <si>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</si>
  <si>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</si>
  <si>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</si>
  <si>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</si>
  <si>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</si>
  <si>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</si>
  <si>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</si>
  <si>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</si>
  <si>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</si>
  <si>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</si>
  <si>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</si>
  <si>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</si>
  <si>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</si>
  <si>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</si>
  <si>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</si>
  <si>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</si>
  <si>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</si>
  <si>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</si>
  <si>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</si>
  <si>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</si>
  <si>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</si>
  <si>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</si>
  <si>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</si>
  <si>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</si>
  <si>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</si>
  <si>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</si>
  <si>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</si>
  <si>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</si>
  <si>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</si>
  <si>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</si>
  <si>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</si>
  <si>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</si>
  <si>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</si>
  <si>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</si>
  <si>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</si>
  <si>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</si>
  <si>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</si>
  <si>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</si>
  <si>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</si>
  <si>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</si>
  <si>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</si>
  <si>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</si>
  <si>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</si>
  <si>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</si>
  <si>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</si>
  <si>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</si>
  <si>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</si>
  <si>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</si>
  <si>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</si>
  <si>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</si>
  <si>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</si>
  <si>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</si>
  <si>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</si>
  <si>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</si>
  <si>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</si>
  <si>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</si>
  <si>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</si>
  <si>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</si>
  <si>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</si>
  <si>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</si>
  <si>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</si>
  <si>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</si>
  <si>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</si>
  <si>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</si>
  <si>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</si>
  <si>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</si>
  <si>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</si>
  <si>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</si>
  <si>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</si>
  <si>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</si>
  <si>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</si>
  <si>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</si>
  <si>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</si>
  <si>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</si>
  <si>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</si>
  <si>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</si>
  <si>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</si>
  <si>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</si>
  <si>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</si>
  <si>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</si>
  <si>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</si>
  <si>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</si>
  <si>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</si>
  <si>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</si>
  <si>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</si>
  <si>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</si>
  <si>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</si>
  <si>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</si>
  <si>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</si>
  <si>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</si>
  <si>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</si>
  <si>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</si>
  <si>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</si>
  <si>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</si>
  <si>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</si>
  <si>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</si>
  <si>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</si>
  <si>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</si>
  <si>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</si>
  <si>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</si>
  <si>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</si>
  <si>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</si>
  <si>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</si>
  <si>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</si>
  <si>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</si>
  <si>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</si>
  <si>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</si>
  <si>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</si>
  <si>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</si>
  <si>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</si>
  <si>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</si>
  <si>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</si>
  <si>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</si>
  <si>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</si>
  <si>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</si>
  <si>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</si>
  <si>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</si>
  <si>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</si>
  <si>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</si>
  <si>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</si>
  <si>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</si>
  <si>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</si>
  <si>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</si>
  <si>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</si>
  <si>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</si>
  <si>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</si>
  <si>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</si>
  <si>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</si>
  <si>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</si>
  <si>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</si>
  <si>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</si>
  <si>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</si>
  <si>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</si>
  <si>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</si>
  <si>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</si>
  <si>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</si>
  <si>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</si>
  <si>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</si>
  <si>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</si>
  <si>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</si>
  <si>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</si>
  <si>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</si>
  <si>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</si>
  <si>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</si>
  <si>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</si>
  <si>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</si>
  <si>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</si>
  <si>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</si>
  <si>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</si>
  <si>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</si>
  <si>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</si>
  <si>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</si>
  <si>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</si>
  <si>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</si>
  <si>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</si>
  <si>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</si>
  <si>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</si>
  <si>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</si>
  <si>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</si>
  <si>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</si>
  <si>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</si>
  <si>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</si>
  <si>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</si>
  <si>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</si>
  <si>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</si>
  <si>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</si>
  <si>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</si>
  <si>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</si>
  <si>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</si>
  <si>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</si>
  <si>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</si>
  <si>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</si>
  <si>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</si>
  <si>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</si>
  <si>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</si>
  <si>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</si>
  <si>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</si>
  <si>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</si>
  <si>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</si>
  <si>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</si>
  <si>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</si>
  <si>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</si>
  <si>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</si>
  <si>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</si>
  <si>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</si>
  <si>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</si>
  <si>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</si>
  <si>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</si>
  <si>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</si>
  <si>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</si>
  <si>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</si>
  <si>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</si>
  <si>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</si>
  <si>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</si>
  <si>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</si>
  <si>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</si>
  <si>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</si>
  <si>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</si>
  <si>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</si>
  <si>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</si>
  <si>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</si>
  <si>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</si>
  <si>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</si>
  <si>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</si>
  <si>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</si>
  <si>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</si>
  <si>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</si>
  <si>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</si>
  <si>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</si>
  <si>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</si>
  <si>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</si>
  <si>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</si>
  <si>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</si>
  <si>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</si>
  <si>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</si>
  <si>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</si>
  <si>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</si>
  <si>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</si>
  <si>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</si>
  <si>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</si>
  <si>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</si>
  <si>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</si>
  <si>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</si>
  <si>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</si>
  <si>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</si>
  <si>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</si>
  <si>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</si>
  <si>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</si>
  <si>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</si>
  <si>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</si>
  <si>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</si>
  <si>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</si>
  <si>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</si>
  <si>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</si>
  <si>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</si>
  <si>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</si>
  <si>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</si>
  <si>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</si>
  <si>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</si>
  <si>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</si>
  <si>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</si>
  <si>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</si>
  <si>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</si>
  <si>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</si>
  <si>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</si>
  <si>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</si>
  <si>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</si>
  <si>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</si>
  <si>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</si>
  <si>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</si>
  <si>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</si>
  <si>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</si>
  <si>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</si>
  <si>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</si>
  <si>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</si>
  <si>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</si>
  <si>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</si>
  <si>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</si>
  <si>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</si>
  <si>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</si>
  <si>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</si>
  <si>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</si>
  <si>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</si>
  <si>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</si>
  <si>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</si>
  <si>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</si>
  <si>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</si>
  <si>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</si>
  <si>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</si>
  <si>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</si>
  <si>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</si>
  <si>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</si>
  <si>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</si>
  <si>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</si>
  <si>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</si>
  <si>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</si>
  <si>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</si>
  <si>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</si>
  <si>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</si>
  <si>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</si>
  <si>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</si>
  <si>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</si>
  <si>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</si>
  <si>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</si>
  <si>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</si>
  <si>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</si>
  <si>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</si>
  <si>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</si>
  <si>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</si>
  <si>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</si>
  <si>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</si>
  <si>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</si>
  <si>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</si>
  <si>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</si>
  <si>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</si>
  <si>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</si>
  <si>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</si>
  <si>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</si>
  <si>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</si>
  <si>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</si>
  <si>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</si>
  <si>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</si>
  <si>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</si>
  <si>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</si>
  <si>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</si>
  <si>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</si>
  <si>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</si>
  <si>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</si>
  <si>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</si>
  <si>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</si>
  <si>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</si>
  <si>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</si>
  <si>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</si>
  <si>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</si>
  <si>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</si>
  <si>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</si>
  <si>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</si>
  <si>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</si>
  <si>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</si>
  <si>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</si>
  <si>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</si>
  <si>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</si>
  <si>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</si>
  <si>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</si>
  <si>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</si>
  <si>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</si>
  <si>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</si>
  <si>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</si>
  <si>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</si>
  <si>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</si>
  <si>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</si>
  <si>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</si>
  <si>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</si>
  <si>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</si>
  <si>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</si>
  <si>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</si>
  <si>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</si>
  <si>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</si>
  <si>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</si>
  <si>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</si>
  <si>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</si>
  <si>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</si>
  <si>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</si>
  <si>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</si>
  <si>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</si>
  <si>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</si>
  <si>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</si>
  <si>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</si>
  <si>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</si>
  <si>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</si>
  <si>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</si>
  <si>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</si>
  <si>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</si>
  <si>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</si>
  <si>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</si>
  <si>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</si>
  <si>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</si>
  <si>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</si>
  <si>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</si>
  <si>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</si>
  <si>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</si>
  <si>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</si>
  <si>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</si>
  <si>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</si>
  <si>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</si>
  <si>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</si>
  <si>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</si>
  <si>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</si>
  <si>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</si>
  <si>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</si>
  <si>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</si>
  <si>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</si>
  <si>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</si>
  <si>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</si>
  <si>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</si>
  <si>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</si>
  <si>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</si>
  <si>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</si>
  <si>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</si>
  <si>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</si>
  <si>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</si>
  <si>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</si>
  <si>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</si>
  <si>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</si>
  <si>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</si>
  <si>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</si>
  <si>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</si>
  <si>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</si>
  <si>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</si>
  <si>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</si>
  <si>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</si>
  <si>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</si>
  <si>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</si>
  <si>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</si>
  <si>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</si>
  <si>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</si>
  <si>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</si>
  <si>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</si>
  <si>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</si>
  <si>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</si>
  <si>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</si>
  <si>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</si>
  <si>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</si>
  <si>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</si>
  <si>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</si>
  <si>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</si>
  <si>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</si>
  <si>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</si>
  <si>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</si>
  <si>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</si>
  <si>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</si>
  <si>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</si>
  <si>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</si>
  <si>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</si>
  <si>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</si>
  <si>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</si>
  <si>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</si>
  <si>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</si>
  <si>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</si>
  <si>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</si>
  <si>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</si>
  <si>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</si>
  <si>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</si>
  <si>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</si>
  <si>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</si>
  <si>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</si>
  <si>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</si>
  <si>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</si>
  <si>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</si>
  <si>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</si>
  <si>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</si>
  <si>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</si>
  <si>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</si>
  <si>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</si>
  <si>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</si>
  <si>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</si>
  <si>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</si>
  <si>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</si>
  <si>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</si>
  <si>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</si>
  <si>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</si>
  <si>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</si>
  <si>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</si>
  <si>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</si>
  <si>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</si>
  <si>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</si>
  <si>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</si>
  <si>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</si>
  <si>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</si>
  <si>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</si>
  <si>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</si>
  <si>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</si>
  <si>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</si>
  <si>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</si>
  <si>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</si>
  <si>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</si>
  <si>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</si>
  <si>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</si>
  <si>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</si>
  <si>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</si>
  <si>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</si>
  <si>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</si>
  <si>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</si>
  <si>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</si>
  <si>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</si>
  <si>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</si>
  <si>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</si>
  <si>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</si>
  <si>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</si>
  <si>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</si>
  <si>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</si>
  <si>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</si>
  <si>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</si>
  <si>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</si>
  <si>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</si>
  <si>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</si>
  <si>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</si>
  <si>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</si>
  <si>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</si>
  <si>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</si>
  <si>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</si>
  <si>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</si>
  <si>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</si>
  <si>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</si>
  <si>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</si>
  <si>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</si>
  <si>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</si>
  <si>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</si>
  <si>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</si>
  <si>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</si>
  <si>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</si>
  <si>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</si>
  <si>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</si>
  <si>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</si>
  <si>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</si>
  <si>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</si>
  <si>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</si>
  <si>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</si>
  <si>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</si>
  <si>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</si>
  <si>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</si>
  <si>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</si>
  <si>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</si>
  <si>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</si>
  <si>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</si>
  <si>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</si>
  <si>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</si>
  <si>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</si>
  <si>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</si>
  <si>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</si>
  <si>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</si>
  <si>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</si>
  <si>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</si>
  <si>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</si>
  <si>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</si>
  <si>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</si>
  <si>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</si>
  <si>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</si>
  <si>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</si>
  <si>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</si>
  <si>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</si>
  <si>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</si>
  <si>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</si>
  <si>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</si>
  <si>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</si>
  <si>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</si>
  <si>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</si>
  <si>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</si>
  <si>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</si>
  <si>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</si>
  <si>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</si>
  <si>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</si>
  <si>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</si>
  <si>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</si>
  <si>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</si>
  <si>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</si>
  <si>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</si>
  <si>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</si>
  <si>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</si>
  <si>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</si>
  <si>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</si>
  <si>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</si>
  <si>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</si>
  <si>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</si>
  <si>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</si>
  <si>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</si>
  <si>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</si>
  <si>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</si>
  <si>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</si>
  <si>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</si>
  <si>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</si>
  <si>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</si>
  <si>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</si>
  <si>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</si>
  <si>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</si>
  <si>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</si>
  <si>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</si>
  <si>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</si>
  <si>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</si>
  <si>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</si>
  <si>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</si>
  <si>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</si>
  <si>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</si>
  <si>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</si>
  <si>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</si>
  <si>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</si>
  <si>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</si>
  <si>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</si>
  <si>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</si>
  <si>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</si>
  <si>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</si>
  <si>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</si>
  <si>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</si>
  <si>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</si>
  <si>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</si>
  <si>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</si>
  <si>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</si>
  <si>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</si>
  <si>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</si>
  <si>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</si>
  <si>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</si>
  <si>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</si>
  <si>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</si>
  <si>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</si>
  <si>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</si>
  <si>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</si>
  <si>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</si>
  <si>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</si>
  <si>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</si>
  <si>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</si>
  <si>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</si>
  <si>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</si>
  <si>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</si>
  <si>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</si>
  <si>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</si>
  <si>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</si>
  <si>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</si>
  <si>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</si>
  <si>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</si>
  <si>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</si>
  <si>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</si>
  <si>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</si>
  <si>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</si>
  <si>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</si>
  <si>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</si>
  <si>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</si>
  <si>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</si>
  <si>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</si>
  <si>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</si>
  <si>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</si>
  <si>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</si>
  <si>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</si>
  <si>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</si>
  <si>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</si>
  <si>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</si>
  <si>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</si>
  <si>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</si>
  <si>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</si>
  <si>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</si>
  <si>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</si>
  <si>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</si>
  <si>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</si>
  <si>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</si>
  <si>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</si>
  <si>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</si>
  <si>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</si>
  <si>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</si>
  <si>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</si>
  <si>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</si>
  <si>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</si>
  <si>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</si>
  <si>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</si>
  <si>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</si>
  <si>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</si>
  <si>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</si>
  <si>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</si>
  <si>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</si>
  <si>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</si>
  <si>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</si>
  <si>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</si>
  <si>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</si>
  <si>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</si>
  <si>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</si>
  <si>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</si>
  <si>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</si>
  <si>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</si>
  <si>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</si>
  <si>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</si>
  <si>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</si>
  <si>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</si>
  <si>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</si>
  <si>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Litchfield</t>
  </si>
  <si>
    <t>08/2000</t>
  </si>
  <si>
    <t>02/2015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</si>
</sst>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"/>
    <numFmt numFmtId="165" formatCode="0_)"/>
    <numFmt numFmtId="166" formatCode="0.0%"/>
    <numFmt numFmtId="167" formatCode="0.0"/>
    <numFmt numFmtId="185" formatCode="#,##0.00;\(#,##0.00\)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" fontId="2" fillId="0" borderId="6" xfId="0" applyNumberFormat="1" applyFont="1" applyBorder="1" applyProtection="1">
      <protection locked="0"/>
    </xf>
    <xf numFmtId="185" fontId="2" fillId="0" borderId="0" xfId="0" applyNumberFormat="1" applyFont="1" applyProtection="1">
      <protection locked="0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DAEA-08C0-4866-AAA5-7A96B06D74D3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5" t="s">
        <v>894</v>
      </c>
      <c r="B2" s="21">
        <v>315</v>
      </c>
      <c r="C2" s="21">
        <v>315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5" t="s">
        <v>304</v>
      </c>
      <c r="G6" s="225" t="s">
        <v>305</v>
      </c>
      <c r="H6" s="225" t="s">
        <v>306</v>
      </c>
      <c r="I6" s="225" t="s">
        <v>307</v>
      </c>
      <c r="J6" s="225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5"/>
      <c r="G7" s="226"/>
      <c r="H7" s="225" t="s">
        <v>803</v>
      </c>
      <c r="I7" s="226"/>
      <c r="J7" s="226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1468825.72</v>
      </c>
      <c r="G9" s="18">
        <v>94814.8</v>
      </c>
      <c r="H9" s="18"/>
      <c r="I9" s="18"/>
      <c r="J9" s="66">
        <f>SUM(I431)</f>
        <v>154496.51999999999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6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156098.35999999999</v>
      </c>
      <c r="G12" s="18"/>
      <c r="H12" s="18"/>
      <c r="I12" s="18"/>
      <c r="J12" s="66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1680</v>
      </c>
      <c r="G13" s="18">
        <v>6493.14</v>
      </c>
      <c r="H13" s="18">
        <v>171154.58</v>
      </c>
      <c r="I13" s="18"/>
      <c r="J13" s="66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7416.05</v>
      </c>
      <c r="G14" s="18">
        <v>255.63</v>
      </c>
      <c r="H14" s="18"/>
      <c r="I14" s="18"/>
      <c r="J14" s="66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6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4"/>
      <c r="I18" s="18"/>
      <c r="J18" s="66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1634020.1300000001</v>
      </c>
      <c r="G19" s="41">
        <f>SUM(G9:G18)</f>
        <v>101563.57</v>
      </c>
      <c r="H19" s="41">
        <f>SUM(H9:H18)</f>
        <v>171154.58</v>
      </c>
      <c r="I19" s="41">
        <f>SUM(I9:I18)</f>
        <v>0</v>
      </c>
      <c r="J19" s="41">
        <f>SUM(J9:J18)</f>
        <v>154496.51999999999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8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8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156098.35999999999</v>
      </c>
      <c r="I23" s="18"/>
      <c r="J23" s="66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6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49572.52</v>
      </c>
      <c r="G25" s="18"/>
      <c r="H25" s="18">
        <v>100</v>
      </c>
      <c r="I25" s="18"/>
      <c r="J25" s="66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4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31043.87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552101.14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345</v>
      </c>
      <c r="G31" s="18">
        <v>7956.46</v>
      </c>
      <c r="H31" s="18">
        <v>14956.22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6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633062.53</v>
      </c>
      <c r="G33" s="41">
        <f>SUM(G23:G32)</f>
        <v>7956.46</v>
      </c>
      <c r="H33" s="41">
        <f>SUM(H23:H32)</f>
        <v>171154.58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228842.6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93607.11</v>
      </c>
      <c r="H41" s="18"/>
      <c r="I41" s="18"/>
      <c r="J41" s="13">
        <f>SUM(I449)</f>
        <v>154496.51999999999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0">
        <v>30</v>
      </c>
      <c r="D42" s="2" t="s">
        <v>687</v>
      </c>
      <c r="E42" s="6">
        <v>770</v>
      </c>
      <c r="F42" s="18">
        <v>772115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1000957.6</v>
      </c>
      <c r="G43" s="41">
        <f>SUM(G35:G42)</f>
        <v>93607.11</v>
      </c>
      <c r="H43" s="41">
        <f>SUM(H35:H42)</f>
        <v>0</v>
      </c>
      <c r="I43" s="41">
        <f>SUM(I35:I42)</f>
        <v>0</v>
      </c>
      <c r="J43" s="41">
        <f>SUM(J35:J42)</f>
        <v>154496.51999999999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1634020.13</v>
      </c>
      <c r="G44" s="41">
        <f>G43+G33</f>
        <v>101563.57</v>
      </c>
      <c r="H44" s="41">
        <f>H43+H33</f>
        <v>171154.58</v>
      </c>
      <c r="I44" s="41">
        <f>I43+I33</f>
        <v>0</v>
      </c>
      <c r="J44" s="41">
        <f>J43+J33</f>
        <v>154496.51999999999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10136035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10136035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9861.08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9203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16565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49830.58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85459.66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69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8398.25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8398.25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3744.16</v>
      </c>
      <c r="G88" s="18">
        <v>78.88</v>
      </c>
      <c r="H88" s="18"/>
      <c r="I88" s="18"/>
      <c r="J88" s="18">
        <v>77.239999999999995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419403.1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900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22665.15</v>
      </c>
      <c r="G102" s="18">
        <v>9660.19</v>
      </c>
      <c r="H102" s="18">
        <v>6512.12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27309.31</v>
      </c>
      <c r="G103" s="41">
        <f>SUM(G88:G102)</f>
        <v>429142.17</v>
      </c>
      <c r="H103" s="41">
        <f>SUM(H88:H102)</f>
        <v>6512.12</v>
      </c>
      <c r="I103" s="41">
        <f>SUM(I88:I102)</f>
        <v>0</v>
      </c>
      <c r="J103" s="41">
        <f>SUM(J88:J102)</f>
        <v>77.239999999999995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10257202.220000001</v>
      </c>
      <c r="G104" s="41">
        <f>G52+G103</f>
        <v>429142.17</v>
      </c>
      <c r="H104" s="41">
        <f>H52+H71+H86+H103</f>
        <v>6512.12</v>
      </c>
      <c r="I104" s="41">
        <f>I52+I103</f>
        <v>0</v>
      </c>
      <c r="J104" s="41">
        <f>J52+J103</f>
        <v>77.239999999999995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5932512.4500000002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1807825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215170.55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7955508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260786.84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71411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156550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258403.55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15407.44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2831.68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5153.29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6300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771690.50999999989</v>
      </c>
      <c r="G128" s="41">
        <f>SUM(G115:G127)</f>
        <v>5153.29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8727198.5099999998</v>
      </c>
      <c r="G132" s="41">
        <f>G113+SUM(G128:G129)</f>
        <v>5153.29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69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4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>
        <v>433905.25</v>
      </c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120510.57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33496.730000000003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102040.12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119773.31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750</v>
      </c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120523.31</v>
      </c>
      <c r="G154" s="41">
        <f>SUM(G142:G153)</f>
        <v>102040.12</v>
      </c>
      <c r="H154" s="41">
        <f>SUM(H142:H153)</f>
        <v>587912.55000000005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120523.31</v>
      </c>
      <c r="G161" s="41">
        <f>G139+G154+SUM(G155:G160)</f>
        <v>102040.12</v>
      </c>
      <c r="H161" s="41">
        <f>H139+H154+SUM(H155:H160)</f>
        <v>587912.55000000005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69"/>
      <c r="B162" s="36"/>
      <c r="C162" s="74"/>
      <c r="D162" s="74"/>
      <c r="E162" s="74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4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5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6" t="s">
        <v>454</v>
      </c>
      <c r="E185" s="44"/>
      <c r="F185" s="47">
        <f>F104+F132+F161+F184</f>
        <v>19104924.039999999</v>
      </c>
      <c r="G185" s="47">
        <f>G104+G132+G161+G184</f>
        <v>536335.57999999996</v>
      </c>
      <c r="H185" s="47">
        <f>H104+H132+H161+H184</f>
        <v>594424.67000000004</v>
      </c>
      <c r="I185" s="47">
        <f>I104+I132+I161+I184</f>
        <v>0</v>
      </c>
      <c r="J185" s="47">
        <f>J104+J132+J184</f>
        <v>77.239999999999995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6" t="s">
        <v>724</v>
      </c>
      <c r="G186" s="176" t="s">
        <v>725</v>
      </c>
      <c r="H186" s="176" t="s">
        <v>726</v>
      </c>
      <c r="I186" s="176" t="s">
        <v>727</v>
      </c>
      <c r="J186" s="176" t="s">
        <v>728</v>
      </c>
      <c r="K186" s="176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2" t="s">
        <v>54</v>
      </c>
      <c r="G187" s="102" t="s">
        <v>55</v>
      </c>
      <c r="H187" s="102" t="s">
        <v>56</v>
      </c>
      <c r="I187" s="102" t="s">
        <v>57</v>
      </c>
      <c r="J187" s="102" t="s">
        <v>58</v>
      </c>
      <c r="K187" s="102" t="s">
        <v>59</v>
      </c>
      <c r="L187" s="102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0">
        <v>1624334.0465199999</v>
      </c>
      <c r="G189" s="10">
        <v>581726.92208099994</v>
      </c>
      <c r="H189" s="10">
        <v>25767.556500000002</v>
      </c>
      <c r="I189" s="10">
        <v>68196.399999999994</v>
      </c>
      <c r="J189" s="10">
        <v>536.49</v>
      </c>
      <c r="K189" s="10">
        <v>0</v>
      </c>
      <c r="L189" s="19">
        <f>SUM(F189:K189)</f>
        <v>2300561.4151009996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0">
        <v>497099.63860800001</v>
      </c>
      <c r="G190" s="10">
        <v>110925.46044600001</v>
      </c>
      <c r="H190" s="10">
        <v>56152.889562000004</v>
      </c>
      <c r="I190" s="10">
        <v>2882.01</v>
      </c>
      <c r="J190" s="10">
        <v>1330.897416</v>
      </c>
      <c r="K190" s="10">
        <v>5610.5521070000004</v>
      </c>
      <c r="L190" s="19">
        <f>SUM(F190:K190)</f>
        <v>674001.4481390001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0">
        <v>8729.6200000000008</v>
      </c>
      <c r="G192" s="10">
        <v>1381.41</v>
      </c>
      <c r="H192" s="10">
        <v>0</v>
      </c>
      <c r="I192" s="10">
        <v>1465.55</v>
      </c>
      <c r="J192" s="10">
        <v>0</v>
      </c>
      <c r="K192" s="10">
        <v>150</v>
      </c>
      <c r="L192" s="19">
        <f>SUM(F192:K192)</f>
        <v>11726.58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0">
        <v>222580.57144</v>
      </c>
      <c r="G194" s="10">
        <v>91285.645659000002</v>
      </c>
      <c r="H194" s="10">
        <v>56010.261784999995</v>
      </c>
      <c r="I194" s="10">
        <v>9167.8817710000003</v>
      </c>
      <c r="J194" s="10">
        <v>47.15</v>
      </c>
      <c r="K194" s="10">
        <v>0</v>
      </c>
      <c r="L194" s="19">
        <f t="shared" ref="L194:L200" si="0">SUM(F194:K194)</f>
        <v>379091.51065499999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0">
        <v>79167.406854000001</v>
      </c>
      <c r="G195" s="10">
        <v>42060.748791999999</v>
      </c>
      <c r="H195" s="10">
        <v>10216.822624</v>
      </c>
      <c r="I195" s="10">
        <v>12949.997310999999</v>
      </c>
      <c r="J195" s="10">
        <v>1401.8019279999999</v>
      </c>
      <c r="K195" s="10">
        <v>1974.3047999999999</v>
      </c>
      <c r="L195" s="19">
        <f t="shared" si="0"/>
        <v>147771.08230899999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0">
        <v>125467.08721699999</v>
      </c>
      <c r="G196" s="10">
        <v>41588.82099</v>
      </c>
      <c r="H196" s="10">
        <v>25567.774933000001</v>
      </c>
      <c r="I196" s="10">
        <v>2613.7350609999999</v>
      </c>
      <c r="J196" s="10">
        <v>1410.084752</v>
      </c>
      <c r="K196" s="10">
        <v>4036.9173350000001</v>
      </c>
      <c r="L196" s="19">
        <f t="shared" si="0"/>
        <v>200684.42028800002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0">
        <v>288065.01</v>
      </c>
      <c r="G197" s="10">
        <v>126082.21</v>
      </c>
      <c r="H197" s="10">
        <v>5020.47</v>
      </c>
      <c r="I197" s="10">
        <v>3045.52</v>
      </c>
      <c r="J197" s="10">
        <v>1548.5</v>
      </c>
      <c r="K197" s="10">
        <v>2900.41</v>
      </c>
      <c r="L197" s="19">
        <f t="shared" si="0"/>
        <v>426662.12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0">
        <v>60417.597045000002</v>
      </c>
      <c r="G198" s="10">
        <v>19684.013232000001</v>
      </c>
      <c r="H198" s="10">
        <v>12338.283867</v>
      </c>
      <c r="I198" s="10">
        <v>1871.570142</v>
      </c>
      <c r="J198" s="10">
        <v>1101.2684670000001</v>
      </c>
      <c r="K198" s="10">
        <v>820.93315199999995</v>
      </c>
      <c r="L198" s="19">
        <f t="shared" si="0"/>
        <v>96233.665905000002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0">
        <v>205948.30413999999</v>
      </c>
      <c r="G199" s="10">
        <v>85872.143219999998</v>
      </c>
      <c r="H199" s="10">
        <v>201595.65776</v>
      </c>
      <c r="I199" s="10">
        <v>145342.226815</v>
      </c>
      <c r="J199" s="10">
        <v>87.424499999999995</v>
      </c>
      <c r="K199" s="10">
        <v>101.4525</v>
      </c>
      <c r="L199" s="19">
        <f t="shared" si="0"/>
        <v>638947.20893499989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0">
        <v>0</v>
      </c>
      <c r="G200" s="10">
        <v>0</v>
      </c>
      <c r="H200" s="10">
        <v>253675.87207600003</v>
      </c>
      <c r="I200" s="10">
        <v>844.86300400000005</v>
      </c>
      <c r="J200" s="10">
        <v>0</v>
      </c>
      <c r="K200" s="10">
        <v>0</v>
      </c>
      <c r="L200" s="19">
        <f t="shared" si="0"/>
        <v>254520.73508000004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0">
        <v>59711.182595999999</v>
      </c>
      <c r="G201" s="10">
        <v>37382.416617000003</v>
      </c>
      <c r="H201" s="10">
        <v>36239.967195999998</v>
      </c>
      <c r="I201" s="10">
        <v>23070.337382999998</v>
      </c>
      <c r="J201" s="10">
        <v>39252.776287999994</v>
      </c>
      <c r="K201" s="10">
        <v>366.40223099999997</v>
      </c>
      <c r="L201" s="19">
        <f>SUM(F201:K201)</f>
        <v>196023.08231100001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3171520.4644200001</v>
      </c>
      <c r="G203" s="41">
        <f t="shared" si="1"/>
        <v>1137989.791037</v>
      </c>
      <c r="H203" s="41">
        <f t="shared" si="1"/>
        <v>682585.55630300008</v>
      </c>
      <c r="I203" s="41">
        <f t="shared" si="1"/>
        <v>271450.091487</v>
      </c>
      <c r="J203" s="41">
        <f t="shared" si="1"/>
        <v>46716.393350999992</v>
      </c>
      <c r="K203" s="41">
        <f t="shared" si="1"/>
        <v>15960.972124999998</v>
      </c>
      <c r="L203" s="41">
        <f t="shared" si="1"/>
        <v>5326223.2687229998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6" t="s">
        <v>724</v>
      </c>
      <c r="G204" s="176" t="s">
        <v>725</v>
      </c>
      <c r="H204" s="176" t="s">
        <v>726</v>
      </c>
      <c r="I204" s="176" t="s">
        <v>727</v>
      </c>
      <c r="J204" s="176" t="s">
        <v>728</v>
      </c>
      <c r="K204" s="176" t="s">
        <v>729</v>
      </c>
      <c r="L204" s="66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2" t="s">
        <v>54</v>
      </c>
      <c r="G205" s="102" t="s">
        <v>55</v>
      </c>
      <c r="H205" s="102" t="s">
        <v>56</v>
      </c>
      <c r="I205" s="102" t="s">
        <v>57</v>
      </c>
      <c r="J205" s="102" t="s">
        <v>58</v>
      </c>
      <c r="K205" s="102" t="s">
        <v>59</v>
      </c>
      <c r="L205" s="102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0">
        <v>1894244.4571200002</v>
      </c>
      <c r="G207" s="10">
        <v>682990.56738600007</v>
      </c>
      <c r="H207" s="10">
        <v>25134.179</v>
      </c>
      <c r="I207" s="10">
        <v>86594.89</v>
      </c>
      <c r="J207" s="10">
        <v>2285.21</v>
      </c>
      <c r="K207" s="10">
        <v>300</v>
      </c>
      <c r="L207" s="19">
        <f>SUM(F207:K207)</f>
        <v>2691549.3035060004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0">
        <v>363034.005504</v>
      </c>
      <c r="G208" s="10">
        <v>92360.143998</v>
      </c>
      <c r="H208" s="10">
        <v>179593.16970600002</v>
      </c>
      <c r="I208" s="10">
        <v>3035.57</v>
      </c>
      <c r="J208" s="10">
        <v>4660.3236079999997</v>
      </c>
      <c r="K208" s="10">
        <v>4823.2742909999997</v>
      </c>
      <c r="L208" s="19">
        <f>SUM(F208:K208)</f>
        <v>647506.48710699996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0">
        <v>39813.379999999997</v>
      </c>
      <c r="G210" s="10">
        <v>4914.1400000000003</v>
      </c>
      <c r="H210" s="10">
        <v>5265</v>
      </c>
      <c r="I210" s="10">
        <v>2403.9899999999998</v>
      </c>
      <c r="J210" s="10">
        <v>0</v>
      </c>
      <c r="K210" s="10">
        <v>830</v>
      </c>
      <c r="L210" s="19">
        <f>SUM(F210:K210)</f>
        <v>53226.509999999995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0">
        <v>292820.30463999999</v>
      </c>
      <c r="G212" s="10">
        <v>81550.705053999991</v>
      </c>
      <c r="H212" s="10">
        <v>55882.507210000003</v>
      </c>
      <c r="I212" s="10">
        <v>7688.5465260000001</v>
      </c>
      <c r="J212" s="10">
        <v>1600</v>
      </c>
      <c r="K212" s="10">
        <v>0</v>
      </c>
      <c r="L212" s="19">
        <f t="shared" ref="L212:L218" si="2">SUM(F212:K212)</f>
        <v>439542.06343000004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0">
        <v>77722.986292000001</v>
      </c>
      <c r="G213" s="10">
        <v>43171.012415999998</v>
      </c>
      <c r="H213" s="10">
        <v>9645.8547519999993</v>
      </c>
      <c r="I213" s="10">
        <v>12172.315377999999</v>
      </c>
      <c r="J213" s="10">
        <v>10041.186143999999</v>
      </c>
      <c r="K213" s="10">
        <v>1739.3904</v>
      </c>
      <c r="L213" s="19">
        <f t="shared" si="2"/>
        <v>154492.74538199999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0">
        <v>117652.028691</v>
      </c>
      <c r="G214" s="10">
        <v>38934.361193999997</v>
      </c>
      <c r="H214" s="10">
        <v>24737.043168</v>
      </c>
      <c r="I214" s="10">
        <v>2507.3956320000002</v>
      </c>
      <c r="J214" s="10">
        <v>1330.085808</v>
      </c>
      <c r="K214" s="10">
        <v>3867.5510100000001</v>
      </c>
      <c r="L214" s="19">
        <f t="shared" si="2"/>
        <v>189028.46550300001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0">
        <v>254306.36</v>
      </c>
      <c r="G215" s="10">
        <v>83618.2</v>
      </c>
      <c r="H215" s="10">
        <v>8821.6299999999992</v>
      </c>
      <c r="I215" s="10">
        <v>2325.31</v>
      </c>
      <c r="J215" s="10">
        <v>0</v>
      </c>
      <c r="K215" s="10">
        <v>6711.72</v>
      </c>
      <c r="L215" s="19">
        <f t="shared" si="2"/>
        <v>355783.22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0">
        <v>53228.75591</v>
      </c>
      <c r="G216" s="10">
        <v>17341.893536</v>
      </c>
      <c r="H216" s="10">
        <v>10870.202266</v>
      </c>
      <c r="I216" s="10">
        <v>1648.8797159999999</v>
      </c>
      <c r="J216" s="10">
        <v>970.23306600000001</v>
      </c>
      <c r="K216" s="10">
        <v>723.25369599999999</v>
      </c>
      <c r="L216" s="19">
        <f t="shared" si="2"/>
        <v>84783.21819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0">
        <v>157091.61566000001</v>
      </c>
      <c r="G217" s="10">
        <v>67381.782179999995</v>
      </c>
      <c r="H217" s="10">
        <v>123096.96544</v>
      </c>
      <c r="I217" s="10">
        <v>158228.96023499998</v>
      </c>
      <c r="J217" s="10">
        <v>709.38049999999998</v>
      </c>
      <c r="K217" s="10">
        <v>115.2225</v>
      </c>
      <c r="L217" s="19">
        <f t="shared" si="2"/>
        <v>506623.92651499994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0">
        <v>0</v>
      </c>
      <c r="G218" s="10">
        <v>0</v>
      </c>
      <c r="H218" s="10">
        <v>243447.53768399998</v>
      </c>
      <c r="I218" s="10">
        <v>767.98466399999995</v>
      </c>
      <c r="J218" s="10">
        <v>0</v>
      </c>
      <c r="K218" s="10">
        <v>0</v>
      </c>
      <c r="L218" s="19">
        <f t="shared" si="2"/>
        <v>244215.52234799997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0">
        <v>52606.394807999997</v>
      </c>
      <c r="G219" s="10">
        <v>32934.436765999999</v>
      </c>
      <c r="H219" s="10">
        <v>33752.195607999995</v>
      </c>
      <c r="I219" s="10">
        <v>17825.875233999999</v>
      </c>
      <c r="J219" s="10">
        <v>32029.527424</v>
      </c>
      <c r="K219" s="10">
        <v>322.80553800000001</v>
      </c>
      <c r="L219" s="19">
        <f>SUM(F219:K219)</f>
        <v>169471.23537799998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3302520.2886249996</v>
      </c>
      <c r="G221" s="41">
        <f>SUM(G207:G220)</f>
        <v>1145197.2425300002</v>
      </c>
      <c r="H221" s="41">
        <f>SUM(H207:H220)</f>
        <v>720246.28483400005</v>
      </c>
      <c r="I221" s="41">
        <f>SUM(I207:I220)</f>
        <v>295199.71738499997</v>
      </c>
      <c r="J221" s="41">
        <f>SUM(J207:J220)</f>
        <v>53625.946549999993</v>
      </c>
      <c r="K221" s="41">
        <f t="shared" si="3"/>
        <v>19433.217435000002</v>
      </c>
      <c r="L221" s="41">
        <f t="shared" si="3"/>
        <v>5536222.6973590003</v>
      </c>
      <c r="M221" s="8"/>
    </row>
    <row r="222" spans="1:13" s="3" customFormat="1" ht="12" customHeight="1" x14ac:dyDescent="0.15">
      <c r="A222" s="55" t="s">
        <v>489</v>
      </c>
      <c r="B222" s="36"/>
      <c r="C222" s="74"/>
      <c r="D222" s="74"/>
      <c r="E222" s="74"/>
      <c r="F222" s="176" t="s">
        <v>724</v>
      </c>
      <c r="G222" s="176" t="s">
        <v>725</v>
      </c>
      <c r="H222" s="176" t="s">
        <v>726</v>
      </c>
      <c r="I222" s="176" t="s">
        <v>727</v>
      </c>
      <c r="J222" s="176" t="s">
        <v>728</v>
      </c>
      <c r="K222" s="176" t="s">
        <v>729</v>
      </c>
      <c r="L222" s="66"/>
      <c r="M222" s="8"/>
    </row>
    <row r="223" spans="1:13" s="3" customFormat="1" ht="12" customHeight="1" x14ac:dyDescent="0.15">
      <c r="A223" s="29" t="s">
        <v>477</v>
      </c>
      <c r="F223" s="102" t="s">
        <v>54</v>
      </c>
      <c r="G223" s="102" t="s">
        <v>55</v>
      </c>
      <c r="H223" s="102" t="s">
        <v>56</v>
      </c>
      <c r="I223" s="102" t="s">
        <v>57</v>
      </c>
      <c r="J223" s="102" t="s">
        <v>58</v>
      </c>
      <c r="K223" s="102" t="s">
        <v>59</v>
      </c>
      <c r="L223" s="102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0">
        <v>1886928.1663599999</v>
      </c>
      <c r="G225" s="10">
        <v>699373.07053300005</v>
      </c>
      <c r="H225" s="10">
        <v>32424.084500000001</v>
      </c>
      <c r="I225" s="10">
        <v>90569.9</v>
      </c>
      <c r="J225" s="10">
        <v>7356.05</v>
      </c>
      <c r="K225" s="10">
        <v>2423.38</v>
      </c>
      <c r="L225" s="19">
        <f>SUM(F225:K225)</f>
        <v>2719074.6513929996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0">
        <v>337940.745888</v>
      </c>
      <c r="G226" s="10">
        <v>88921.875555999999</v>
      </c>
      <c r="H226" s="10">
        <v>414664.12073199998</v>
      </c>
      <c r="I226" s="10">
        <v>2912.97</v>
      </c>
      <c r="J226" s="10">
        <v>337.60897599999998</v>
      </c>
      <c r="K226" s="10">
        <v>4234.2936019999997</v>
      </c>
      <c r="L226" s="19">
        <f>SUM(F226:K226)</f>
        <v>849011.61475399998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0">
        <v>0</v>
      </c>
      <c r="G227" s="10">
        <v>0</v>
      </c>
      <c r="H227" s="10">
        <v>29055.599999999999</v>
      </c>
      <c r="I227" s="10">
        <v>0</v>
      </c>
      <c r="J227" s="10">
        <v>0</v>
      </c>
      <c r="K227" s="10">
        <v>0</v>
      </c>
      <c r="L227" s="19">
        <f>SUM(F227:K227)</f>
        <v>29055.599999999999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0">
        <v>212452.74</v>
      </c>
      <c r="G228" s="10">
        <v>25441.93</v>
      </c>
      <c r="H228" s="10">
        <v>66550.899999999994</v>
      </c>
      <c r="I228" s="10">
        <v>31654.15</v>
      </c>
      <c r="J228" s="10">
        <v>377</v>
      </c>
      <c r="K228" s="10">
        <v>9815</v>
      </c>
      <c r="L228" s="19">
        <f>SUM(F228:K228)</f>
        <v>346291.72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0">
        <v>397050.05391999998</v>
      </c>
      <c r="G230" s="10">
        <v>129330.309287</v>
      </c>
      <c r="H230" s="10">
        <v>62130.671004999997</v>
      </c>
      <c r="I230" s="10">
        <v>12169.971702999999</v>
      </c>
      <c r="J230" s="10">
        <v>69.989999999999995</v>
      </c>
      <c r="K230" s="10">
        <v>490</v>
      </c>
      <c r="L230" s="19">
        <f t="shared" ref="L230:L236" si="4">SUM(F230:K230)</f>
        <v>601240.99591499998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0">
        <v>91685.326853999984</v>
      </c>
      <c r="G231" s="10">
        <v>52314.328792</v>
      </c>
      <c r="H231" s="10">
        <v>13423.562624</v>
      </c>
      <c r="I231" s="10">
        <v>34557.497310999999</v>
      </c>
      <c r="J231" s="10">
        <v>11980.481927999999</v>
      </c>
      <c r="K231" s="10">
        <v>1974.3047999999999</v>
      </c>
      <c r="L231" s="19">
        <f t="shared" si="4"/>
        <v>205935.50230900003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0">
        <v>111595.254092</v>
      </c>
      <c r="G232" s="10">
        <v>36843.917816000001</v>
      </c>
      <c r="H232" s="10">
        <v>24488.511899000001</v>
      </c>
      <c r="I232" s="10">
        <v>2454.2793069999998</v>
      </c>
      <c r="J232" s="10">
        <v>1272.1494399999999</v>
      </c>
      <c r="K232" s="10">
        <v>3778.8816550000001</v>
      </c>
      <c r="L232" s="19">
        <f t="shared" si="4"/>
        <v>180432.99420900003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0">
        <v>284866.02</v>
      </c>
      <c r="G233" s="10">
        <v>97395.66</v>
      </c>
      <c r="H233" s="10">
        <v>17914.87</v>
      </c>
      <c r="I233" s="10">
        <v>3390.2</v>
      </c>
      <c r="J233" s="10">
        <v>835.35</v>
      </c>
      <c r="K233" s="10">
        <v>15252.96</v>
      </c>
      <c r="L233" s="19">
        <f t="shared" si="4"/>
        <v>419655.06000000006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0">
        <v>60417.597045000002</v>
      </c>
      <c r="G234" s="10">
        <v>19684.013232000001</v>
      </c>
      <c r="H234" s="10">
        <v>12338.283867</v>
      </c>
      <c r="I234" s="10">
        <v>1871.570142</v>
      </c>
      <c r="J234" s="10">
        <v>1101.2684670000001</v>
      </c>
      <c r="K234" s="10">
        <v>820.93315199999995</v>
      </c>
      <c r="L234" s="19">
        <f t="shared" si="4"/>
        <v>96233.665905000002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0">
        <v>237861.2402</v>
      </c>
      <c r="G235" s="10">
        <v>105063.01459999999</v>
      </c>
      <c r="H235" s="10">
        <v>222331.63679999998</v>
      </c>
      <c r="I235" s="10">
        <v>239578.75295000002</v>
      </c>
      <c r="J235" s="10">
        <v>22312.365000000002</v>
      </c>
      <c r="K235" s="10">
        <v>188.32499999999999</v>
      </c>
      <c r="L235" s="19">
        <f t="shared" si="4"/>
        <v>827335.33454999991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0">
        <v>0</v>
      </c>
      <c r="G236" s="10">
        <v>0</v>
      </c>
      <c r="H236" s="10">
        <v>242547.05024000001</v>
      </c>
      <c r="I236" s="10">
        <v>383.99233199999998</v>
      </c>
      <c r="J236" s="10">
        <v>0</v>
      </c>
      <c r="K236" s="10">
        <v>0</v>
      </c>
      <c r="L236" s="19">
        <f t="shared" si="4"/>
        <v>242931.04257200001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0">
        <v>59711.182595999999</v>
      </c>
      <c r="G237" s="10">
        <v>37382.416617000003</v>
      </c>
      <c r="H237" s="10">
        <v>41169.327195999998</v>
      </c>
      <c r="I237" s="10">
        <v>23661.077383000003</v>
      </c>
      <c r="J237" s="10">
        <v>46516.476287999998</v>
      </c>
      <c r="K237" s="10">
        <v>366.40223099999997</v>
      </c>
      <c r="L237" s="19">
        <f>SUM(F237:K237)</f>
        <v>208806.88231099999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3680508.3269549995</v>
      </c>
      <c r="G239" s="41">
        <f t="shared" si="5"/>
        <v>1291750.5364330001</v>
      </c>
      <c r="H239" s="41">
        <f t="shared" si="5"/>
        <v>1179038.6188629998</v>
      </c>
      <c r="I239" s="41">
        <f t="shared" si="5"/>
        <v>443204.36112800002</v>
      </c>
      <c r="J239" s="41">
        <f t="shared" si="5"/>
        <v>92158.740098999988</v>
      </c>
      <c r="K239" s="41">
        <f t="shared" si="5"/>
        <v>39344.480439999999</v>
      </c>
      <c r="L239" s="41">
        <f t="shared" si="5"/>
        <v>6726005.0639179992</v>
      </c>
      <c r="M239" s="8"/>
    </row>
    <row r="240" spans="1:13" s="3" customFormat="1" ht="12" customHeight="1" x14ac:dyDescent="0.15">
      <c r="A240" s="69"/>
      <c r="B240" s="36"/>
      <c r="C240" s="37"/>
      <c r="D240" s="37"/>
      <c r="E240" s="37"/>
      <c r="F240" s="176" t="s">
        <v>724</v>
      </c>
      <c r="G240" s="176" t="s">
        <v>725</v>
      </c>
      <c r="H240" s="176" t="s">
        <v>726</v>
      </c>
      <c r="I240" s="176" t="s">
        <v>727</v>
      </c>
      <c r="J240" s="176" t="s">
        <v>728</v>
      </c>
      <c r="K240" s="176" t="s">
        <v>729</v>
      </c>
      <c r="L240" s="66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2" t="s">
        <v>54</v>
      </c>
      <c r="G241" s="102" t="s">
        <v>55</v>
      </c>
      <c r="H241" s="102" t="s">
        <v>56</v>
      </c>
      <c r="I241" s="102" t="s">
        <v>57</v>
      </c>
      <c r="J241" s="102" t="s">
        <v>58</v>
      </c>
      <c r="K241" s="102" t="s">
        <v>59</v>
      </c>
      <c r="L241" s="102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36802.36</v>
      </c>
      <c r="G242" s="18">
        <v>4882.03</v>
      </c>
      <c r="H242" s="18">
        <v>6300</v>
      </c>
      <c r="I242" s="18"/>
      <c r="J242" s="18"/>
      <c r="K242" s="18"/>
      <c r="L242" s="19">
        <f t="shared" ref="L242:L247" si="6">SUM(F242:K242)</f>
        <v>47984.39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14558.37</v>
      </c>
      <c r="G243" s="18">
        <v>1782.68</v>
      </c>
      <c r="H243" s="18">
        <v>1606.72</v>
      </c>
      <c r="I243" s="18">
        <v>708.1</v>
      </c>
      <c r="J243" s="18"/>
      <c r="K243" s="18"/>
      <c r="L243" s="19">
        <f t="shared" si="6"/>
        <v>18655.87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194446.8</v>
      </c>
      <c r="I247" s="18"/>
      <c r="J247" s="18">
        <v>51850</v>
      </c>
      <c r="K247" s="18"/>
      <c r="L247" s="19">
        <f t="shared" si="6"/>
        <v>246296.8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51360.73</v>
      </c>
      <c r="G248" s="41">
        <f t="shared" si="7"/>
        <v>6664.71</v>
      </c>
      <c r="H248" s="41">
        <f t="shared" si="7"/>
        <v>202353.52</v>
      </c>
      <c r="I248" s="41">
        <f t="shared" si="7"/>
        <v>708.1</v>
      </c>
      <c r="J248" s="41">
        <f t="shared" si="7"/>
        <v>51850</v>
      </c>
      <c r="K248" s="41">
        <f t="shared" si="7"/>
        <v>0</v>
      </c>
      <c r="L248" s="41">
        <f>SUM(F248:K248)</f>
        <v>312937.06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10205909.810000001</v>
      </c>
      <c r="G249" s="41">
        <f t="shared" si="8"/>
        <v>3581602.2800000003</v>
      </c>
      <c r="H249" s="41">
        <f t="shared" si="8"/>
        <v>2784223.98</v>
      </c>
      <c r="I249" s="41">
        <f t="shared" si="8"/>
        <v>1010562.2699999999</v>
      </c>
      <c r="J249" s="41">
        <f t="shared" si="8"/>
        <v>244351.07999999996</v>
      </c>
      <c r="K249" s="41">
        <f t="shared" si="8"/>
        <v>74738.67</v>
      </c>
      <c r="L249" s="41">
        <f t="shared" si="8"/>
        <v>17901388.089999996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800000</v>
      </c>
      <c r="L252" s="19">
        <f>SUM(F252:K252)</f>
        <v>800000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193462.49</v>
      </c>
      <c r="L253" s="19">
        <f>SUM(F253:K253)</f>
        <v>193462.49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993462.49</v>
      </c>
      <c r="L262" s="41">
        <f t="shared" si="9"/>
        <v>993462.49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10205909.810000001</v>
      </c>
      <c r="G263" s="42">
        <f t="shared" si="11"/>
        <v>3581602.2800000003</v>
      </c>
      <c r="H263" s="42">
        <f t="shared" si="11"/>
        <v>2784223.98</v>
      </c>
      <c r="I263" s="42">
        <f t="shared" si="11"/>
        <v>1010562.2699999999</v>
      </c>
      <c r="J263" s="42">
        <f t="shared" si="11"/>
        <v>244351.07999999996</v>
      </c>
      <c r="K263" s="42">
        <f t="shared" si="11"/>
        <v>1068201.1599999999</v>
      </c>
      <c r="L263" s="42">
        <f t="shared" si="11"/>
        <v>18894850.579999994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6" t="s">
        <v>724</v>
      </c>
      <c r="G265" s="176" t="s">
        <v>725</v>
      </c>
      <c r="H265" s="176" t="s">
        <v>726</v>
      </c>
      <c r="I265" s="176" t="s">
        <v>727</v>
      </c>
      <c r="J265" s="176" t="s">
        <v>728</v>
      </c>
      <c r="K265" s="176" t="s">
        <v>729</v>
      </c>
      <c r="M265" s="8"/>
    </row>
    <row r="266" spans="1:13" s="34" customFormat="1" ht="12" customHeight="1" x14ac:dyDescent="0.15">
      <c r="A266" s="29" t="s">
        <v>475</v>
      </c>
      <c r="F266" s="102" t="s">
        <v>54</v>
      </c>
      <c r="G266" s="102" t="s">
        <v>55</v>
      </c>
      <c r="H266" s="102" t="s">
        <v>56</v>
      </c>
      <c r="I266" s="102" t="s">
        <v>57</v>
      </c>
      <c r="J266" s="102" t="s">
        <v>58</v>
      </c>
      <c r="K266" s="102" t="s">
        <v>59</v>
      </c>
      <c r="L266" s="102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0">
        <v>42664.848120000002</v>
      </c>
      <c r="G268" s="10">
        <v>4734.1137479999998</v>
      </c>
      <c r="H268" s="10">
        <v>2851.7384999999999</v>
      </c>
      <c r="I268" s="10">
        <v>5898.2845070000003</v>
      </c>
      <c r="J268" s="10">
        <v>1200</v>
      </c>
      <c r="K268" s="10">
        <v>0</v>
      </c>
      <c r="L268" s="19">
        <f>SUM(F268:K268)</f>
        <v>57348.984874999995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0">
        <v>15552.21</v>
      </c>
      <c r="G269" s="10">
        <v>1338.722213</v>
      </c>
      <c r="H269" s="10">
        <v>7528.0596219999998</v>
      </c>
      <c r="I269" s="10">
        <v>18337.373512999999</v>
      </c>
      <c r="J269" s="10">
        <v>8145.0573449999993</v>
      </c>
      <c r="K269" s="10">
        <v>0</v>
      </c>
      <c r="L269" s="19">
        <f>SUM(F269:K269)</f>
        <v>50901.422693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0">
        <v>19253.139222999998</v>
      </c>
      <c r="G273" s="10">
        <v>8890.4418669999995</v>
      </c>
      <c r="H273" s="10">
        <v>0</v>
      </c>
      <c r="I273" s="10">
        <v>0</v>
      </c>
      <c r="J273" s="10">
        <v>0</v>
      </c>
      <c r="K273" s="10">
        <v>0</v>
      </c>
      <c r="L273" s="19">
        <f t="shared" ref="L273:L279" si="12">SUM(F273:K273)</f>
        <v>28143.58109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0">
        <v>0</v>
      </c>
      <c r="G274" s="10">
        <v>0</v>
      </c>
      <c r="H274" s="10">
        <v>500</v>
      </c>
      <c r="I274" s="10">
        <v>0</v>
      </c>
      <c r="J274" s="10">
        <v>0</v>
      </c>
      <c r="K274" s="10">
        <v>0</v>
      </c>
      <c r="L274" s="19">
        <f t="shared" si="12"/>
        <v>500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0">
        <v>0</v>
      </c>
      <c r="G277" s="10">
        <v>0</v>
      </c>
      <c r="H277" s="10">
        <v>0</v>
      </c>
      <c r="I277" s="10">
        <v>431.25786599999998</v>
      </c>
      <c r="J277" s="10">
        <v>255.069906</v>
      </c>
      <c r="K277" s="10">
        <v>0</v>
      </c>
      <c r="L277" s="19">
        <f t="shared" si="12"/>
        <v>686.32777199999998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77470.197343000007</v>
      </c>
      <c r="G282" s="42">
        <f t="shared" si="13"/>
        <v>14963.277827999998</v>
      </c>
      <c r="H282" s="42">
        <f t="shared" si="13"/>
        <v>10879.798122</v>
      </c>
      <c r="I282" s="42">
        <f t="shared" si="13"/>
        <v>24666.915885999999</v>
      </c>
      <c r="J282" s="42">
        <f t="shared" si="13"/>
        <v>9600.1272509999999</v>
      </c>
      <c r="K282" s="42">
        <f t="shared" si="13"/>
        <v>0</v>
      </c>
      <c r="L282" s="41">
        <f t="shared" si="13"/>
        <v>137580.31642999998</v>
      </c>
      <c r="M282" s="8"/>
    </row>
    <row r="283" spans="1:13" s="3" customFormat="1" ht="12" customHeight="1" x14ac:dyDescent="0.2">
      <c r="A283" s="69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6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6" t="s">
        <v>724</v>
      </c>
      <c r="G284" s="176" t="s">
        <v>725</v>
      </c>
      <c r="H284" s="176" t="s">
        <v>726</v>
      </c>
      <c r="I284" s="176" t="s">
        <v>727</v>
      </c>
      <c r="J284" s="176" t="s">
        <v>728</v>
      </c>
      <c r="K284" s="176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2" t="s">
        <v>54</v>
      </c>
      <c r="G285" s="102" t="s">
        <v>55</v>
      </c>
      <c r="H285" s="102" t="s">
        <v>56</v>
      </c>
      <c r="I285" s="102" t="s">
        <v>57</v>
      </c>
      <c r="J285" s="102" t="s">
        <v>58</v>
      </c>
      <c r="K285" s="102" t="s">
        <v>59</v>
      </c>
      <c r="L285" s="102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0">
        <v>52632.006719999998</v>
      </c>
      <c r="G287" s="10">
        <v>7583.0516879999996</v>
      </c>
      <c r="H287" s="10">
        <v>2772.0810000000001</v>
      </c>
      <c r="I287" s="10">
        <v>416.187342</v>
      </c>
      <c r="J287" s="10">
        <v>0</v>
      </c>
      <c r="K287" s="10">
        <v>0</v>
      </c>
      <c r="L287" s="19">
        <f>SUM(F287:K287)</f>
        <v>63403.326749999993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0">
        <v>94696.35</v>
      </c>
      <c r="G288" s="10">
        <v>30041.925868999999</v>
      </c>
      <c r="H288" s="10">
        <v>28118.762486</v>
      </c>
      <c r="I288" s="10">
        <v>16270.682768999999</v>
      </c>
      <c r="J288" s="10">
        <v>5496.2669850000002</v>
      </c>
      <c r="K288" s="10">
        <v>0</v>
      </c>
      <c r="L288" s="19">
        <f>SUM(F288:K288)</f>
        <v>174623.988109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0">
        <v>18715.342037999999</v>
      </c>
      <c r="G292" s="10">
        <v>8642.1055020000003</v>
      </c>
      <c r="H292" s="10">
        <v>0</v>
      </c>
      <c r="I292" s="10">
        <v>0</v>
      </c>
      <c r="J292" s="10">
        <v>0</v>
      </c>
      <c r="K292" s="10">
        <v>0</v>
      </c>
      <c r="L292" s="19">
        <f t="shared" ref="L292:L298" si="14">SUM(F292:K292)</f>
        <v>27357.447540000001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0">
        <v>0</v>
      </c>
      <c r="G296" s="10">
        <v>0</v>
      </c>
      <c r="H296" s="10">
        <v>0</v>
      </c>
      <c r="I296" s="10">
        <v>379.94426800000002</v>
      </c>
      <c r="J296" s="10">
        <v>224.72018800000001</v>
      </c>
      <c r="K296" s="10">
        <v>0</v>
      </c>
      <c r="L296" s="19">
        <f t="shared" si="14"/>
        <v>604.66445599999997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166043.69875800001</v>
      </c>
      <c r="G301" s="42">
        <f t="shared" si="15"/>
        <v>46267.083058999997</v>
      </c>
      <c r="H301" s="42">
        <f t="shared" si="15"/>
        <v>30890.843485999998</v>
      </c>
      <c r="I301" s="42">
        <f t="shared" si="15"/>
        <v>17066.814378999999</v>
      </c>
      <c r="J301" s="42">
        <f t="shared" si="15"/>
        <v>5720.9871730000004</v>
      </c>
      <c r="K301" s="42">
        <f t="shared" si="15"/>
        <v>0</v>
      </c>
      <c r="L301" s="41">
        <f t="shared" si="15"/>
        <v>265989.42685500003</v>
      </c>
      <c r="M301" s="8"/>
    </row>
    <row r="302" spans="1:13" s="3" customFormat="1" ht="12" customHeight="1" x14ac:dyDescent="0.2">
      <c r="A302" s="69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6"/>
      <c r="M302" s="8"/>
    </row>
    <row r="303" spans="1:13" ht="12" customHeight="1" x14ac:dyDescent="0.2">
      <c r="A303" s="29" t="s">
        <v>490</v>
      </c>
      <c r="F303" s="176" t="s">
        <v>724</v>
      </c>
      <c r="G303" s="176" t="s">
        <v>725</v>
      </c>
      <c r="H303" s="176" t="s">
        <v>726</v>
      </c>
      <c r="I303" s="176" t="s">
        <v>727</v>
      </c>
      <c r="J303" s="176" t="s">
        <v>728</v>
      </c>
      <c r="K303" s="176" t="s">
        <v>729</v>
      </c>
    </row>
    <row r="304" spans="1:13" s="3" customFormat="1" ht="12" customHeight="1" x14ac:dyDescent="0.15">
      <c r="A304" s="29" t="s">
        <v>477</v>
      </c>
      <c r="F304" s="102" t="s">
        <v>54</v>
      </c>
      <c r="G304" s="102" t="s">
        <v>55</v>
      </c>
      <c r="H304" s="102" t="s">
        <v>56</v>
      </c>
      <c r="I304" s="102" t="s">
        <v>57</v>
      </c>
      <c r="J304" s="102" t="s">
        <v>58</v>
      </c>
      <c r="K304" s="102" t="s">
        <v>59</v>
      </c>
      <c r="L304" s="102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0">
        <v>23303.695159999999</v>
      </c>
      <c r="G306" s="10">
        <v>2757.9245639999999</v>
      </c>
      <c r="H306" s="10">
        <v>3061.1804999999999</v>
      </c>
      <c r="I306" s="10">
        <v>364.55815100000001</v>
      </c>
      <c r="J306" s="10">
        <v>0</v>
      </c>
      <c r="K306" s="10">
        <v>500</v>
      </c>
      <c r="L306" s="19">
        <f>SUM(F306:K306)</f>
        <v>29987.358375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0">
        <v>80885.119999999995</v>
      </c>
      <c r="G307" s="10">
        <v>28016.571918000001</v>
      </c>
      <c r="H307" s="10">
        <v>4542.7378920000001</v>
      </c>
      <c r="I307" s="10">
        <v>14283.833718</v>
      </c>
      <c r="J307" s="10">
        <v>5203.1056699999999</v>
      </c>
      <c r="K307" s="10">
        <v>0</v>
      </c>
      <c r="L307" s="19">
        <f>SUM(F307:K307)</f>
        <v>132931.369198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0">
        <v>18641.748738999999</v>
      </c>
      <c r="G311" s="10">
        <v>8608.1226310000002</v>
      </c>
      <c r="H311" s="10">
        <v>0</v>
      </c>
      <c r="I311" s="10">
        <v>0</v>
      </c>
      <c r="J311" s="10">
        <v>0</v>
      </c>
      <c r="K311" s="10">
        <v>0</v>
      </c>
      <c r="L311" s="19">
        <f t="shared" ref="L311:L317" si="16">SUM(F311:K311)</f>
        <v>27249.871370000001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0">
        <v>0</v>
      </c>
      <c r="G315" s="10">
        <v>0</v>
      </c>
      <c r="H315" s="10">
        <v>0</v>
      </c>
      <c r="I315" s="10">
        <v>431.25786599999998</v>
      </c>
      <c r="J315" s="10">
        <v>255.069906</v>
      </c>
      <c r="K315" s="10">
        <v>0</v>
      </c>
      <c r="L315" s="19">
        <f t="shared" si="16"/>
        <v>686.32777199999998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122830.563899</v>
      </c>
      <c r="G320" s="42">
        <f t="shared" si="17"/>
        <v>39382.619113000001</v>
      </c>
      <c r="H320" s="42">
        <f t="shared" si="17"/>
        <v>7603.9183919999996</v>
      </c>
      <c r="I320" s="42">
        <f t="shared" si="17"/>
        <v>15079.649734999999</v>
      </c>
      <c r="J320" s="42">
        <f t="shared" si="17"/>
        <v>5458.1755759999996</v>
      </c>
      <c r="K320" s="42">
        <f t="shared" si="17"/>
        <v>500</v>
      </c>
      <c r="L320" s="41">
        <f t="shared" si="17"/>
        <v>190854.92671500001</v>
      </c>
      <c r="M320" s="8"/>
    </row>
    <row r="321" spans="1:13" s="3" customFormat="1" ht="12" customHeight="1" x14ac:dyDescent="0.2">
      <c r="A321" s="69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6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6" t="s">
        <v>724</v>
      </c>
      <c r="G322" s="176" t="s">
        <v>725</v>
      </c>
      <c r="H322" s="176" t="s">
        <v>726</v>
      </c>
      <c r="I322" s="176" t="s">
        <v>727</v>
      </c>
      <c r="J322" s="176" t="s">
        <v>728</v>
      </c>
      <c r="K322" s="176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2" t="s">
        <v>54</v>
      </c>
      <c r="G323" s="102" t="s">
        <v>55</v>
      </c>
      <c r="H323" s="102" t="s">
        <v>56</v>
      </c>
      <c r="I323" s="102" t="s">
        <v>57</v>
      </c>
      <c r="J323" s="102" t="s">
        <v>58</v>
      </c>
      <c r="K323" s="102" t="s">
        <v>59</v>
      </c>
      <c r="L323" s="102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366344.46</v>
      </c>
      <c r="G330" s="41">
        <f t="shared" si="20"/>
        <v>100612.98</v>
      </c>
      <c r="H330" s="41">
        <f t="shared" si="20"/>
        <v>49374.559999999998</v>
      </c>
      <c r="I330" s="41">
        <f t="shared" si="20"/>
        <v>56813.38</v>
      </c>
      <c r="J330" s="41">
        <f t="shared" si="20"/>
        <v>20779.29</v>
      </c>
      <c r="K330" s="41">
        <f t="shared" si="20"/>
        <v>500</v>
      </c>
      <c r="L330" s="41">
        <f t="shared" si="20"/>
        <v>594424.66999999993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366344.46</v>
      </c>
      <c r="G344" s="41">
        <f>G330</f>
        <v>100612.98</v>
      </c>
      <c r="H344" s="41">
        <f>H330</f>
        <v>49374.559999999998</v>
      </c>
      <c r="I344" s="41">
        <f>I330</f>
        <v>56813.38</v>
      </c>
      <c r="J344" s="41">
        <f>J330</f>
        <v>20779.29</v>
      </c>
      <c r="K344" s="47">
        <f>K330+K343</f>
        <v>500</v>
      </c>
      <c r="L344" s="41">
        <f>L330+L343</f>
        <v>594424.66999999993</v>
      </c>
      <c r="M344" s="8"/>
    </row>
    <row r="345" spans="1:43" s="3" customFormat="1" ht="12" customHeight="1" x14ac:dyDescent="0.15">
      <c r="A345" s="69"/>
      <c r="B345" s="37"/>
      <c r="C345" s="23"/>
      <c r="D345" s="23"/>
      <c r="E345" s="23"/>
      <c r="F345" s="66"/>
      <c r="G345" s="66"/>
      <c r="H345" s="66"/>
      <c r="I345" s="66"/>
      <c r="J345" s="66"/>
      <c r="K345" s="56"/>
      <c r="L345" s="66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6" t="s">
        <v>724</v>
      </c>
      <c r="G346" s="176" t="s">
        <v>725</v>
      </c>
      <c r="H346" s="176" t="s">
        <v>726</v>
      </c>
      <c r="I346" s="176" t="s">
        <v>727</v>
      </c>
      <c r="J346" s="176" t="s">
        <v>728</v>
      </c>
      <c r="K346" s="176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2" t="s">
        <v>54</v>
      </c>
      <c r="G347" s="102" t="s">
        <v>55</v>
      </c>
      <c r="H347" s="102" t="s">
        <v>56</v>
      </c>
      <c r="I347" s="102" t="s">
        <v>57</v>
      </c>
      <c r="J347" s="102" t="s">
        <v>58</v>
      </c>
      <c r="K347" s="102" t="s">
        <v>59</v>
      </c>
      <c r="L347" s="102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0">
        <v>60791.850184000003</v>
      </c>
      <c r="G350" s="10">
        <v>8515.126307999999</v>
      </c>
      <c r="H350" s="10">
        <v>3079.6503789999997</v>
      </c>
      <c r="I350" s="10">
        <v>62305.230528</v>
      </c>
      <c r="J350" s="10">
        <v>1436.75</v>
      </c>
      <c r="K350" s="10">
        <v>523.70361500000001</v>
      </c>
      <c r="L350" s="13">
        <f>SUM(F350:K350)</f>
        <v>136652.31101400001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0">
        <v>59928.354004000001</v>
      </c>
      <c r="G351" s="10">
        <v>8345.5355720000007</v>
      </c>
      <c r="H351" s="10">
        <v>2623.160382</v>
      </c>
      <c r="I351" s="10">
        <v>102073.41727199999</v>
      </c>
      <c r="J351" s="10">
        <v>572.79999999999995</v>
      </c>
      <c r="K351" s="10">
        <v>387.00519000000003</v>
      </c>
      <c r="L351" s="19">
        <f>SUM(F351:K351)</f>
        <v>173930.27241999999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0">
        <v>81181.625811999998</v>
      </c>
      <c r="G352" s="10">
        <v>25753.428119999997</v>
      </c>
      <c r="H352" s="10">
        <v>5065.7392389999995</v>
      </c>
      <c r="I352" s="10">
        <v>125343.69219999999</v>
      </c>
      <c r="J352" s="10">
        <v>443.36</v>
      </c>
      <c r="K352" s="10">
        <v>437.491195</v>
      </c>
      <c r="L352" s="19">
        <f>SUM(F352:K352)</f>
        <v>238225.33656599998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201901.83000000002</v>
      </c>
      <c r="G354" s="47">
        <f t="shared" si="22"/>
        <v>42614.09</v>
      </c>
      <c r="H354" s="47">
        <f t="shared" si="22"/>
        <v>10768.55</v>
      </c>
      <c r="I354" s="47">
        <f t="shared" si="22"/>
        <v>289722.33999999997</v>
      </c>
      <c r="J354" s="47">
        <f t="shared" si="22"/>
        <v>2452.91</v>
      </c>
      <c r="K354" s="47">
        <f t="shared" si="22"/>
        <v>1348.2</v>
      </c>
      <c r="L354" s="47">
        <f t="shared" si="22"/>
        <v>548807.92000000004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0">
        <v>57515.812263</v>
      </c>
      <c r="G359" s="10">
        <v>98094.52627799999</v>
      </c>
      <c r="H359" s="10">
        <v>120336.871459</v>
      </c>
      <c r="I359" s="56">
        <f>SUM(F359:H359)</f>
        <v>275947.20999999996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270">
        <v>4789.4182650000002</v>
      </c>
      <c r="G360" s="270">
        <v>3978.8909940000012</v>
      </c>
      <c r="H360" s="270">
        <v>5006.8207409999886</v>
      </c>
      <c r="I360" s="56">
        <f>SUM(F360:H360)</f>
        <v>13775.12999999999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62305.230528</v>
      </c>
      <c r="G361" s="47">
        <f>SUM(G359:G360)</f>
        <v>102073.41727199999</v>
      </c>
      <c r="H361" s="47">
        <f>SUM(H359:H360)</f>
        <v>125343.69219999999</v>
      </c>
      <c r="I361" s="47">
        <f>SUM(I359:I360)</f>
        <v>289722.33999999997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3"/>
      <c r="G362" s="63"/>
      <c r="H362" s="63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6" t="s">
        <v>724</v>
      </c>
      <c r="G363" s="176" t="s">
        <v>725</v>
      </c>
      <c r="H363" s="176" t="s">
        <v>726</v>
      </c>
      <c r="I363" s="176" t="s">
        <v>727</v>
      </c>
      <c r="J363" s="176" t="s">
        <v>728</v>
      </c>
      <c r="K363" s="176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2" t="s">
        <v>54</v>
      </c>
      <c r="G364" s="102" t="s">
        <v>55</v>
      </c>
      <c r="H364" s="102" t="s">
        <v>56</v>
      </c>
      <c r="I364" s="102" t="s">
        <v>57</v>
      </c>
      <c r="J364" s="102" t="s">
        <v>58</v>
      </c>
      <c r="K364" s="102" t="s">
        <v>59</v>
      </c>
      <c r="L364" s="102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8">
        <f>SUM(F366:F373)</f>
        <v>0</v>
      </c>
      <c r="G374" s="138">
        <f t="shared" ref="G374:L374" si="24">SUM(G366:G373)</f>
        <v>0</v>
      </c>
      <c r="H374" s="138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5"/>
      <c r="G375" s="65"/>
      <c r="H375" s="65"/>
      <c r="I375" s="66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5"/>
      <c r="C376" s="75"/>
      <c r="D376" s="75"/>
      <c r="E376" s="75"/>
      <c r="F376" s="65"/>
      <c r="G376" s="65"/>
      <c r="H376" s="65"/>
      <c r="I376" s="66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6" t="s">
        <v>364</v>
      </c>
      <c r="M378" s="8"/>
    </row>
    <row r="379" spans="1:13" s="3" customFormat="1" ht="12" customHeight="1" x14ac:dyDescent="0.15">
      <c r="A379" s="78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8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8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8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8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8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59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8">
        <f>SUM(F379:F384)</f>
        <v>0</v>
      </c>
      <c r="G385" s="138">
        <f>SUM(G379:G384)</f>
        <v>0</v>
      </c>
      <c r="H385" s="138">
        <f>SUM(H379:H384)</f>
        <v>0</v>
      </c>
      <c r="I385" s="64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7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8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8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26.14</v>
      </c>
      <c r="I388" s="18"/>
      <c r="J388" s="24" t="s">
        <v>312</v>
      </c>
      <c r="K388" s="24" t="s">
        <v>312</v>
      </c>
      <c r="L388" s="56">
        <f t="shared" si="26"/>
        <v>26.14</v>
      </c>
      <c r="M388" s="8"/>
    </row>
    <row r="389" spans="1:13" s="3" customFormat="1" ht="12" customHeight="1" x14ac:dyDescent="0.15">
      <c r="A389" s="78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51.1</v>
      </c>
      <c r="I389" s="18"/>
      <c r="J389" s="24" t="s">
        <v>312</v>
      </c>
      <c r="K389" s="24" t="s">
        <v>312</v>
      </c>
      <c r="L389" s="56">
        <f t="shared" si="26"/>
        <v>51.1</v>
      </c>
      <c r="M389" s="8"/>
    </row>
    <row r="390" spans="1:13" s="3" customFormat="1" ht="12" customHeight="1" x14ac:dyDescent="0.15">
      <c r="A390" s="78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8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8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59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77.240000000000009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77.240000000000009</v>
      </c>
      <c r="M393" s="8"/>
    </row>
    <row r="394" spans="1:13" s="3" customFormat="1" ht="12" customHeight="1" x14ac:dyDescent="0.15">
      <c r="A394" s="77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09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09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09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09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59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7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77.240000000000009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77.240000000000009</v>
      </c>
      <c r="M400" s="8"/>
    </row>
    <row r="401" spans="1:21" s="3" customFormat="1" ht="12" customHeight="1" x14ac:dyDescent="0.15">
      <c r="A401" s="77"/>
      <c r="B401" s="2"/>
      <c r="C401" s="6"/>
      <c r="D401" s="6"/>
      <c r="E401" s="6"/>
      <c r="F401" s="176" t="s">
        <v>724</v>
      </c>
      <c r="G401" s="176" t="s">
        <v>725</v>
      </c>
      <c r="H401" s="176" t="s">
        <v>726</v>
      </c>
      <c r="I401" s="176" t="s">
        <v>727</v>
      </c>
      <c r="J401" s="176" t="s">
        <v>728</v>
      </c>
      <c r="K401" s="176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5"/>
      <c r="C402" s="75"/>
      <c r="D402" s="75"/>
      <c r="E402" s="75"/>
      <c r="F402" s="65"/>
      <c r="G402" s="16" t="s">
        <v>408</v>
      </c>
      <c r="H402" s="16" t="s">
        <v>409</v>
      </c>
      <c r="I402" s="66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6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8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8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8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8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8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8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59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8">
        <f t="shared" ref="F411:L411" si="28">SUM(F405:F410)</f>
        <v>0</v>
      </c>
      <c r="G411" s="138">
        <f t="shared" si="28"/>
        <v>0</v>
      </c>
      <c r="H411" s="138">
        <f t="shared" si="28"/>
        <v>0</v>
      </c>
      <c r="I411" s="138">
        <f t="shared" si="28"/>
        <v>0</v>
      </c>
      <c r="J411" s="138">
        <f t="shared" si="28"/>
        <v>0</v>
      </c>
      <c r="K411" s="138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7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8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8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8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8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8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8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59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7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09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09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7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09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7"/>
    </row>
    <row r="424" spans="1:21" s="58" customFormat="1" ht="12" customHeight="1" thickBot="1" x14ac:dyDescent="0.2">
      <c r="A424" s="109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7"/>
    </row>
    <row r="425" spans="1:21" ht="12" customHeight="1" thickTop="1" thickBot="1" x14ac:dyDescent="0.25">
      <c r="A425" s="159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7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7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154496.51999999999</v>
      </c>
      <c r="H431" s="18"/>
      <c r="I431" s="56">
        <f t="shared" ref="I431:I437" si="33">SUM(F431:H431)</f>
        <v>154496.51999999999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8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8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8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8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8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8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69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154496.51999999999</v>
      </c>
      <c r="H438" s="13">
        <f>SUM(H431:H437)</f>
        <v>0</v>
      </c>
      <c r="I438" s="13">
        <f>SUM(I431:I437)</f>
        <v>154496.51999999999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8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8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8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8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3" t="s">
        <v>447</v>
      </c>
      <c r="B444" s="72">
        <v>18</v>
      </c>
      <c r="C444" s="70">
        <v>13</v>
      </c>
      <c r="D444" s="2" t="s">
        <v>456</v>
      </c>
      <c r="E444" s="70"/>
      <c r="F444" s="71">
        <f>SUM(F440:F443)</f>
        <v>0</v>
      </c>
      <c r="G444" s="71">
        <f>SUM(G440:G443)</f>
        <v>0</v>
      </c>
      <c r="H444" s="71">
        <f>SUM(H440:H443)</f>
        <v>0</v>
      </c>
      <c r="I444" s="71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89" t="s">
        <v>8</v>
      </c>
      <c r="B445" s="36"/>
      <c r="C445" s="74"/>
      <c r="D445" s="74"/>
      <c r="E445" s="74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154496.51999999999</v>
      </c>
      <c r="H449" s="18"/>
      <c r="I449" s="56">
        <f>SUM(F449:H449)</f>
        <v>154496.51999999999</v>
      </c>
      <c r="J449" s="24" t="s">
        <v>312</v>
      </c>
      <c r="K449" s="24" t="s">
        <v>312</v>
      </c>
      <c r="L449" s="24" t="s">
        <v>312</v>
      </c>
      <c r="M449" s="67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0">
        <v>18</v>
      </c>
      <c r="C450" s="51">
        <v>18</v>
      </c>
      <c r="D450" s="48" t="s">
        <v>456</v>
      </c>
      <c r="E450" s="51"/>
      <c r="F450" s="82">
        <f>SUM(F446:F449)</f>
        <v>0</v>
      </c>
      <c r="G450" s="82">
        <f>SUM(G446:G449)</f>
        <v>154496.51999999999</v>
      </c>
      <c r="H450" s="82">
        <f>SUM(H446:H449)</f>
        <v>0</v>
      </c>
      <c r="I450" s="82">
        <f>SUM(I446:I449)</f>
        <v>154496.51999999999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0" t="s">
        <v>448</v>
      </c>
      <c r="B451" s="44">
        <v>18</v>
      </c>
      <c r="C451" s="81">
        <v>19</v>
      </c>
      <c r="D451" s="156" t="s">
        <v>456</v>
      </c>
      <c r="E451" s="81"/>
      <c r="F451" s="42">
        <f>F444+F450</f>
        <v>0</v>
      </c>
      <c r="G451" s="42">
        <f>G444+G450</f>
        <v>154496.51999999999</v>
      </c>
      <c r="H451" s="42">
        <f>H444+H450</f>
        <v>0</v>
      </c>
      <c r="I451" s="42">
        <f>I444+I450</f>
        <v>154496.51999999999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1"/>
      <c r="B452" s="74"/>
      <c r="C452" s="79"/>
      <c r="D452" s="79"/>
      <c r="E452" s="79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1" t="s">
        <v>9</v>
      </c>
      <c r="B453" s="74"/>
      <c r="C453" s="79"/>
      <c r="D453" s="79"/>
      <c r="E453" s="79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1"/>
      <c r="B454" s="74"/>
      <c r="C454" s="79"/>
      <c r="D454" s="79"/>
      <c r="E454" s="79"/>
      <c r="F454" s="83" t="s">
        <v>10</v>
      </c>
      <c r="G454" s="83" t="s">
        <v>11</v>
      </c>
      <c r="H454" s="83" t="s">
        <v>12</v>
      </c>
      <c r="I454" s="83" t="s">
        <v>13</v>
      </c>
      <c r="J454" s="83" t="s">
        <v>14</v>
      </c>
      <c r="K454" s="53"/>
      <c r="L454" s="53"/>
    </row>
    <row r="455" spans="1:23" s="52" customFormat="1" ht="12" customHeight="1" x14ac:dyDescent="0.2">
      <c r="A455" s="188" t="s">
        <v>883</v>
      </c>
      <c r="B455" s="104">
        <v>19</v>
      </c>
      <c r="C455" s="110">
        <v>1</v>
      </c>
      <c r="D455" s="2" t="s">
        <v>456</v>
      </c>
      <c r="E455" s="110"/>
      <c r="F455" s="18">
        <v>790884.14</v>
      </c>
      <c r="G455" s="18">
        <v>106079.45</v>
      </c>
      <c r="H455" s="18">
        <v>0</v>
      </c>
      <c r="I455" s="18"/>
      <c r="J455" s="18">
        <v>154419.28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3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2" t="s">
        <v>644</v>
      </c>
      <c r="B458" s="74">
        <v>19</v>
      </c>
      <c r="C458" s="79">
        <v>2</v>
      </c>
      <c r="D458" s="2" t="s">
        <v>456</v>
      </c>
      <c r="E458" s="79"/>
      <c r="F458" s="18">
        <v>19104924.039999999</v>
      </c>
      <c r="G458" s="18">
        <v>536335.57999999996</v>
      </c>
      <c r="H458" s="18">
        <v>594424.67000000004</v>
      </c>
      <c r="I458" s="18"/>
      <c r="J458" s="18">
        <v>77.239999999999995</v>
      </c>
      <c r="K458" s="24" t="s">
        <v>312</v>
      </c>
      <c r="L458" s="24" t="s">
        <v>312</v>
      </c>
    </row>
    <row r="459" spans="1:23" s="52" customFormat="1" ht="12" customHeight="1" x14ac:dyDescent="0.2">
      <c r="A459" s="92" t="s">
        <v>645</v>
      </c>
      <c r="B459" s="74">
        <v>19</v>
      </c>
      <c r="C459" s="79">
        <v>3</v>
      </c>
      <c r="D459" s="2" t="s">
        <v>456</v>
      </c>
      <c r="E459" s="79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1" t="s">
        <v>449</v>
      </c>
      <c r="B460" s="74">
        <v>19</v>
      </c>
      <c r="C460" s="79">
        <v>4</v>
      </c>
      <c r="D460" s="2" t="s">
        <v>456</v>
      </c>
      <c r="E460" s="79"/>
      <c r="F460" s="53">
        <f>SUM(F458:F459)</f>
        <v>19104924.039999999</v>
      </c>
      <c r="G460" s="53">
        <f>SUM(G458:G459)</f>
        <v>536335.57999999996</v>
      </c>
      <c r="H460" s="53">
        <f>SUM(H458:H459)</f>
        <v>594424.67000000004</v>
      </c>
      <c r="I460" s="53">
        <f>SUM(I458:I459)</f>
        <v>0</v>
      </c>
      <c r="J460" s="53">
        <f>SUM(J458:J459)</f>
        <v>77.239999999999995</v>
      </c>
      <c r="K460" s="24" t="s">
        <v>312</v>
      </c>
      <c r="L460" s="24" t="s">
        <v>312</v>
      </c>
    </row>
    <row r="461" spans="1:23" s="52" customFormat="1" ht="12" customHeight="1" x14ac:dyDescent="0.2">
      <c r="A461" s="93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2" t="s">
        <v>646</v>
      </c>
      <c r="B462" s="74">
        <v>19</v>
      </c>
      <c r="C462" s="79">
        <v>5</v>
      </c>
      <c r="D462" s="2" t="s">
        <v>456</v>
      </c>
      <c r="E462" s="79"/>
      <c r="F462" s="18">
        <v>18894850.579999994</v>
      </c>
      <c r="G462" s="18">
        <v>548807.92000000004</v>
      </c>
      <c r="H462" s="18">
        <v>594424.67000000004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2" t="s">
        <v>647</v>
      </c>
      <c r="B463" s="74">
        <v>19</v>
      </c>
      <c r="C463" s="79">
        <v>6</v>
      </c>
      <c r="D463" s="2" t="s">
        <v>456</v>
      </c>
      <c r="E463" s="79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1" t="s">
        <v>450</v>
      </c>
      <c r="B464" s="74">
        <v>19</v>
      </c>
      <c r="C464" s="79">
        <v>7</v>
      </c>
      <c r="D464" s="2" t="s">
        <v>456</v>
      </c>
      <c r="E464" s="79"/>
      <c r="F464" s="53">
        <f>SUM(F462:F463)</f>
        <v>18894850.579999994</v>
      </c>
      <c r="G464" s="53">
        <f>SUM(G462:G463)</f>
        <v>548807.92000000004</v>
      </c>
      <c r="H464" s="53">
        <f>SUM(H462:H463)</f>
        <v>594424.67000000004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89" t="s">
        <v>884</v>
      </c>
      <c r="B466" s="74">
        <v>19</v>
      </c>
      <c r="C466" s="114">
        <v>8</v>
      </c>
      <c r="D466" s="2" t="s">
        <v>456</v>
      </c>
      <c r="E466" s="114"/>
      <c r="F466" s="53">
        <f>(F455+F460)- F464</f>
        <v>1000957.6000000052</v>
      </c>
      <c r="G466" s="53">
        <f>(G455+G460)- G464</f>
        <v>93607.10999999987</v>
      </c>
      <c r="H466" s="53">
        <f>(H455+H460)- H464</f>
        <v>0</v>
      </c>
      <c r="I466" s="53">
        <f>(I455+I460)- I464</f>
        <v>0</v>
      </c>
      <c r="J466" s="53">
        <f>(J455+J460)- J464</f>
        <v>154496.51999999999</v>
      </c>
      <c r="K466" s="24" t="s">
        <v>312</v>
      </c>
      <c r="L466" s="24" t="s">
        <v>312</v>
      </c>
    </row>
    <row r="467" spans="1:12" s="52" customFormat="1" ht="12" customHeight="1" x14ac:dyDescent="0.2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</row>
    <row r="468" spans="1:12" s="52" customFormat="1" ht="12" customHeight="1" x14ac:dyDescent="0.2">
      <c r="A468" s="94" t="s">
        <v>691</v>
      </c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</row>
    <row r="469" spans="1:12" s="52" customFormat="1" ht="12" customHeight="1" x14ac:dyDescent="0.2">
      <c r="A469" s="94" t="s">
        <v>730</v>
      </c>
      <c r="B469" s="111"/>
      <c r="C469" s="111"/>
      <c r="D469" s="111"/>
      <c r="E469" s="111"/>
      <c r="F469" s="111"/>
      <c r="G469" s="111"/>
      <c r="H469" s="111"/>
      <c r="I469" s="111" t="s">
        <v>17</v>
      </c>
      <c r="J469" s="111"/>
      <c r="K469" s="94"/>
      <c r="L469" s="94"/>
    </row>
    <row r="470" spans="1:12" s="52" customFormat="1" ht="12" customHeight="1" x14ac:dyDescent="0.2">
      <c r="A470" s="18"/>
      <c r="B470" s="111"/>
      <c r="C470" s="111"/>
      <c r="D470" s="111"/>
      <c r="E470" s="111"/>
      <c r="F470" s="111"/>
      <c r="G470" s="111"/>
      <c r="H470" s="111"/>
      <c r="I470" s="111" t="s">
        <v>425</v>
      </c>
      <c r="J470" s="111"/>
      <c r="K470" s="94"/>
      <c r="L470" s="94"/>
    </row>
    <row r="471" spans="1:12" s="52" customFormat="1" ht="12" customHeight="1" x14ac:dyDescent="0.2">
      <c r="A471" s="174"/>
      <c r="B471" s="111"/>
      <c r="C471" s="111"/>
      <c r="D471" s="111"/>
      <c r="E471" s="111"/>
      <c r="F471" s="111"/>
      <c r="G471" s="111"/>
      <c r="H471" s="111"/>
      <c r="I471" s="111" t="s">
        <v>684</v>
      </c>
      <c r="J471" s="111"/>
      <c r="K471" s="94"/>
      <c r="L471" s="94"/>
    </row>
    <row r="472" spans="1:12" s="52" customFormat="1" ht="12" customHeight="1" x14ac:dyDescent="0.2">
      <c r="A472" s="94" t="s">
        <v>731</v>
      </c>
      <c r="B472" s="111"/>
      <c r="C472" s="111"/>
      <c r="D472" s="111"/>
      <c r="E472" s="111"/>
      <c r="F472" s="111"/>
      <c r="G472" s="111"/>
      <c r="H472" s="111"/>
      <c r="I472" s="111" t="s">
        <v>497</v>
      </c>
      <c r="J472" s="111"/>
      <c r="K472" s="94"/>
      <c r="L472" s="94"/>
    </row>
    <row r="473" spans="1:12" s="52" customFormat="1" ht="12" customHeight="1" x14ac:dyDescent="0.2">
      <c r="A473" s="173"/>
      <c r="B473" s="111"/>
      <c r="C473" s="111"/>
      <c r="D473" s="111"/>
      <c r="E473" s="111"/>
      <c r="F473" s="111"/>
      <c r="G473" s="111"/>
      <c r="H473" s="111"/>
      <c r="I473" s="111" t="s">
        <v>18</v>
      </c>
      <c r="J473" s="111"/>
      <c r="K473" s="94"/>
      <c r="L473" s="94"/>
    </row>
    <row r="474" spans="1:12" s="52" customFormat="1" ht="12" customHeight="1" x14ac:dyDescent="0.2">
      <c r="A474" s="173"/>
      <c r="B474" s="111"/>
      <c r="C474" s="111"/>
      <c r="D474" s="111"/>
      <c r="E474" s="111"/>
      <c r="F474" s="111"/>
      <c r="G474" s="111"/>
      <c r="H474" s="111"/>
      <c r="I474" s="111" t="s">
        <v>498</v>
      </c>
      <c r="J474" s="111"/>
      <c r="K474" s="94"/>
      <c r="L474" s="94"/>
    </row>
    <row r="475" spans="1:12" s="52" customFormat="1" ht="12" customHeight="1" x14ac:dyDescent="0.2">
      <c r="A475" s="173"/>
      <c r="B475" s="111"/>
      <c r="C475" s="111"/>
      <c r="D475" s="111"/>
      <c r="E475" s="111"/>
      <c r="F475" s="111"/>
      <c r="G475" s="111"/>
      <c r="H475" s="111"/>
      <c r="I475" s="111" t="s">
        <v>499</v>
      </c>
      <c r="J475" s="111"/>
      <c r="K475" s="94"/>
      <c r="L475" s="94"/>
    </row>
    <row r="476" spans="1:12" s="52" customFormat="1" ht="12" customHeight="1" x14ac:dyDescent="0.2">
      <c r="A476" s="22"/>
      <c r="B476" s="111"/>
      <c r="C476" s="111"/>
      <c r="D476" s="111"/>
      <c r="E476" s="111"/>
      <c r="F476" s="111"/>
      <c r="G476" s="111"/>
      <c r="H476" s="111"/>
      <c r="I476" s="111"/>
      <c r="J476" s="111"/>
      <c r="K476" s="94"/>
      <c r="L476" s="94"/>
    </row>
    <row r="477" spans="1:12" s="52" customFormat="1" ht="12" customHeight="1" x14ac:dyDescent="0.2">
      <c r="A477" s="95" t="s">
        <v>19</v>
      </c>
      <c r="B477" s="104"/>
      <c r="C477" s="114"/>
      <c r="D477" s="114"/>
      <c r="E477" s="114"/>
      <c r="F477" s="115"/>
      <c r="G477" s="115"/>
      <c r="H477" s="115"/>
      <c r="I477" s="115"/>
      <c r="J477" s="115"/>
      <c r="K477" s="115"/>
      <c r="L477" s="115"/>
    </row>
    <row r="478" spans="1:12" s="52" customFormat="1" ht="12" customHeight="1" x14ac:dyDescent="0.2">
      <c r="A478" s="190" t="s">
        <v>885</v>
      </c>
      <c r="B478" s="104"/>
      <c r="C478" s="114"/>
      <c r="D478" s="114"/>
      <c r="E478" s="114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5"/>
    </row>
    <row r="479" spans="1:12" s="52" customFormat="1" ht="12" customHeight="1" x14ac:dyDescent="0.2">
      <c r="A479" s="95" t="s">
        <v>21</v>
      </c>
      <c r="B479" s="104"/>
      <c r="C479" s="114"/>
      <c r="D479" s="114"/>
      <c r="E479" s="114"/>
      <c r="F479" s="116" t="s">
        <v>22</v>
      </c>
      <c r="G479" s="116" t="s">
        <v>23</v>
      </c>
      <c r="H479" s="116" t="s">
        <v>24</v>
      </c>
      <c r="I479" s="116" t="s">
        <v>25</v>
      </c>
      <c r="J479" s="116" t="s">
        <v>26</v>
      </c>
      <c r="K479" s="116" t="s">
        <v>364</v>
      </c>
      <c r="L479" s="115"/>
    </row>
    <row r="480" spans="1:12" s="52" customFormat="1" ht="12" customHeight="1" x14ac:dyDescent="0.2">
      <c r="A480" s="22" t="s">
        <v>648</v>
      </c>
      <c r="B480" s="74">
        <v>20</v>
      </c>
      <c r="C480" s="114">
        <v>1</v>
      </c>
      <c r="D480" s="2" t="s">
        <v>456</v>
      </c>
      <c r="E480" s="114"/>
      <c r="F480" s="153" t="s">
        <v>22</v>
      </c>
      <c r="G480" s="153"/>
      <c r="H480" s="153"/>
      <c r="I480" s="153"/>
      <c r="J480" s="153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4">
        <v>20</v>
      </c>
      <c r="C481" s="114">
        <v>2</v>
      </c>
      <c r="D481" s="2" t="s">
        <v>456</v>
      </c>
      <c r="E481" s="114"/>
      <c r="F481" s="154">
        <v>15</v>
      </c>
      <c r="G481" s="154"/>
      <c r="H481" s="154"/>
      <c r="I481" s="154"/>
      <c r="J481" s="154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4">
        <v>20</v>
      </c>
      <c r="C482" s="114">
        <v>3</v>
      </c>
      <c r="D482" s="2" t="s">
        <v>456</v>
      </c>
      <c r="E482" s="114"/>
      <c r="F482" s="154" t="s">
        <v>895</v>
      </c>
      <c r="G482" s="154"/>
      <c r="H482" s="154"/>
      <c r="I482" s="154"/>
      <c r="J482" s="154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4">
        <v>20</v>
      </c>
      <c r="C483" s="114">
        <v>4</v>
      </c>
      <c r="D483" s="2" t="s">
        <v>456</v>
      </c>
      <c r="E483" s="114"/>
      <c r="F483" s="18" t="s">
        <v>896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4">
        <v>20</v>
      </c>
      <c r="C484" s="114">
        <v>5</v>
      </c>
      <c r="D484" s="2" t="s">
        <v>456</v>
      </c>
      <c r="E484" s="114"/>
      <c r="F484" s="18">
        <v>11685000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4">
        <v>20</v>
      </c>
      <c r="C485" s="114">
        <v>6</v>
      </c>
      <c r="D485" s="2" t="s">
        <v>456</v>
      </c>
      <c r="E485" s="114"/>
      <c r="F485" s="18">
        <v>5.14</v>
      </c>
      <c r="G485" s="18"/>
      <c r="H485" s="18"/>
      <c r="I485" s="18"/>
      <c r="J485" s="18"/>
      <c r="K485" s="53">
        <f>SUM(F485:J485)</f>
        <v>5.14</v>
      </c>
      <c r="L485" s="24" t="s">
        <v>312</v>
      </c>
    </row>
    <row r="486" spans="1:12" s="52" customFormat="1" ht="12" customHeight="1" x14ac:dyDescent="0.2">
      <c r="A486" s="22" t="s">
        <v>654</v>
      </c>
      <c r="B486" s="74">
        <v>20</v>
      </c>
      <c r="C486" s="114">
        <v>7</v>
      </c>
      <c r="D486" s="2" t="s">
        <v>456</v>
      </c>
      <c r="E486" s="114"/>
      <c r="F486" s="18">
        <v>3685000</v>
      </c>
      <c r="G486" s="18"/>
      <c r="H486" s="18"/>
      <c r="I486" s="18"/>
      <c r="J486" s="18"/>
      <c r="K486" s="53">
        <f t="shared" ref="K486:K493" si="34">SUM(F486:J486)</f>
        <v>3685000</v>
      </c>
      <c r="L486" s="24" t="s">
        <v>312</v>
      </c>
    </row>
    <row r="487" spans="1:12" s="52" customFormat="1" ht="12" customHeight="1" x14ac:dyDescent="0.2">
      <c r="A487" s="22" t="s">
        <v>655</v>
      </c>
      <c r="B487" s="74">
        <v>20</v>
      </c>
      <c r="C487" s="114">
        <v>8</v>
      </c>
      <c r="D487" s="2" t="s">
        <v>456</v>
      </c>
      <c r="E487" s="114"/>
      <c r="F487" s="18">
        <v>0</v>
      </c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0" t="s">
        <v>656</v>
      </c>
      <c r="B488" s="201">
        <v>20</v>
      </c>
      <c r="C488" s="202">
        <v>9</v>
      </c>
      <c r="D488" s="203" t="s">
        <v>456</v>
      </c>
      <c r="E488" s="202"/>
      <c r="F488" s="204">
        <v>800000</v>
      </c>
      <c r="G488" s="204"/>
      <c r="H488" s="204"/>
      <c r="I488" s="204"/>
      <c r="J488" s="204"/>
      <c r="K488" s="205">
        <f t="shared" si="34"/>
        <v>800000</v>
      </c>
      <c r="L488" s="206" t="s">
        <v>312</v>
      </c>
    </row>
    <row r="489" spans="1:12" s="52" customFormat="1" ht="12" customHeight="1" thickBot="1" x14ac:dyDescent="0.25">
      <c r="A489" s="22" t="s">
        <v>657</v>
      </c>
      <c r="B489" s="74">
        <v>20</v>
      </c>
      <c r="C489" s="114">
        <v>10</v>
      </c>
      <c r="D489" s="2" t="s">
        <v>456</v>
      </c>
      <c r="E489" s="114"/>
      <c r="F489" s="18">
        <v>353850.01</v>
      </c>
      <c r="G489" s="18"/>
      <c r="H489" s="18"/>
      <c r="I489" s="18"/>
      <c r="J489" s="18"/>
      <c r="K489" s="53">
        <f t="shared" si="34"/>
        <v>353850.01</v>
      </c>
      <c r="L489" s="24" t="s">
        <v>312</v>
      </c>
    </row>
    <row r="490" spans="1:12" s="52" customFormat="1" ht="12" customHeight="1" thickTop="1" x14ac:dyDescent="0.2">
      <c r="A490" s="138" t="s">
        <v>658</v>
      </c>
      <c r="B490" s="44">
        <v>20</v>
      </c>
      <c r="C490" s="195">
        <v>11</v>
      </c>
      <c r="D490" s="39" t="s">
        <v>456</v>
      </c>
      <c r="E490" s="195"/>
      <c r="F490" s="42">
        <f>SUM(F488:F489)</f>
        <v>1153850.01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1153850.01</v>
      </c>
      <c r="L490" s="45" t="s">
        <v>312</v>
      </c>
    </row>
    <row r="491" spans="1:12" s="52" customFormat="1" ht="12" customHeight="1" x14ac:dyDescent="0.2">
      <c r="A491" s="200" t="s">
        <v>685</v>
      </c>
      <c r="B491" s="201">
        <v>20</v>
      </c>
      <c r="C491" s="202">
        <v>12</v>
      </c>
      <c r="D491" s="203" t="s">
        <v>456</v>
      </c>
      <c r="E491" s="202"/>
      <c r="F491" s="204">
        <v>800000</v>
      </c>
      <c r="G491" s="204"/>
      <c r="H491" s="204"/>
      <c r="I491" s="204"/>
      <c r="J491" s="204"/>
      <c r="K491" s="205">
        <f t="shared" si="34"/>
        <v>800000</v>
      </c>
      <c r="L491" s="206" t="s">
        <v>312</v>
      </c>
    </row>
    <row r="492" spans="1:12" s="52" customFormat="1" ht="12" customHeight="1" thickBot="1" x14ac:dyDescent="0.25">
      <c r="A492" s="22" t="s">
        <v>659</v>
      </c>
      <c r="B492" s="74">
        <v>20</v>
      </c>
      <c r="C492" s="114">
        <v>13</v>
      </c>
      <c r="D492" s="2" t="s">
        <v>456</v>
      </c>
      <c r="E492" s="114"/>
      <c r="F492" s="18">
        <v>109462.5</v>
      </c>
      <c r="G492" s="18"/>
      <c r="H492" s="18"/>
      <c r="I492" s="18"/>
      <c r="J492" s="18"/>
      <c r="K492" s="53">
        <f t="shared" si="34"/>
        <v>109462.5</v>
      </c>
      <c r="L492" s="24" t="s">
        <v>312</v>
      </c>
    </row>
    <row r="493" spans="1:12" s="52" customFormat="1" ht="12" customHeight="1" thickTop="1" x14ac:dyDescent="0.2">
      <c r="A493" s="138" t="s">
        <v>660</v>
      </c>
      <c r="B493" s="44">
        <v>20</v>
      </c>
      <c r="C493" s="195">
        <v>14</v>
      </c>
      <c r="D493" s="39" t="s">
        <v>456</v>
      </c>
      <c r="E493" s="195"/>
      <c r="F493" s="42">
        <f>SUM(F491:F492)</f>
        <v>909462.5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909462.5</v>
      </c>
      <c r="L493" s="45" t="s">
        <v>312</v>
      </c>
    </row>
    <row r="494" spans="1:12" s="52" customFormat="1" ht="12" customHeight="1" x14ac:dyDescent="0.2">
      <c r="A494" s="95"/>
      <c r="B494" s="104"/>
      <c r="C494" s="114"/>
      <c r="D494" s="114"/>
      <c r="E494" s="114"/>
      <c r="F494" s="102"/>
      <c r="G494" s="102"/>
      <c r="H494" s="105"/>
      <c r="I494" s="105"/>
      <c r="J494" s="105"/>
      <c r="K494" s="105"/>
      <c r="L494" s="105"/>
    </row>
    <row r="495" spans="1:12" s="52" customFormat="1" ht="12" customHeight="1" x14ac:dyDescent="0.2">
      <c r="C495" s="114"/>
      <c r="D495" s="114"/>
      <c r="E495" s="114"/>
      <c r="F495" s="102"/>
      <c r="G495" s="102"/>
      <c r="H495" s="105"/>
      <c r="I495" s="105"/>
      <c r="J495" s="105"/>
      <c r="K495" s="105"/>
      <c r="L495" s="105"/>
    </row>
    <row r="496" spans="1:12" s="52" customFormat="1" ht="12" customHeight="1" x14ac:dyDescent="0.2">
      <c r="B496" s="104"/>
      <c r="F496" s="52" t="s">
        <v>41</v>
      </c>
      <c r="G496" s="102" t="s">
        <v>42</v>
      </c>
      <c r="H496" s="102" t="s">
        <v>43</v>
      </c>
      <c r="I496" s="105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5" t="s">
        <v>40</v>
      </c>
      <c r="B497" s="104">
        <v>20</v>
      </c>
      <c r="C497" s="114">
        <v>15</v>
      </c>
      <c r="D497" s="2" t="s">
        <v>456</v>
      </c>
      <c r="E497" s="114"/>
      <c r="F497" s="143">
        <v>608700.9</v>
      </c>
      <c r="G497" s="143"/>
      <c r="H497" s="143"/>
      <c r="I497" s="143">
        <v>743270.14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5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6" t="s">
        <v>886</v>
      </c>
      <c r="B499" s="22"/>
      <c r="C499" s="22"/>
      <c r="D499" s="22"/>
      <c r="E499" s="22"/>
      <c r="F499" s="121" t="s">
        <v>46</v>
      </c>
      <c r="G499" s="121"/>
      <c r="H499" s="122" t="s">
        <v>47</v>
      </c>
      <c r="I499" s="122"/>
      <c r="J499" s="53"/>
      <c r="K499" s="53"/>
      <c r="L499" s="53"/>
    </row>
    <row r="500" spans="1:12" s="52" customFormat="1" ht="12" customHeight="1" x14ac:dyDescent="0.2">
      <c r="A500" s="95"/>
      <c r="B500" s="22"/>
      <c r="C500" s="22"/>
      <c r="D500" s="22"/>
      <c r="E500" s="22"/>
      <c r="F500" s="112" t="s">
        <v>48</v>
      </c>
      <c r="G500" s="112" t="s">
        <v>49</v>
      </c>
      <c r="H500" s="113" t="s">
        <v>48</v>
      </c>
      <c r="I500" s="113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4">
        <v>20</v>
      </c>
      <c r="C501" s="114">
        <v>16</v>
      </c>
      <c r="D501" s="2" t="s">
        <v>456</v>
      </c>
      <c r="E501" s="114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4">
        <v>20</v>
      </c>
      <c r="C502" s="114">
        <v>17</v>
      </c>
      <c r="D502" s="2" t="s">
        <v>456</v>
      </c>
      <c r="E502" s="114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4">
        <v>20</v>
      </c>
      <c r="C503" s="114">
        <v>18</v>
      </c>
      <c r="D503" s="2" t="s">
        <v>456</v>
      </c>
      <c r="E503" s="114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4">
        <v>20</v>
      </c>
      <c r="C504" s="114">
        <v>19</v>
      </c>
      <c r="D504" s="2" t="s">
        <v>456</v>
      </c>
      <c r="E504" s="114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4">
        <v>20</v>
      </c>
      <c r="C505" s="114">
        <v>20</v>
      </c>
      <c r="D505" s="2" t="s">
        <v>456</v>
      </c>
      <c r="E505" s="114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4">
        <v>20</v>
      </c>
      <c r="C506" s="114">
        <v>21</v>
      </c>
      <c r="D506" s="2" t="s">
        <v>456</v>
      </c>
      <c r="E506" s="114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5" t="s">
        <v>451</v>
      </c>
      <c r="B507" s="74">
        <v>20</v>
      </c>
      <c r="C507" s="114">
        <v>22</v>
      </c>
      <c r="D507" s="2" t="s">
        <v>456</v>
      </c>
      <c r="E507" s="114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5" t="s">
        <v>733</v>
      </c>
      <c r="B508" s="104"/>
      <c r="C508" s="114"/>
      <c r="D508" s="114"/>
      <c r="E508" s="114"/>
      <c r="F508" s="176" t="s">
        <v>724</v>
      </c>
      <c r="G508" s="176" t="s">
        <v>725</v>
      </c>
      <c r="H508" s="176" t="s">
        <v>726</v>
      </c>
      <c r="I508" s="176" t="s">
        <v>727</v>
      </c>
      <c r="J508" s="176" t="s">
        <v>728</v>
      </c>
      <c r="K508" s="176" t="s">
        <v>729</v>
      </c>
      <c r="L508" s="105"/>
    </row>
    <row r="509" spans="1:12" s="52" customFormat="1" ht="12" customHeight="1" x14ac:dyDescent="0.2">
      <c r="A509" s="177" t="s">
        <v>732</v>
      </c>
      <c r="B509" s="104"/>
      <c r="C509" s="114"/>
      <c r="D509" s="114"/>
      <c r="E509" s="114"/>
      <c r="F509" s="102" t="s">
        <v>54</v>
      </c>
      <c r="G509" s="102" t="s">
        <v>55</v>
      </c>
      <c r="H509" s="105" t="s">
        <v>56</v>
      </c>
      <c r="I509" s="105" t="s">
        <v>57</v>
      </c>
      <c r="J509" s="105" t="s">
        <v>58</v>
      </c>
      <c r="K509" s="105" t="s">
        <v>59</v>
      </c>
      <c r="L509" s="105" t="s">
        <v>5</v>
      </c>
    </row>
    <row r="510" spans="1:12" s="52" customFormat="1" ht="12" customHeight="1" x14ac:dyDescent="0.2">
      <c r="A510" s="95" t="s">
        <v>60</v>
      </c>
      <c r="B510" s="104"/>
      <c r="C510" s="114"/>
      <c r="D510" s="114"/>
      <c r="E510" s="114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4">
        <v>21</v>
      </c>
      <c r="C511" s="114">
        <v>1</v>
      </c>
      <c r="D511" s="2" t="s">
        <v>456</v>
      </c>
      <c r="E511" s="114"/>
      <c r="F511" s="10">
        <v>512651.84860799997</v>
      </c>
      <c r="G511" s="10">
        <v>112264.18265900001</v>
      </c>
      <c r="H511" s="10">
        <v>62252.071632979598</v>
      </c>
      <c r="I511" s="10">
        <v>21219.383513000001</v>
      </c>
      <c r="J511" s="10">
        <v>9475.9547609999991</v>
      </c>
      <c r="K511" s="10">
        <v>5610.5521070000004</v>
      </c>
      <c r="L511" s="87">
        <f>SUM(F511:K511)</f>
        <v>723473.99328097957</v>
      </c>
    </row>
    <row r="512" spans="1:12" s="52" customFormat="1" ht="12" customHeight="1" x14ac:dyDescent="0.2">
      <c r="A512" s="22" t="s">
        <v>668</v>
      </c>
      <c r="B512" s="104">
        <v>21</v>
      </c>
      <c r="C512" s="114">
        <v>2</v>
      </c>
      <c r="D512" s="2" t="s">
        <v>456</v>
      </c>
      <c r="E512" s="114"/>
      <c r="F512" s="10">
        <v>457730.35550400004</v>
      </c>
      <c r="G512" s="10">
        <v>122402.06986700001</v>
      </c>
      <c r="H512" s="10">
        <v>206438.93219200001</v>
      </c>
      <c r="I512" s="10">
        <v>19306.252768999999</v>
      </c>
      <c r="J512" s="10">
        <v>10156.590593000001</v>
      </c>
      <c r="K512" s="10">
        <v>4823.2742909999997</v>
      </c>
      <c r="L512" s="87">
        <f>SUM(F512:K512)</f>
        <v>820857.47521599999</v>
      </c>
    </row>
    <row r="513" spans="1:13" s="52" customFormat="1" ht="12" customHeight="1" thickBot="1" x14ac:dyDescent="0.25">
      <c r="A513" s="22" t="s">
        <v>669</v>
      </c>
      <c r="B513" s="104">
        <v>21</v>
      </c>
      <c r="C513" s="114">
        <v>3</v>
      </c>
      <c r="D513" s="2" t="s">
        <v>456</v>
      </c>
      <c r="E513" s="114"/>
      <c r="F513" s="10">
        <v>418825.865888</v>
      </c>
      <c r="G513" s="10">
        <v>116938.447474</v>
      </c>
      <c r="H513" s="10">
        <v>418089.7361750204</v>
      </c>
      <c r="I513" s="10">
        <v>17196.803717999999</v>
      </c>
      <c r="J513" s="10">
        <v>5540.7146460000004</v>
      </c>
      <c r="K513" s="10">
        <v>4234.2936019999997</v>
      </c>
      <c r="L513" s="87">
        <f>SUM(F513:K513)</f>
        <v>980825.86150302039</v>
      </c>
    </row>
    <row r="514" spans="1:13" s="52" customFormat="1" ht="12" customHeight="1" thickTop="1" x14ac:dyDescent="0.2">
      <c r="A514" s="138" t="s">
        <v>63</v>
      </c>
      <c r="B514" s="106">
        <v>21</v>
      </c>
      <c r="C514" s="195">
        <v>4</v>
      </c>
      <c r="D514" s="196" t="s">
        <v>456</v>
      </c>
      <c r="E514" s="195"/>
      <c r="F514" s="107">
        <f>SUM(F511:F513)</f>
        <v>1389208.07</v>
      </c>
      <c r="G514" s="107">
        <f t="shared" ref="G514:L514" si="35">SUM(G511:G513)</f>
        <v>351604.7</v>
      </c>
      <c r="H514" s="107">
        <f t="shared" si="35"/>
        <v>686780.74</v>
      </c>
      <c r="I514" s="107">
        <f t="shared" si="35"/>
        <v>57722.44</v>
      </c>
      <c r="J514" s="107">
        <f t="shared" si="35"/>
        <v>25173.260000000002</v>
      </c>
      <c r="K514" s="107">
        <f t="shared" si="35"/>
        <v>14668.12</v>
      </c>
      <c r="L514" s="88">
        <f t="shared" si="35"/>
        <v>2525157.33</v>
      </c>
    </row>
    <row r="515" spans="1:13" s="52" customFormat="1" ht="12" customHeight="1" x14ac:dyDescent="0.2">
      <c r="A515" s="95" t="s">
        <v>64</v>
      </c>
      <c r="B515" s="104"/>
      <c r="C515" s="114"/>
      <c r="D515" s="114"/>
      <c r="E515" s="114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4">
        <v>21</v>
      </c>
      <c r="C516" s="114">
        <v>5</v>
      </c>
      <c r="D516" s="2" t="s">
        <v>456</v>
      </c>
      <c r="E516" s="114"/>
      <c r="F516" s="10">
        <v>112456.149813</v>
      </c>
      <c r="G516" s="10">
        <v>39193.821205</v>
      </c>
      <c r="H516" s="10">
        <v>53745.271784999997</v>
      </c>
      <c r="I516" s="10">
        <v>1361.661771</v>
      </c>
      <c r="J516" s="10">
        <v>0</v>
      </c>
      <c r="K516" s="10">
        <v>0</v>
      </c>
      <c r="L516" s="87">
        <f>SUM(F516:K516)</f>
        <v>206756.90457399999</v>
      </c>
    </row>
    <row r="517" spans="1:13" s="52" customFormat="1" ht="12" customHeight="1" x14ac:dyDescent="0.2">
      <c r="A517" s="22" t="s">
        <v>668</v>
      </c>
      <c r="B517" s="104">
        <v>21</v>
      </c>
      <c r="C517" s="114">
        <v>6</v>
      </c>
      <c r="D517" s="2" t="s">
        <v>456</v>
      </c>
      <c r="E517" s="114"/>
      <c r="F517" s="10">
        <v>109314.916578</v>
      </c>
      <c r="G517" s="10">
        <v>38099.02173</v>
      </c>
      <c r="H517" s="10">
        <v>52244.007210000003</v>
      </c>
      <c r="I517" s="10">
        <v>1323.626526</v>
      </c>
      <c r="J517" s="10">
        <v>0</v>
      </c>
      <c r="K517" s="10">
        <v>0</v>
      </c>
      <c r="L517" s="87">
        <f>SUM(F517:K517)</f>
        <v>200981.57204400003</v>
      </c>
    </row>
    <row r="518" spans="1:13" s="3" customFormat="1" ht="12" customHeight="1" thickBot="1" x14ac:dyDescent="0.2">
      <c r="A518" s="22" t="s">
        <v>669</v>
      </c>
      <c r="B518" s="117">
        <v>21</v>
      </c>
      <c r="C518" s="117">
        <v>7</v>
      </c>
      <c r="D518" s="2" t="s">
        <v>456</v>
      </c>
      <c r="E518" s="117"/>
      <c r="F518" s="10">
        <v>108885.063609</v>
      </c>
      <c r="G518" s="10">
        <v>37949.207064999995</v>
      </c>
      <c r="H518" s="10">
        <v>52038.571004999998</v>
      </c>
      <c r="I518" s="10">
        <v>1318.421703</v>
      </c>
      <c r="J518" s="10">
        <v>0</v>
      </c>
      <c r="K518" s="10">
        <v>0</v>
      </c>
      <c r="L518" s="87">
        <f>SUM(F518:K518)</f>
        <v>200191.263382</v>
      </c>
      <c r="M518" s="8"/>
    </row>
    <row r="519" spans="1:13" s="3" customFormat="1" ht="12" customHeight="1" thickTop="1" x14ac:dyDescent="0.15">
      <c r="A519" s="138" t="s">
        <v>65</v>
      </c>
      <c r="B519" s="106">
        <v>21</v>
      </c>
      <c r="C519" s="106">
        <v>8</v>
      </c>
      <c r="D519" s="157" t="s">
        <v>456</v>
      </c>
      <c r="E519" s="106"/>
      <c r="F519" s="88">
        <f>SUM(F516:F518)</f>
        <v>330656.13</v>
      </c>
      <c r="G519" s="88">
        <f t="shared" ref="G519:L519" si="36">SUM(G516:G518)</f>
        <v>115242.04999999999</v>
      </c>
      <c r="H519" s="88">
        <f t="shared" si="36"/>
        <v>158027.85</v>
      </c>
      <c r="I519" s="88">
        <f t="shared" si="36"/>
        <v>4003.71</v>
      </c>
      <c r="J519" s="88">
        <f t="shared" si="36"/>
        <v>0</v>
      </c>
      <c r="K519" s="88">
        <f t="shared" si="36"/>
        <v>0</v>
      </c>
      <c r="L519" s="88">
        <f t="shared" si="36"/>
        <v>607929.74</v>
      </c>
      <c r="M519" s="8"/>
    </row>
    <row r="520" spans="1:13" s="3" customFormat="1" ht="12" customHeight="1" x14ac:dyDescent="0.15">
      <c r="A520" s="96" t="s">
        <v>66</v>
      </c>
      <c r="B520" s="104"/>
      <c r="C520" s="104"/>
      <c r="D520" s="104"/>
      <c r="E520" s="104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4">
        <v>21</v>
      </c>
      <c r="C521" s="104">
        <v>9</v>
      </c>
      <c r="D521" s="2" t="s">
        <v>456</v>
      </c>
      <c r="E521" s="104"/>
      <c r="F521" s="10">
        <v>53130.231927000001</v>
      </c>
      <c r="G521" s="10">
        <v>18399.891522000002</v>
      </c>
      <c r="H521" s="10">
        <v>1436.58141</v>
      </c>
      <c r="I521" s="10">
        <v>410.829138</v>
      </c>
      <c r="J521" s="10">
        <v>500.57572800000003</v>
      </c>
      <c r="K521" s="10">
        <v>697.69650000000001</v>
      </c>
      <c r="L521" s="87">
        <f>SUM(F521:K521)</f>
        <v>74575.806225000008</v>
      </c>
      <c r="M521" s="8"/>
    </row>
    <row r="522" spans="1:13" s="3" customFormat="1" ht="12" customHeight="1" x14ac:dyDescent="0.15">
      <c r="A522" s="22" t="s">
        <v>668</v>
      </c>
      <c r="B522" s="104">
        <v>21</v>
      </c>
      <c r="C522" s="104">
        <v>10</v>
      </c>
      <c r="D522" s="2" t="s">
        <v>456</v>
      </c>
      <c r="E522" s="104"/>
      <c r="F522" s="10">
        <v>47335.755950999999</v>
      </c>
      <c r="G522" s="10">
        <v>16393.167185999999</v>
      </c>
      <c r="H522" s="10">
        <v>1279.90533</v>
      </c>
      <c r="I522" s="10">
        <v>366.023394</v>
      </c>
      <c r="J522" s="10">
        <v>445.98206399999998</v>
      </c>
      <c r="K522" s="10">
        <v>621.60450000000003</v>
      </c>
      <c r="L522" s="87">
        <f>SUM(F522:K522)</f>
        <v>66442.438425</v>
      </c>
      <c r="M522" s="8"/>
    </row>
    <row r="523" spans="1:13" s="3" customFormat="1" ht="12" customHeight="1" thickBot="1" x14ac:dyDescent="0.2">
      <c r="A523" s="22" t="s">
        <v>669</v>
      </c>
      <c r="B523" s="104">
        <v>21</v>
      </c>
      <c r="C523" s="104">
        <v>11</v>
      </c>
      <c r="D523" s="2" t="s">
        <v>456</v>
      </c>
      <c r="E523" s="104"/>
      <c r="F523" s="10">
        <v>41555.482122000001</v>
      </c>
      <c r="G523" s="10">
        <v>14391.361292</v>
      </c>
      <c r="H523" s="10">
        <v>1123.6132600000001</v>
      </c>
      <c r="I523" s="10">
        <v>321.32746800000001</v>
      </c>
      <c r="J523" s="10">
        <v>391.52220799999998</v>
      </c>
      <c r="K523" s="10">
        <v>545.69899999999996</v>
      </c>
      <c r="L523" s="87">
        <f>SUM(F523:K523)</f>
        <v>58329.005350000007</v>
      </c>
      <c r="M523" s="8"/>
    </row>
    <row r="524" spans="1:13" s="3" customFormat="1" ht="12" customHeight="1" thickTop="1" x14ac:dyDescent="0.15">
      <c r="A524" s="138" t="s">
        <v>67</v>
      </c>
      <c r="B524" s="106">
        <v>21</v>
      </c>
      <c r="C524" s="106">
        <v>12</v>
      </c>
      <c r="D524" s="157" t="s">
        <v>456</v>
      </c>
      <c r="E524" s="106"/>
      <c r="F524" s="88">
        <f>SUM(F521:F523)</f>
        <v>142021.47</v>
      </c>
      <c r="G524" s="88">
        <f t="shared" ref="G524:L524" si="37">SUM(G521:G523)</f>
        <v>49184.42</v>
      </c>
      <c r="H524" s="88">
        <f t="shared" si="37"/>
        <v>3840.1000000000004</v>
      </c>
      <c r="I524" s="88">
        <f t="shared" si="37"/>
        <v>1098.18</v>
      </c>
      <c r="J524" s="88">
        <f t="shared" si="37"/>
        <v>1338.08</v>
      </c>
      <c r="K524" s="88">
        <f t="shared" si="37"/>
        <v>1865</v>
      </c>
      <c r="L524" s="88">
        <f t="shared" si="37"/>
        <v>199347.25</v>
      </c>
      <c r="M524" s="8"/>
    </row>
    <row r="525" spans="1:13" s="3" customFormat="1" ht="12" customHeight="1" x14ac:dyDescent="0.15">
      <c r="A525" s="96" t="s">
        <v>68</v>
      </c>
      <c r="B525" s="104"/>
      <c r="C525" s="104"/>
      <c r="D525" s="104"/>
      <c r="E525" s="104"/>
      <c r="F525" s="194" t="s">
        <v>312</v>
      </c>
      <c r="G525" s="194" t="s">
        <v>312</v>
      </c>
      <c r="H525" s="194" t="s">
        <v>312</v>
      </c>
      <c r="I525" s="194" t="s">
        <v>312</v>
      </c>
      <c r="J525" s="194" t="s">
        <v>312</v>
      </c>
      <c r="K525" s="194" t="s">
        <v>312</v>
      </c>
      <c r="L525" s="194" t="s">
        <v>312</v>
      </c>
      <c r="M525" s="8"/>
    </row>
    <row r="526" spans="1:13" s="3" customFormat="1" ht="12" customHeight="1" x14ac:dyDescent="0.15">
      <c r="A526" s="22" t="s">
        <v>667</v>
      </c>
      <c r="B526" s="104">
        <v>21</v>
      </c>
      <c r="C526" s="104">
        <v>13</v>
      </c>
      <c r="D526" s="2" t="s">
        <v>456</v>
      </c>
      <c r="E526" s="104"/>
      <c r="F526" s="18"/>
      <c r="G526" s="18"/>
      <c r="H526" s="10">
        <v>1428.8775510204082</v>
      </c>
      <c r="I526" s="18"/>
      <c r="J526" s="18"/>
      <c r="K526" s="18"/>
      <c r="L526" s="87">
        <f>SUM(F526:K526)</f>
        <v>1428.8775510204082</v>
      </c>
      <c r="M526" s="8"/>
    </row>
    <row r="527" spans="1:13" s="3" customFormat="1" ht="12" customHeight="1" x14ac:dyDescent="0.15">
      <c r="A527" s="22" t="s">
        <v>668</v>
      </c>
      <c r="B527" s="104">
        <v>21</v>
      </c>
      <c r="C527" s="104">
        <v>14</v>
      </c>
      <c r="D527" s="2" t="s">
        <v>456</v>
      </c>
      <c r="E527" s="104"/>
      <c r="F527" s="18"/>
      <c r="G527" s="18"/>
      <c r="H527" s="10">
        <v>1273</v>
      </c>
      <c r="I527" s="18"/>
      <c r="J527" s="18"/>
      <c r="K527" s="18"/>
      <c r="L527" s="87">
        <f>SUM(F527:K527)</f>
        <v>1273</v>
      </c>
      <c r="M527" s="8"/>
    </row>
    <row r="528" spans="1:13" s="3" customFormat="1" ht="12" customHeight="1" thickBot="1" x14ac:dyDescent="0.2">
      <c r="A528" s="22" t="s">
        <v>669</v>
      </c>
      <c r="B528" s="104">
        <v>21</v>
      </c>
      <c r="C528" s="104">
        <v>15</v>
      </c>
      <c r="D528" s="2" t="s">
        <v>456</v>
      </c>
      <c r="E528" s="104"/>
      <c r="F528" s="18"/>
      <c r="G528" s="18"/>
      <c r="H528" s="10">
        <v>1117.1224489795918</v>
      </c>
      <c r="I528" s="18"/>
      <c r="J528" s="18"/>
      <c r="K528" s="18"/>
      <c r="L528" s="87">
        <f>SUM(F528:K528)</f>
        <v>1117.1224489795918</v>
      </c>
      <c r="M528" s="8"/>
    </row>
    <row r="529" spans="1:13" s="3" customFormat="1" ht="12" customHeight="1" thickTop="1" x14ac:dyDescent="0.15">
      <c r="A529" s="138" t="s">
        <v>69</v>
      </c>
      <c r="B529" s="106">
        <v>21</v>
      </c>
      <c r="C529" s="106">
        <v>16</v>
      </c>
      <c r="D529" s="157" t="s">
        <v>456</v>
      </c>
      <c r="E529" s="106"/>
      <c r="F529" s="88">
        <f>SUM(F526:F528)</f>
        <v>0</v>
      </c>
      <c r="G529" s="88">
        <f t="shared" ref="G529:L529" si="38">SUM(G526:G528)</f>
        <v>0</v>
      </c>
      <c r="H529" s="88">
        <f t="shared" si="38"/>
        <v>3819</v>
      </c>
      <c r="I529" s="88">
        <f t="shared" si="38"/>
        <v>0</v>
      </c>
      <c r="J529" s="88">
        <f t="shared" si="38"/>
        <v>0</v>
      </c>
      <c r="K529" s="88">
        <f t="shared" si="38"/>
        <v>0</v>
      </c>
      <c r="L529" s="88">
        <f t="shared" si="38"/>
        <v>3819</v>
      </c>
      <c r="M529" s="8"/>
    </row>
    <row r="530" spans="1:13" s="3" customFormat="1" ht="12" customHeight="1" x14ac:dyDescent="0.15">
      <c r="A530" s="96" t="s">
        <v>70</v>
      </c>
      <c r="B530" s="104"/>
      <c r="C530" s="104"/>
      <c r="D530" s="104"/>
      <c r="E530" s="104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4">
        <v>21</v>
      </c>
      <c r="C531" s="104">
        <v>17</v>
      </c>
      <c r="D531" s="2" t="s">
        <v>456</v>
      </c>
      <c r="E531" s="104"/>
      <c r="F531" s="10">
        <v>0</v>
      </c>
      <c r="G531" s="10">
        <v>0</v>
      </c>
      <c r="H531" s="10">
        <v>72477.836171999996</v>
      </c>
      <c r="I531" s="10">
        <v>0</v>
      </c>
      <c r="J531" s="10">
        <v>0</v>
      </c>
      <c r="K531" s="10">
        <v>0</v>
      </c>
      <c r="L531" s="87">
        <f>SUM(F531:K531)</f>
        <v>72477.836171999996</v>
      </c>
      <c r="M531" s="8"/>
    </row>
    <row r="532" spans="1:13" s="3" customFormat="1" ht="12" customHeight="1" x14ac:dyDescent="0.15">
      <c r="A532" s="22" t="s">
        <v>668</v>
      </c>
      <c r="B532" s="104">
        <v>21</v>
      </c>
      <c r="C532" s="104">
        <v>18</v>
      </c>
      <c r="D532" s="2" t="s">
        <v>456</v>
      </c>
      <c r="E532" s="104"/>
      <c r="F532" s="10">
        <v>0</v>
      </c>
      <c r="G532" s="10">
        <v>0</v>
      </c>
      <c r="H532" s="10">
        <v>69765.931620000003</v>
      </c>
      <c r="I532" s="10">
        <v>0</v>
      </c>
      <c r="J532" s="10">
        <v>0</v>
      </c>
      <c r="K532" s="10">
        <v>0</v>
      </c>
      <c r="L532" s="87">
        <f>SUM(F532:K532)</f>
        <v>69765.931620000003</v>
      </c>
      <c r="M532" s="8"/>
    </row>
    <row r="533" spans="1:13" s="3" customFormat="1" ht="12" customHeight="1" thickBot="1" x14ac:dyDescent="0.2">
      <c r="A533" s="22" t="s">
        <v>669</v>
      </c>
      <c r="B533" s="104">
        <v>21</v>
      </c>
      <c r="C533" s="104">
        <v>19</v>
      </c>
      <c r="D533" s="2" t="s">
        <v>456</v>
      </c>
      <c r="E533" s="104"/>
      <c r="F533" s="10">
        <v>0</v>
      </c>
      <c r="G533" s="10">
        <v>0</v>
      </c>
      <c r="H533" s="10">
        <v>76458.212207999997</v>
      </c>
      <c r="I533" s="10">
        <v>0</v>
      </c>
      <c r="J533" s="10">
        <v>0</v>
      </c>
      <c r="K533" s="10">
        <v>0</v>
      </c>
      <c r="L533" s="87">
        <f>SUM(F533:K533)</f>
        <v>76458.212207999997</v>
      </c>
      <c r="M533" s="8"/>
    </row>
    <row r="534" spans="1:13" s="3" customFormat="1" ht="12" customHeight="1" thickTop="1" thickBot="1" x14ac:dyDescent="0.2">
      <c r="A534" s="129" t="s">
        <v>71</v>
      </c>
      <c r="B534" s="191">
        <v>21</v>
      </c>
      <c r="C534" s="191">
        <v>20</v>
      </c>
      <c r="D534" s="192" t="s">
        <v>456</v>
      </c>
      <c r="E534" s="191"/>
      <c r="F534" s="193">
        <f>SUM(F531:F533)</f>
        <v>0</v>
      </c>
      <c r="G534" s="193">
        <f t="shared" ref="G534:L534" si="39">SUM(G531:G533)</f>
        <v>0</v>
      </c>
      <c r="H534" s="193">
        <f t="shared" si="39"/>
        <v>218701.97999999998</v>
      </c>
      <c r="I534" s="193">
        <f t="shared" si="39"/>
        <v>0</v>
      </c>
      <c r="J534" s="193">
        <f t="shared" si="39"/>
        <v>0</v>
      </c>
      <c r="K534" s="193">
        <f t="shared" si="39"/>
        <v>0</v>
      </c>
      <c r="L534" s="193">
        <f t="shared" si="39"/>
        <v>218701.97999999998</v>
      </c>
      <c r="M534" s="8"/>
    </row>
    <row r="535" spans="1:13" s="3" customFormat="1" ht="12" customHeight="1" thickTop="1" x14ac:dyDescent="0.15">
      <c r="A535" s="97" t="s">
        <v>72</v>
      </c>
      <c r="B535" s="106">
        <v>21</v>
      </c>
      <c r="C535" s="106">
        <v>21</v>
      </c>
      <c r="D535" s="157" t="s">
        <v>456</v>
      </c>
      <c r="E535" s="106"/>
      <c r="F535" s="88">
        <f>F514+F519+F524+F529+F534</f>
        <v>1861885.6700000002</v>
      </c>
      <c r="G535" s="88">
        <f t="shared" ref="G535:L535" si="40">G514+G519+G524+G529+G534</f>
        <v>516031.17</v>
      </c>
      <c r="H535" s="88">
        <f t="shared" si="40"/>
        <v>1071169.67</v>
      </c>
      <c r="I535" s="88">
        <f t="shared" si="40"/>
        <v>62824.33</v>
      </c>
      <c r="J535" s="88">
        <f t="shared" si="40"/>
        <v>26511.340000000004</v>
      </c>
      <c r="K535" s="88">
        <f t="shared" si="40"/>
        <v>16533.120000000003</v>
      </c>
      <c r="L535" s="88">
        <f t="shared" si="40"/>
        <v>3554955.3000000003</v>
      </c>
      <c r="M535" s="8"/>
    </row>
    <row r="536" spans="1:13" s="3" customFormat="1" ht="12" customHeight="1" x14ac:dyDescent="0.15">
      <c r="A536" s="98"/>
      <c r="B536" s="104"/>
      <c r="C536" s="104"/>
      <c r="D536" s="104"/>
      <c r="E536" s="104"/>
      <c r="F536" s="86"/>
      <c r="G536" s="86"/>
      <c r="H536" s="86"/>
      <c r="I536" s="86"/>
      <c r="J536" s="86"/>
      <c r="K536" s="86"/>
      <c r="L536" s="86"/>
      <c r="M536" s="8"/>
    </row>
    <row r="537" spans="1:13" s="3" customFormat="1" ht="12" customHeight="1" x14ac:dyDescent="0.15">
      <c r="A537" s="99" t="s">
        <v>73</v>
      </c>
      <c r="B537" s="104"/>
      <c r="C537" s="104"/>
      <c r="D537" s="104"/>
      <c r="E537" s="104"/>
      <c r="F537" s="100" t="s">
        <v>74</v>
      </c>
      <c r="G537" s="86" t="s">
        <v>75</v>
      </c>
      <c r="H537" s="86" t="s">
        <v>76</v>
      </c>
      <c r="I537" s="100" t="s">
        <v>77</v>
      </c>
      <c r="J537" s="86" t="s">
        <v>78</v>
      </c>
      <c r="K537" s="100" t="s">
        <v>79</v>
      </c>
      <c r="L537" s="24" t="s">
        <v>312</v>
      </c>
      <c r="M537" s="8"/>
    </row>
    <row r="538" spans="1:13" s="3" customFormat="1" ht="12" customHeight="1" x14ac:dyDescent="0.15">
      <c r="A538" s="99" t="s">
        <v>273</v>
      </c>
      <c r="B538" s="104"/>
      <c r="C538" s="104"/>
      <c r="D538" s="104"/>
      <c r="E538" s="104"/>
      <c r="F538" s="100" t="s">
        <v>80</v>
      </c>
      <c r="G538" s="100" t="s">
        <v>81</v>
      </c>
      <c r="H538" s="100" t="s">
        <v>82</v>
      </c>
      <c r="I538" s="100" t="s">
        <v>83</v>
      </c>
      <c r="J538" s="100" t="s">
        <v>84</v>
      </c>
      <c r="K538" s="86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4">
        <v>21</v>
      </c>
      <c r="C539" s="74">
        <v>22</v>
      </c>
      <c r="D539" s="2" t="s">
        <v>456</v>
      </c>
      <c r="E539" s="74"/>
      <c r="F539" s="86">
        <f>L511</f>
        <v>723473.99328097957</v>
      </c>
      <c r="G539" s="86">
        <f>L516</f>
        <v>206756.90457399999</v>
      </c>
      <c r="H539" s="86">
        <f>L521</f>
        <v>74575.806225000008</v>
      </c>
      <c r="I539" s="86">
        <f>L526</f>
        <v>1428.8775510204082</v>
      </c>
      <c r="J539" s="86">
        <f>L531</f>
        <v>72477.836171999996</v>
      </c>
      <c r="K539" s="86">
        <f>SUM(F539:J539)</f>
        <v>1078713.417803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4">
        <v>21</v>
      </c>
      <c r="C540" s="74">
        <v>23</v>
      </c>
      <c r="D540" s="2" t="s">
        <v>456</v>
      </c>
      <c r="E540" s="74"/>
      <c r="F540" s="86">
        <f>L512</f>
        <v>820857.47521599999</v>
      </c>
      <c r="G540" s="86">
        <f>L517</f>
        <v>200981.57204400003</v>
      </c>
      <c r="H540" s="86">
        <f>L522</f>
        <v>66442.438425</v>
      </c>
      <c r="I540" s="86">
        <f>L527</f>
        <v>1273</v>
      </c>
      <c r="J540" s="86">
        <f>L532</f>
        <v>69765.931620000003</v>
      </c>
      <c r="K540" s="86">
        <f>SUM(F540:J540)</f>
        <v>1159320.4173049999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4">
        <v>21</v>
      </c>
      <c r="C541" s="74">
        <v>24</v>
      </c>
      <c r="D541" s="2" t="s">
        <v>456</v>
      </c>
      <c r="E541" s="74"/>
      <c r="F541" s="86">
        <f>L513</f>
        <v>980825.86150302039</v>
      </c>
      <c r="G541" s="86">
        <f>L518</f>
        <v>200191.263382</v>
      </c>
      <c r="H541" s="86">
        <f>L523</f>
        <v>58329.005350000007</v>
      </c>
      <c r="I541" s="86">
        <f>L528</f>
        <v>1117.1224489795918</v>
      </c>
      <c r="J541" s="86">
        <f>L533</f>
        <v>76458.212207999997</v>
      </c>
      <c r="K541" s="86">
        <f>SUM(F541:J541)</f>
        <v>1316921.464892</v>
      </c>
      <c r="L541" s="24" t="s">
        <v>312</v>
      </c>
      <c r="M541" s="8"/>
    </row>
    <row r="542" spans="1:13" s="3" customFormat="1" ht="12" customHeight="1" thickTop="1" x14ac:dyDescent="0.15">
      <c r="A542" s="171" t="s">
        <v>364</v>
      </c>
      <c r="B542" s="44">
        <v>21</v>
      </c>
      <c r="C542" s="44">
        <v>25</v>
      </c>
      <c r="D542" s="39" t="s">
        <v>456</v>
      </c>
      <c r="E542" s="44"/>
      <c r="F542" s="88">
        <f t="shared" ref="F542:K542" si="41">SUM(F539:F541)</f>
        <v>2525157.33</v>
      </c>
      <c r="G542" s="88">
        <f t="shared" si="41"/>
        <v>607929.74</v>
      </c>
      <c r="H542" s="88">
        <f t="shared" si="41"/>
        <v>199347.25</v>
      </c>
      <c r="I542" s="88">
        <f t="shared" si="41"/>
        <v>3819</v>
      </c>
      <c r="J542" s="88">
        <f t="shared" si="41"/>
        <v>218701.97999999998</v>
      </c>
      <c r="K542" s="88">
        <f t="shared" si="41"/>
        <v>3554955.3</v>
      </c>
      <c r="L542" s="24"/>
      <c r="M542" s="8"/>
    </row>
    <row r="543" spans="1:13" s="3" customFormat="1" ht="12" customHeight="1" x14ac:dyDescent="0.15">
      <c r="A543" s="95" t="s">
        <v>610</v>
      </c>
      <c r="B543" s="104"/>
      <c r="C543" s="104"/>
      <c r="D543" s="104"/>
      <c r="E543" s="104"/>
      <c r="F543" s="86"/>
      <c r="G543" s="86"/>
      <c r="H543" s="86"/>
      <c r="I543" s="86"/>
      <c r="J543" s="86"/>
      <c r="K543" s="86"/>
      <c r="L543" s="86"/>
      <c r="M543" s="8"/>
    </row>
    <row r="544" spans="1:13" s="3" customFormat="1" ht="12" customHeight="1" x14ac:dyDescent="0.15">
      <c r="B544" s="104"/>
      <c r="C544" s="114"/>
      <c r="D544" s="114"/>
      <c r="E544" s="114"/>
      <c r="F544" s="176" t="s">
        <v>724</v>
      </c>
      <c r="G544" s="176" t="s">
        <v>725</v>
      </c>
      <c r="H544" s="176" t="s">
        <v>726</v>
      </c>
      <c r="I544" s="176" t="s">
        <v>727</v>
      </c>
      <c r="J544" s="176" t="s">
        <v>728</v>
      </c>
      <c r="K544" s="176" t="s">
        <v>729</v>
      </c>
      <c r="L544" s="105"/>
      <c r="M544" s="8"/>
    </row>
    <row r="545" spans="1:13" s="3" customFormat="1" ht="12" customHeight="1" x14ac:dyDescent="0.15">
      <c r="A545" s="95" t="s">
        <v>50</v>
      </c>
      <c r="B545" s="104"/>
      <c r="C545" s="114"/>
      <c r="D545" s="114"/>
      <c r="E545" s="114"/>
      <c r="F545" s="102" t="s">
        <v>54</v>
      </c>
      <c r="G545" s="102" t="s">
        <v>55</v>
      </c>
      <c r="H545" s="105" t="s">
        <v>56</v>
      </c>
      <c r="I545" s="105" t="s">
        <v>57</v>
      </c>
      <c r="J545" s="105" t="s">
        <v>58</v>
      </c>
      <c r="K545" s="105" t="s">
        <v>59</v>
      </c>
      <c r="L545" s="105" t="s">
        <v>5</v>
      </c>
      <c r="M545" s="8"/>
    </row>
    <row r="546" spans="1:13" s="3" customFormat="1" ht="12" customHeight="1" x14ac:dyDescent="0.15">
      <c r="A546" s="95" t="s">
        <v>85</v>
      </c>
      <c r="B546" s="104"/>
      <c r="C546" s="114"/>
      <c r="D546" s="114"/>
      <c r="E546" s="114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4">
        <v>22</v>
      </c>
      <c r="C547" s="114">
        <v>1</v>
      </c>
      <c r="D547" s="2" t="s">
        <v>456</v>
      </c>
      <c r="E547" s="114"/>
      <c r="F547" s="18"/>
      <c r="G547" s="18"/>
      <c r="H547" s="18"/>
      <c r="I547" s="18"/>
      <c r="J547" s="18"/>
      <c r="K547" s="18"/>
      <c r="L547" s="87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4">
        <v>22</v>
      </c>
      <c r="C548" s="114">
        <v>2</v>
      </c>
      <c r="D548" s="2" t="s">
        <v>456</v>
      </c>
      <c r="E548" s="114"/>
      <c r="F548" s="18"/>
      <c r="G548" s="18"/>
      <c r="H548" s="18"/>
      <c r="I548" s="18"/>
      <c r="J548" s="18"/>
      <c r="K548" s="18"/>
      <c r="L548" s="87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4">
        <v>22</v>
      </c>
      <c r="C549" s="114">
        <v>3</v>
      </c>
      <c r="D549" s="2" t="s">
        <v>456</v>
      </c>
      <c r="E549" s="114"/>
      <c r="F549" s="18"/>
      <c r="G549" s="18"/>
      <c r="H549" s="18"/>
      <c r="I549" s="18"/>
      <c r="J549" s="18"/>
      <c r="K549" s="18"/>
      <c r="L549" s="87">
        <f>SUM(F549:K549)</f>
        <v>0</v>
      </c>
      <c r="M549" s="8"/>
    </row>
    <row r="550" spans="1:13" s="3" customFormat="1" ht="12" customHeight="1" thickTop="1" x14ac:dyDescent="0.15">
      <c r="A550" s="138" t="s">
        <v>63</v>
      </c>
      <c r="B550" s="106">
        <v>22</v>
      </c>
      <c r="C550" s="195">
        <v>4</v>
      </c>
      <c r="D550" s="196" t="s">
        <v>456</v>
      </c>
      <c r="E550" s="195"/>
      <c r="F550" s="107">
        <f t="shared" ref="F550:L550" si="42">SUM(F547:F549)</f>
        <v>0</v>
      </c>
      <c r="G550" s="107">
        <f t="shared" si="42"/>
        <v>0</v>
      </c>
      <c r="H550" s="107">
        <f t="shared" si="42"/>
        <v>0</v>
      </c>
      <c r="I550" s="107">
        <f t="shared" si="42"/>
        <v>0</v>
      </c>
      <c r="J550" s="107">
        <f t="shared" si="42"/>
        <v>0</v>
      </c>
      <c r="K550" s="107">
        <f t="shared" si="42"/>
        <v>0</v>
      </c>
      <c r="L550" s="88">
        <f t="shared" si="42"/>
        <v>0</v>
      </c>
      <c r="M550" s="8"/>
    </row>
    <row r="551" spans="1:13" s="3" customFormat="1" ht="12" customHeight="1" x14ac:dyDescent="0.15">
      <c r="A551" s="95" t="s">
        <v>86</v>
      </c>
      <c r="B551" s="104"/>
      <c r="C551" s="114"/>
      <c r="D551" s="114"/>
      <c r="E551" s="114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4">
        <v>22</v>
      </c>
      <c r="C552" s="114">
        <v>5</v>
      </c>
      <c r="D552" s="2" t="s">
        <v>456</v>
      </c>
      <c r="E552" s="114"/>
      <c r="F552" s="18"/>
      <c r="G552" s="18"/>
      <c r="H552" s="18"/>
      <c r="I552" s="18"/>
      <c r="J552" s="18"/>
      <c r="K552" s="18"/>
      <c r="L552" s="87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4">
        <v>22</v>
      </c>
      <c r="C553" s="114">
        <v>6</v>
      </c>
      <c r="D553" s="2" t="s">
        <v>456</v>
      </c>
      <c r="E553" s="114"/>
      <c r="F553" s="18"/>
      <c r="G553" s="18"/>
      <c r="H553" s="18"/>
      <c r="I553" s="18"/>
      <c r="J553" s="18"/>
      <c r="K553" s="18"/>
      <c r="L553" s="87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4">
        <v>22</v>
      </c>
      <c r="C554" s="117">
        <v>7</v>
      </c>
      <c r="D554" s="2" t="s">
        <v>456</v>
      </c>
      <c r="E554" s="117"/>
      <c r="F554" s="18"/>
      <c r="G554" s="18"/>
      <c r="H554" s="18"/>
      <c r="I554" s="18"/>
      <c r="J554" s="18"/>
      <c r="K554" s="18"/>
      <c r="L554" s="87">
        <f>SUM(F554:K554)</f>
        <v>0</v>
      </c>
      <c r="M554" s="8"/>
    </row>
    <row r="555" spans="1:13" s="3" customFormat="1" ht="12" customHeight="1" thickTop="1" x14ac:dyDescent="0.15">
      <c r="A555" s="138" t="s">
        <v>65</v>
      </c>
      <c r="B555" s="106">
        <v>22</v>
      </c>
      <c r="C555" s="106">
        <v>8</v>
      </c>
      <c r="D555" s="196" t="s">
        <v>456</v>
      </c>
      <c r="E555" s="106"/>
      <c r="F555" s="88">
        <f t="shared" ref="F555:L555" si="43">SUM(F552:F554)</f>
        <v>0</v>
      </c>
      <c r="G555" s="88">
        <f t="shared" si="43"/>
        <v>0</v>
      </c>
      <c r="H555" s="88">
        <f t="shared" si="43"/>
        <v>0</v>
      </c>
      <c r="I555" s="88">
        <f t="shared" si="43"/>
        <v>0</v>
      </c>
      <c r="J555" s="88">
        <f t="shared" si="43"/>
        <v>0</v>
      </c>
      <c r="K555" s="88">
        <f t="shared" si="43"/>
        <v>0</v>
      </c>
      <c r="L555" s="88">
        <f t="shared" si="43"/>
        <v>0</v>
      </c>
      <c r="M555" s="8"/>
    </row>
    <row r="556" spans="1:13" s="3" customFormat="1" ht="12" customHeight="1" x14ac:dyDescent="0.15">
      <c r="A556" s="96" t="s">
        <v>87</v>
      </c>
      <c r="B556" s="104"/>
      <c r="C556" s="104"/>
      <c r="D556" s="104"/>
      <c r="E556" s="104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4">
        <v>22</v>
      </c>
      <c r="C557" s="104">
        <v>9</v>
      </c>
      <c r="D557" s="2" t="s">
        <v>456</v>
      </c>
      <c r="E557" s="104"/>
      <c r="F557" s="18"/>
      <c r="G557" s="18"/>
      <c r="H557" s="18"/>
      <c r="I557" s="18"/>
      <c r="J557" s="18"/>
      <c r="K557" s="18"/>
      <c r="L557" s="87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4">
        <v>22</v>
      </c>
      <c r="C558" s="104">
        <v>10</v>
      </c>
      <c r="D558" s="2" t="s">
        <v>456</v>
      </c>
      <c r="E558" s="104"/>
      <c r="F558" s="18"/>
      <c r="G558" s="18"/>
      <c r="H558" s="18"/>
      <c r="I558" s="18"/>
      <c r="J558" s="18"/>
      <c r="K558" s="18"/>
      <c r="L558" s="87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4">
        <v>22</v>
      </c>
      <c r="C559" s="104">
        <v>11</v>
      </c>
      <c r="D559" s="2" t="s">
        <v>456</v>
      </c>
      <c r="E559" s="104"/>
      <c r="F559" s="18"/>
      <c r="G559" s="18"/>
      <c r="H559" s="18"/>
      <c r="I559" s="18"/>
      <c r="J559" s="18"/>
      <c r="K559" s="18"/>
      <c r="L559" s="87">
        <f>SUM(F559:K559)</f>
        <v>0</v>
      </c>
      <c r="M559" s="8"/>
    </row>
    <row r="560" spans="1:13" s="3" customFormat="1" ht="12" customHeight="1" thickTop="1" thickBot="1" x14ac:dyDescent="0.2">
      <c r="A560" s="129" t="s">
        <v>67</v>
      </c>
      <c r="B560" s="191">
        <v>22</v>
      </c>
      <c r="C560" s="191">
        <v>12</v>
      </c>
      <c r="D560" s="197" t="s">
        <v>456</v>
      </c>
      <c r="E560" s="191"/>
      <c r="F560" s="193">
        <f>SUM(F557:F559)</f>
        <v>0</v>
      </c>
      <c r="G560" s="193">
        <f t="shared" ref="G560:L560" si="44">SUM(G557:G559)</f>
        <v>0</v>
      </c>
      <c r="H560" s="193">
        <f t="shared" si="44"/>
        <v>0</v>
      </c>
      <c r="I560" s="193">
        <f t="shared" si="44"/>
        <v>0</v>
      </c>
      <c r="J560" s="193">
        <f t="shared" si="44"/>
        <v>0</v>
      </c>
      <c r="K560" s="193">
        <f t="shared" si="44"/>
        <v>0</v>
      </c>
      <c r="L560" s="193">
        <f t="shared" si="44"/>
        <v>0</v>
      </c>
      <c r="M560" s="8"/>
    </row>
    <row r="561" spans="1:13" s="3" customFormat="1" ht="12" customHeight="1" thickTop="1" x14ac:dyDescent="0.15">
      <c r="A561" s="97" t="s">
        <v>88</v>
      </c>
      <c r="B561" s="106">
        <v>22</v>
      </c>
      <c r="C561" s="106">
        <v>13</v>
      </c>
      <c r="D561" s="157" t="s">
        <v>456</v>
      </c>
      <c r="E561" s="106"/>
      <c r="F561" s="88">
        <f>F550+F555+F560</f>
        <v>0</v>
      </c>
      <c r="G561" s="88">
        <f t="shared" ref="G561:L561" si="45">G550+G555+G560</f>
        <v>0</v>
      </c>
      <c r="H561" s="88">
        <f t="shared" si="45"/>
        <v>0</v>
      </c>
      <c r="I561" s="88">
        <f t="shared" si="45"/>
        <v>0</v>
      </c>
      <c r="J561" s="88">
        <f t="shared" si="45"/>
        <v>0</v>
      </c>
      <c r="K561" s="88">
        <f t="shared" si="45"/>
        <v>0</v>
      </c>
      <c r="L561" s="88">
        <f t="shared" si="45"/>
        <v>0</v>
      </c>
      <c r="M561" s="8"/>
    </row>
    <row r="562" spans="1:13" s="3" customFormat="1" ht="12" customHeight="1" x14ac:dyDescent="0.15">
      <c r="A562" s="96"/>
      <c r="B562" s="74"/>
      <c r="C562" s="74"/>
      <c r="D562" s="74"/>
      <c r="E562" s="74"/>
      <c r="F562" s="86"/>
      <c r="G562" s="86"/>
      <c r="H562" s="86"/>
      <c r="I562" s="86"/>
      <c r="J562" s="86"/>
      <c r="K562" s="86"/>
      <c r="L562" s="86"/>
      <c r="M562" s="8"/>
    </row>
    <row r="563" spans="1:13" s="3" customFormat="1" ht="12" customHeight="1" x14ac:dyDescent="0.15">
      <c r="A563" s="96" t="s">
        <v>806</v>
      </c>
      <c r="B563" s="74"/>
      <c r="C563" s="74"/>
      <c r="D563" s="74"/>
      <c r="E563" s="74"/>
      <c r="F563" s="86"/>
      <c r="G563" s="86"/>
      <c r="H563" s="86"/>
      <c r="I563" s="86"/>
      <c r="J563" s="86"/>
      <c r="K563" s="86"/>
      <c r="L563" s="86"/>
      <c r="M563" s="8"/>
    </row>
    <row r="564" spans="1:13" s="3" customFormat="1" ht="12" customHeight="1" x14ac:dyDescent="0.15">
      <c r="A564" s="96" t="s">
        <v>89</v>
      </c>
      <c r="B564" s="74"/>
      <c r="C564" s="74"/>
      <c r="D564" s="74"/>
      <c r="E564" s="74" t="s">
        <v>95</v>
      </c>
      <c r="F564" s="100" t="s">
        <v>90</v>
      </c>
      <c r="G564" s="100" t="s">
        <v>91</v>
      </c>
      <c r="H564" s="100" t="s">
        <v>92</v>
      </c>
      <c r="I564" s="100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8" t="s">
        <v>703</v>
      </c>
      <c r="B565" s="74">
        <v>22</v>
      </c>
      <c r="C565" s="74">
        <v>14</v>
      </c>
      <c r="D565" s="2" t="s">
        <v>456</v>
      </c>
      <c r="E565" s="74">
        <v>561</v>
      </c>
      <c r="F565" s="18"/>
      <c r="G565" s="18"/>
      <c r="H565" s="271">
        <v>8614</v>
      </c>
      <c r="I565" s="86">
        <f>SUM(F565:H565)</f>
        <v>8614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8" t="s">
        <v>704</v>
      </c>
      <c r="B566" s="74">
        <v>22</v>
      </c>
      <c r="C566" s="74">
        <v>15</v>
      </c>
      <c r="D566" s="2" t="s">
        <v>456</v>
      </c>
      <c r="E566" s="74">
        <v>562</v>
      </c>
      <c r="F566" s="18"/>
      <c r="G566" s="18"/>
      <c r="H566" s="18"/>
      <c r="I566" s="86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8" t="s">
        <v>775</v>
      </c>
      <c r="B567" s="74">
        <v>22</v>
      </c>
      <c r="C567" s="74">
        <v>16</v>
      </c>
      <c r="D567" s="2" t="s">
        <v>456</v>
      </c>
      <c r="E567" s="74">
        <v>563</v>
      </c>
      <c r="F567" s="24" t="s">
        <v>312</v>
      </c>
      <c r="G567" s="24" t="s">
        <v>312</v>
      </c>
      <c r="H567" s="18"/>
      <c r="I567" s="86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8" t="s">
        <v>708</v>
      </c>
      <c r="B568" s="74">
        <v>22</v>
      </c>
      <c r="C568" s="74">
        <v>17</v>
      </c>
      <c r="D568" s="2" t="s">
        <v>456</v>
      </c>
      <c r="E568" s="74">
        <v>564</v>
      </c>
      <c r="F568" s="18"/>
      <c r="G568" s="18"/>
      <c r="H568" s="18"/>
      <c r="I568" s="86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8" t="s">
        <v>705</v>
      </c>
      <c r="B569" s="74">
        <v>22</v>
      </c>
      <c r="C569" s="74">
        <v>18</v>
      </c>
      <c r="D569" s="2" t="s">
        <v>456</v>
      </c>
      <c r="E569" s="74">
        <v>561</v>
      </c>
      <c r="F569" s="18"/>
      <c r="G569" s="18"/>
      <c r="H569" s="18"/>
      <c r="I569" s="86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8" t="s">
        <v>706</v>
      </c>
      <c r="B570" s="74">
        <v>22</v>
      </c>
      <c r="C570" s="74">
        <v>19</v>
      </c>
      <c r="D570" s="2" t="s">
        <v>456</v>
      </c>
      <c r="E570" s="74">
        <v>562</v>
      </c>
      <c r="F570" s="18"/>
      <c r="G570" s="18"/>
      <c r="H570" s="18"/>
      <c r="I570" s="86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5" t="s">
        <v>776</v>
      </c>
      <c r="B571" s="74">
        <v>22</v>
      </c>
      <c r="C571" s="74">
        <v>20</v>
      </c>
      <c r="D571" s="2" t="s">
        <v>456</v>
      </c>
      <c r="E571" s="74">
        <v>563</v>
      </c>
      <c r="F571" s="24" t="s">
        <v>312</v>
      </c>
      <c r="G571" s="24" t="s">
        <v>312</v>
      </c>
      <c r="H571" s="18"/>
      <c r="I571" s="86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5" t="s">
        <v>707</v>
      </c>
      <c r="B572" s="74">
        <v>22</v>
      </c>
      <c r="C572" s="74">
        <v>21</v>
      </c>
      <c r="D572" s="2" t="s">
        <v>456</v>
      </c>
      <c r="E572" s="74">
        <v>564</v>
      </c>
      <c r="F572" s="18"/>
      <c r="G572" s="18"/>
      <c r="H572" s="18"/>
      <c r="I572" s="86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5" t="s">
        <v>670</v>
      </c>
      <c r="B573" s="74">
        <v>22</v>
      </c>
      <c r="C573" s="74">
        <v>22</v>
      </c>
      <c r="D573" s="2" t="s">
        <v>456</v>
      </c>
      <c r="E573" s="74">
        <v>569</v>
      </c>
      <c r="F573" s="18"/>
      <c r="G573" s="271">
        <v>130766.51</v>
      </c>
      <c r="H573" s="271">
        <v>371112.09</v>
      </c>
      <c r="I573" s="86">
        <f t="shared" si="46"/>
        <v>501878.60000000003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4">
        <v>22</v>
      </c>
      <c r="C574" s="74">
        <v>23</v>
      </c>
      <c r="D574" s="2" t="s">
        <v>456</v>
      </c>
      <c r="E574" s="74">
        <v>561</v>
      </c>
      <c r="F574" s="18"/>
      <c r="G574" s="18"/>
      <c r="H574" s="271">
        <v>29055.599999999999</v>
      </c>
      <c r="I574" s="86">
        <f t="shared" si="46"/>
        <v>29055.599999999999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4">
        <v>22</v>
      </c>
      <c r="C575" s="74">
        <v>24</v>
      </c>
      <c r="D575" s="2" t="s">
        <v>456</v>
      </c>
      <c r="E575" s="74">
        <v>562</v>
      </c>
      <c r="F575" s="18"/>
      <c r="G575" s="18"/>
      <c r="H575" s="18"/>
      <c r="I575" s="86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4">
        <v>22</v>
      </c>
      <c r="C576" s="74">
        <v>25</v>
      </c>
      <c r="D576" s="2" t="s">
        <v>456</v>
      </c>
      <c r="E576" s="74">
        <v>563</v>
      </c>
      <c r="F576" s="24" t="s">
        <v>312</v>
      </c>
      <c r="G576" s="24" t="s">
        <v>312</v>
      </c>
      <c r="H576" s="18"/>
      <c r="I576" s="86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4">
        <v>22</v>
      </c>
      <c r="C577" s="74">
        <v>26</v>
      </c>
      <c r="D577" s="2" t="s">
        <v>456</v>
      </c>
      <c r="E577" s="74">
        <v>564</v>
      </c>
      <c r="F577" s="18"/>
      <c r="G577" s="18"/>
      <c r="H577" s="18"/>
      <c r="I577" s="86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2" t="s">
        <v>778</v>
      </c>
      <c r="B578" s="104"/>
      <c r="C578" s="104"/>
      <c r="D578" s="104"/>
      <c r="E578" s="104"/>
      <c r="F578" s="102"/>
      <c r="G578" s="102"/>
      <c r="H578" s="102"/>
      <c r="I578" s="102"/>
      <c r="J578" s="102"/>
      <c r="K578" s="102"/>
      <c r="L578" s="102"/>
      <c r="M578" s="8"/>
    </row>
    <row r="579" spans="1:13" s="3" customFormat="1" ht="12" customHeight="1" x14ac:dyDescent="0.15">
      <c r="A579" s="146" t="s">
        <v>688</v>
      </c>
      <c r="B579" s="104"/>
      <c r="C579" s="104"/>
      <c r="D579" s="104"/>
      <c r="E579" s="104"/>
      <c r="F579" s="102"/>
      <c r="G579" s="102"/>
      <c r="H579" s="102"/>
      <c r="I579" s="102"/>
      <c r="J579" s="102"/>
      <c r="K579" s="102"/>
      <c r="L579" s="102"/>
      <c r="M579" s="8"/>
    </row>
    <row r="580" spans="1:13" s="3" customFormat="1" ht="12" customHeight="1" x14ac:dyDescent="0.15">
      <c r="A580" s="95" t="s">
        <v>89</v>
      </c>
      <c r="B580" s="104"/>
      <c r="C580" s="104"/>
      <c r="D580" s="104"/>
      <c r="E580" s="104"/>
      <c r="F580" s="102" t="s">
        <v>94</v>
      </c>
      <c r="G580" s="102" t="s">
        <v>95</v>
      </c>
      <c r="H580" s="102" t="s">
        <v>61</v>
      </c>
      <c r="I580" s="102" t="s">
        <v>96</v>
      </c>
      <c r="J580" s="102" t="s">
        <v>62</v>
      </c>
      <c r="K580" s="102" t="s">
        <v>5</v>
      </c>
      <c r="L580" s="102"/>
      <c r="M580" s="8"/>
    </row>
    <row r="581" spans="1:13" s="3" customFormat="1" ht="12" customHeight="1" x14ac:dyDescent="0.15">
      <c r="A581" s="3" t="s">
        <v>671</v>
      </c>
      <c r="B581" s="74">
        <v>23</v>
      </c>
      <c r="C581" s="74">
        <v>1</v>
      </c>
      <c r="D581" s="2" t="s">
        <v>456</v>
      </c>
      <c r="E581" s="74"/>
      <c r="F581" s="101">
        <v>2721</v>
      </c>
      <c r="G581" s="102" t="s">
        <v>97</v>
      </c>
      <c r="H581" s="10">
        <v>180770.60890799999</v>
      </c>
      <c r="I581" s="10">
        <v>164321.38072799999</v>
      </c>
      <c r="J581" s="10">
        <v>82160.690363999995</v>
      </c>
      <c r="K581" s="103">
        <f t="shared" ref="K581:K587" si="47">SUM(H581:J581)</f>
        <v>427252.68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4">
        <v>23</v>
      </c>
      <c r="C582" s="74">
        <v>2</v>
      </c>
      <c r="D582" s="2" t="s">
        <v>456</v>
      </c>
      <c r="E582" s="74"/>
      <c r="F582" s="101">
        <v>2722</v>
      </c>
      <c r="G582" s="102" t="s">
        <v>97</v>
      </c>
      <c r="H582" s="10">
        <v>72477.836171999996</v>
      </c>
      <c r="I582" s="10">
        <v>69765.931620000003</v>
      </c>
      <c r="J582" s="10">
        <v>76458.212207999997</v>
      </c>
      <c r="K582" s="103">
        <f t="shared" si="47"/>
        <v>218701.97999999998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4">
        <v>23</v>
      </c>
      <c r="C583" s="74">
        <v>3</v>
      </c>
      <c r="D583" s="2" t="s">
        <v>456</v>
      </c>
      <c r="E583" s="74"/>
      <c r="F583" s="101">
        <v>2723</v>
      </c>
      <c r="G583" s="102" t="s">
        <v>97</v>
      </c>
      <c r="H583" s="18"/>
      <c r="I583" s="18"/>
      <c r="J583" s="271">
        <v>28725</v>
      </c>
      <c r="K583" s="103">
        <f t="shared" si="47"/>
        <v>28725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4">
        <v>23</v>
      </c>
      <c r="C584" s="74">
        <v>4</v>
      </c>
      <c r="D584" s="2" t="s">
        <v>456</v>
      </c>
      <c r="E584" s="74"/>
      <c r="F584" s="101">
        <v>2724</v>
      </c>
      <c r="G584" s="102" t="s">
        <v>97</v>
      </c>
      <c r="H584" s="18"/>
      <c r="I584" s="271">
        <v>8344.24</v>
      </c>
      <c r="J584" s="271">
        <v>50937.53</v>
      </c>
      <c r="K584" s="103">
        <f t="shared" si="47"/>
        <v>59281.77</v>
      </c>
      <c r="L584" s="24" t="s">
        <v>312</v>
      </c>
      <c r="M584" s="8"/>
    </row>
    <row r="585" spans="1:13" s="3" customFormat="1" ht="12" customHeight="1" x14ac:dyDescent="0.15">
      <c r="A585" s="170" t="s">
        <v>686</v>
      </c>
      <c r="B585" s="74">
        <v>23</v>
      </c>
      <c r="C585" s="74">
        <v>5</v>
      </c>
      <c r="D585" s="2" t="s">
        <v>456</v>
      </c>
      <c r="E585" s="74"/>
      <c r="F585" s="101">
        <v>2725</v>
      </c>
      <c r="G585" s="102" t="s">
        <v>97</v>
      </c>
      <c r="H585" s="271">
        <v>1272.29</v>
      </c>
      <c r="I585" s="271">
        <v>1783.97</v>
      </c>
      <c r="J585" s="271">
        <v>4649.6099999999997</v>
      </c>
      <c r="K585" s="103">
        <f t="shared" si="47"/>
        <v>7705.87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4">
        <v>23</v>
      </c>
      <c r="C586" s="74">
        <v>6</v>
      </c>
      <c r="D586" s="2" t="s">
        <v>456</v>
      </c>
      <c r="E586" s="74"/>
      <c r="F586" s="101">
        <v>2726</v>
      </c>
      <c r="G586" s="102" t="s">
        <v>97</v>
      </c>
      <c r="H586" s="18"/>
      <c r="I586" s="18"/>
      <c r="J586" s="18"/>
      <c r="K586" s="103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4">
        <v>23</v>
      </c>
      <c r="C587" s="74">
        <v>7</v>
      </c>
      <c r="D587" s="2" t="s">
        <v>456</v>
      </c>
      <c r="E587" s="74"/>
      <c r="F587" s="101">
        <v>2729</v>
      </c>
      <c r="G587" s="102" t="s">
        <v>97</v>
      </c>
      <c r="H587" s="18"/>
      <c r="I587" s="18"/>
      <c r="J587" s="18"/>
      <c r="K587" s="103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7" t="s">
        <v>364</v>
      </c>
      <c r="B588" s="44">
        <v>23</v>
      </c>
      <c r="C588" s="44">
        <v>8</v>
      </c>
      <c r="D588" s="39" t="s">
        <v>456</v>
      </c>
      <c r="E588" s="44"/>
      <c r="F588" s="147">
        <v>2700</v>
      </c>
      <c r="G588" s="148" t="s">
        <v>97</v>
      </c>
      <c r="H588" s="107">
        <f>SUM(H581:H587)</f>
        <v>254520.73507999998</v>
      </c>
      <c r="I588" s="107">
        <f>SUM(I581:I587)</f>
        <v>244215.522348</v>
      </c>
      <c r="J588" s="107">
        <f>SUM(J581:J587)</f>
        <v>242931.04257199998</v>
      </c>
      <c r="K588" s="107">
        <f>SUM(K581:K587)</f>
        <v>741667.29999999993</v>
      </c>
      <c r="L588" s="24" t="s">
        <v>312</v>
      </c>
      <c r="M588" s="8"/>
    </row>
    <row r="589" spans="1:13" s="3" customFormat="1" ht="12" customHeight="1" x14ac:dyDescent="0.15">
      <c r="A589" s="22"/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</row>
    <row r="590" spans="1:13" s="3" customFormat="1" ht="12" customHeight="1" x14ac:dyDescent="0.15">
      <c r="A590" s="95" t="s">
        <v>98</v>
      </c>
      <c r="B590" s="104"/>
      <c r="C590" s="104"/>
      <c r="D590" s="104"/>
      <c r="E590" s="104"/>
      <c r="F590" s="102"/>
      <c r="G590" s="102"/>
      <c r="H590" s="102"/>
      <c r="I590" s="102"/>
      <c r="J590" s="102"/>
      <c r="K590" s="102"/>
      <c r="L590" s="102"/>
      <c r="M590" s="8"/>
    </row>
    <row r="591" spans="1:13" s="3" customFormat="1" ht="12" customHeight="1" x14ac:dyDescent="0.15">
      <c r="A591" s="95" t="s">
        <v>89</v>
      </c>
      <c r="B591" s="104"/>
      <c r="C591" s="104"/>
      <c r="D591" s="104"/>
      <c r="E591" s="104"/>
      <c r="F591" s="102" t="s">
        <v>94</v>
      </c>
      <c r="G591" s="102" t="s">
        <v>95</v>
      </c>
      <c r="H591" s="102" t="s">
        <v>61</v>
      </c>
      <c r="I591" s="102" t="s">
        <v>96</v>
      </c>
      <c r="J591" s="102" t="s">
        <v>62</v>
      </c>
      <c r="K591" s="102" t="s">
        <v>5</v>
      </c>
      <c r="L591" s="102"/>
      <c r="M591" s="8"/>
    </row>
    <row r="592" spans="1:13" s="3" customFormat="1" ht="12" customHeight="1" x14ac:dyDescent="0.15">
      <c r="A592" s="22" t="s">
        <v>676</v>
      </c>
      <c r="B592" s="104">
        <v>23</v>
      </c>
      <c r="C592" s="104">
        <v>9</v>
      </c>
      <c r="D592" s="2" t="s">
        <v>456</v>
      </c>
      <c r="E592" s="104"/>
      <c r="F592" s="102" t="s">
        <v>500</v>
      </c>
      <c r="G592" s="101">
        <v>710</v>
      </c>
      <c r="H592" s="18"/>
      <c r="I592" s="18"/>
      <c r="J592" s="18"/>
      <c r="K592" s="103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4">
        <v>23</v>
      </c>
      <c r="C593" s="104">
        <v>10</v>
      </c>
      <c r="D593" s="2" t="s">
        <v>456</v>
      </c>
      <c r="E593" s="104"/>
      <c r="F593" s="102" t="s">
        <v>500</v>
      </c>
      <c r="G593" s="101">
        <v>720</v>
      </c>
      <c r="H593" s="18"/>
      <c r="I593" s="18"/>
      <c r="J593" s="18"/>
      <c r="K593" s="103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4">
        <v>23</v>
      </c>
      <c r="C594" s="104">
        <v>11</v>
      </c>
      <c r="D594" s="2" t="s">
        <v>456</v>
      </c>
      <c r="E594" s="104"/>
      <c r="F594" s="102" t="s">
        <v>500</v>
      </c>
      <c r="G594" s="101">
        <v>730</v>
      </c>
      <c r="H594" s="18">
        <v>43688.01949339312</v>
      </c>
      <c r="I594" s="18">
        <v>56050.7</v>
      </c>
      <c r="J594" s="18">
        <v>113541.64871535562</v>
      </c>
      <c r="K594" s="103">
        <f>SUM(H594:J594)</f>
        <v>213280.36820874875</v>
      </c>
      <c r="L594" s="24" t="s">
        <v>312</v>
      </c>
      <c r="M594" s="8"/>
    </row>
    <row r="595" spans="1:13" s="3" customFormat="1" ht="12" customHeight="1" thickTop="1" x14ac:dyDescent="0.15">
      <c r="A595" s="97" t="s">
        <v>364</v>
      </c>
      <c r="B595" s="44">
        <v>23</v>
      </c>
      <c r="C595" s="44">
        <v>12</v>
      </c>
      <c r="D595" s="39" t="s">
        <v>456</v>
      </c>
      <c r="E595" s="44"/>
      <c r="F595" s="148" t="s">
        <v>500</v>
      </c>
      <c r="G595" s="147">
        <v>700</v>
      </c>
      <c r="H595" s="107">
        <f>SUM(H592:H594)</f>
        <v>43688.01949339312</v>
      </c>
      <c r="I595" s="107">
        <f>SUM(I592:I594)</f>
        <v>56050.7</v>
      </c>
      <c r="J595" s="107">
        <f>SUM(J592:J594)</f>
        <v>113541.64871535562</v>
      </c>
      <c r="K595" s="107">
        <f>SUM(K592:K594)</f>
        <v>213280.36820874875</v>
      </c>
      <c r="L595" s="24" t="s">
        <v>312</v>
      </c>
      <c r="M595" s="8"/>
    </row>
    <row r="596" spans="1:13" s="3" customFormat="1" ht="12" customHeight="1" x14ac:dyDescent="0.15">
      <c r="A596" s="22"/>
      <c r="B596" s="104"/>
      <c r="C596" s="104"/>
      <c r="D596" s="104"/>
      <c r="E596" s="104"/>
      <c r="F596" s="102"/>
      <c r="G596" s="102"/>
      <c r="H596" s="102"/>
      <c r="I596" s="102"/>
      <c r="J596" s="102"/>
      <c r="K596" s="102"/>
      <c r="L596" s="87"/>
      <c r="M596" s="8"/>
    </row>
    <row r="597" spans="1:13" s="3" customFormat="1" ht="12" customHeight="1" x14ac:dyDescent="0.15">
      <c r="A597" s="95"/>
      <c r="B597" s="104"/>
      <c r="C597" s="104"/>
      <c r="D597" s="104"/>
      <c r="E597" s="104"/>
      <c r="F597" s="102"/>
      <c r="G597" s="102"/>
      <c r="H597" s="102"/>
      <c r="I597" s="102"/>
      <c r="J597" s="102"/>
      <c r="K597" s="102"/>
      <c r="L597" s="87"/>
      <c r="M597" s="8"/>
    </row>
    <row r="598" spans="1:13" s="3" customFormat="1" ht="12" customHeight="1" x14ac:dyDescent="0.15">
      <c r="A598" s="95" t="s">
        <v>611</v>
      </c>
      <c r="B598" s="104"/>
      <c r="C598" s="104"/>
      <c r="D598" s="104"/>
      <c r="E598" s="104"/>
      <c r="F598" s="102"/>
      <c r="G598" s="102"/>
      <c r="H598" s="102"/>
      <c r="I598" s="102"/>
      <c r="J598" s="102"/>
      <c r="K598" s="102"/>
      <c r="L598" s="87"/>
      <c r="M598" s="8"/>
    </row>
    <row r="599" spans="1:13" s="3" customFormat="1" ht="12" customHeight="1" x14ac:dyDescent="0.15">
      <c r="B599" s="104"/>
      <c r="C599" s="104"/>
      <c r="D599" s="104"/>
      <c r="E599" s="104"/>
      <c r="F599" s="176" t="s">
        <v>724</v>
      </c>
      <c r="G599" s="176" t="s">
        <v>725</v>
      </c>
      <c r="H599" s="176" t="s">
        <v>726</v>
      </c>
      <c r="I599" s="176" t="s">
        <v>727</v>
      </c>
      <c r="J599" s="176" t="s">
        <v>728</v>
      </c>
      <c r="K599" s="176" t="s">
        <v>729</v>
      </c>
      <c r="L599" s="87"/>
      <c r="M599" s="8"/>
    </row>
    <row r="600" spans="1:13" s="3" customFormat="1" ht="12" customHeight="1" x14ac:dyDescent="0.15">
      <c r="A600" s="95" t="s">
        <v>89</v>
      </c>
      <c r="B600" s="104"/>
      <c r="C600" s="104"/>
      <c r="D600" s="104"/>
      <c r="E600" s="104"/>
      <c r="F600" s="102" t="s">
        <v>54</v>
      </c>
      <c r="G600" s="102" t="s">
        <v>55</v>
      </c>
      <c r="H600" s="102" t="s">
        <v>56</v>
      </c>
      <c r="I600" s="102" t="s">
        <v>57</v>
      </c>
      <c r="J600" s="102" t="s">
        <v>58</v>
      </c>
      <c r="K600" s="102" t="s">
        <v>59</v>
      </c>
      <c r="L600" s="105" t="s">
        <v>5</v>
      </c>
      <c r="M600" s="8"/>
    </row>
    <row r="601" spans="1:13" s="3" customFormat="1" ht="12" customHeight="1" x14ac:dyDescent="0.15">
      <c r="A601" s="22" t="s">
        <v>667</v>
      </c>
      <c r="B601" s="74">
        <v>23</v>
      </c>
      <c r="C601" s="74">
        <v>13</v>
      </c>
      <c r="D601" s="2" t="s">
        <v>456</v>
      </c>
      <c r="E601" s="74"/>
      <c r="F601" s="10">
        <v>25390.723677581864</v>
      </c>
      <c r="G601" s="10">
        <v>3392.4617215365238</v>
      </c>
      <c r="H601" s="18"/>
      <c r="I601" s="18"/>
      <c r="J601" s="18"/>
      <c r="K601" s="18"/>
      <c r="L601" s="87">
        <f>SUM(F601:K601)</f>
        <v>28783.185399118389</v>
      </c>
      <c r="M601" s="8"/>
    </row>
    <row r="602" spans="1:13" s="3" customFormat="1" ht="12" customHeight="1" x14ac:dyDescent="0.15">
      <c r="A602" s="22" t="s">
        <v>668</v>
      </c>
      <c r="B602" s="74">
        <v>23</v>
      </c>
      <c r="C602" s="74">
        <v>14</v>
      </c>
      <c r="D602" s="2" t="s">
        <v>456</v>
      </c>
      <c r="E602" s="74"/>
      <c r="F602" s="10">
        <v>22994.22913098237</v>
      </c>
      <c r="G602" s="10">
        <v>3043.5173509382871</v>
      </c>
      <c r="H602" s="18"/>
      <c r="I602" s="18"/>
      <c r="J602" s="18"/>
      <c r="K602" s="18"/>
      <c r="L602" s="87">
        <f>SUM(F602:K602)</f>
        <v>26037.746481920658</v>
      </c>
      <c r="M602" s="8"/>
    </row>
    <row r="603" spans="1:13" s="3" customFormat="1" ht="12" customHeight="1" thickBot="1" x14ac:dyDescent="0.2">
      <c r="A603" s="22" t="s">
        <v>679</v>
      </c>
      <c r="B603" s="74">
        <v>23</v>
      </c>
      <c r="C603" s="74">
        <v>15</v>
      </c>
      <c r="D603" s="2" t="s">
        <v>456</v>
      </c>
      <c r="E603" s="74"/>
      <c r="F603" s="10">
        <v>18869.447191435771</v>
      </c>
      <c r="G603" s="10">
        <v>2716.162527525189</v>
      </c>
      <c r="H603" s="18"/>
      <c r="I603" s="18"/>
      <c r="J603" s="18"/>
      <c r="K603" s="18"/>
      <c r="L603" s="87">
        <f>SUM(F603:K603)</f>
        <v>21585.609718960961</v>
      </c>
      <c r="M603" s="8"/>
    </row>
    <row r="604" spans="1:13" s="3" customFormat="1" ht="12" customHeight="1" thickTop="1" x14ac:dyDescent="0.15">
      <c r="A604" s="97" t="s">
        <v>364</v>
      </c>
      <c r="B604" s="106">
        <v>23</v>
      </c>
      <c r="C604" s="106">
        <v>16</v>
      </c>
      <c r="D604" s="39" t="s">
        <v>456</v>
      </c>
      <c r="E604" s="106"/>
      <c r="F604" s="107">
        <f t="shared" ref="F604:L604" si="48">SUM(F601:F603)</f>
        <v>67254.400000000009</v>
      </c>
      <c r="G604" s="107">
        <f t="shared" si="48"/>
        <v>9152.141599999999</v>
      </c>
      <c r="H604" s="107">
        <f t="shared" si="48"/>
        <v>0</v>
      </c>
      <c r="I604" s="107">
        <f t="shared" si="48"/>
        <v>0</v>
      </c>
      <c r="J604" s="107">
        <f t="shared" si="48"/>
        <v>0</v>
      </c>
      <c r="K604" s="107">
        <f t="shared" si="48"/>
        <v>0</v>
      </c>
      <c r="L604" s="88">
        <f t="shared" si="48"/>
        <v>76406.541600000011</v>
      </c>
      <c r="M604" s="8"/>
    </row>
    <row r="605" spans="1:13" s="3" customFormat="1" ht="12" customHeight="1" x14ac:dyDescent="0.15">
      <c r="A605" s="96"/>
      <c r="B605" s="104"/>
      <c r="C605" s="104"/>
      <c r="D605" s="104"/>
      <c r="E605" s="104"/>
      <c r="F605" s="108"/>
      <c r="G605" s="108"/>
      <c r="H605" s="108"/>
      <c r="I605" s="108"/>
      <c r="J605" s="108"/>
      <c r="K605" s="108"/>
      <c r="L605" s="108"/>
      <c r="M605" s="8"/>
    </row>
    <row r="606" spans="1:13" s="3" customFormat="1" ht="12" customHeight="1" x14ac:dyDescent="0.15">
      <c r="A606" s="96"/>
      <c r="B606" s="104"/>
      <c r="C606" s="104"/>
      <c r="D606" s="104"/>
      <c r="E606" s="104"/>
      <c r="F606" s="149" t="s">
        <v>53</v>
      </c>
      <c r="G606" s="150"/>
      <c r="H606" s="150"/>
      <c r="I606" s="149" t="s">
        <v>53</v>
      </c>
      <c r="J606" s="108"/>
      <c r="K606" s="108"/>
      <c r="L606" s="108"/>
      <c r="M606" s="8"/>
    </row>
    <row r="607" spans="1:13" s="3" customFormat="1" ht="12" customHeight="1" x14ac:dyDescent="0.15">
      <c r="A607" s="96" t="s">
        <v>99</v>
      </c>
      <c r="B607" s="104"/>
      <c r="C607" s="104"/>
      <c r="D607" s="104"/>
      <c r="E607" s="104"/>
      <c r="F607" s="120" t="s">
        <v>717</v>
      </c>
      <c r="G607" s="108">
        <f>SUM(F19)</f>
        <v>1634020.1300000001</v>
      </c>
      <c r="H607" s="108">
        <f>SUM(F44)</f>
        <v>1634020.13</v>
      </c>
      <c r="I607" s="120" t="s">
        <v>100</v>
      </c>
      <c r="J607" s="108">
        <f>G607-H607</f>
        <v>0</v>
      </c>
      <c r="K607" s="108"/>
      <c r="L607" s="108"/>
      <c r="M607" s="8"/>
    </row>
    <row r="608" spans="1:13" s="3" customFormat="1" ht="12" customHeight="1" x14ac:dyDescent="0.15">
      <c r="A608" s="96" t="s">
        <v>101</v>
      </c>
      <c r="B608" s="104"/>
      <c r="C608" s="104"/>
      <c r="D608" s="104"/>
      <c r="E608" s="104"/>
      <c r="F608" s="120" t="s">
        <v>718</v>
      </c>
      <c r="G608" s="108">
        <f>SUM(G19)</f>
        <v>101563.57</v>
      </c>
      <c r="H608" s="108">
        <f>SUM(G44)</f>
        <v>101563.57</v>
      </c>
      <c r="I608" s="120" t="s">
        <v>102</v>
      </c>
      <c r="J608" s="108">
        <f>G608-H608</f>
        <v>0</v>
      </c>
      <c r="K608" s="108"/>
      <c r="L608" s="108"/>
      <c r="M608" s="8"/>
    </row>
    <row r="609" spans="1:13" s="3" customFormat="1" ht="12" customHeight="1" x14ac:dyDescent="0.15">
      <c r="A609" s="96"/>
      <c r="B609" s="104"/>
      <c r="C609" s="104"/>
      <c r="D609" s="104"/>
      <c r="E609" s="104"/>
      <c r="F609" s="120" t="s">
        <v>719</v>
      </c>
      <c r="G609" s="108">
        <f>SUM(H19)</f>
        <v>171154.58</v>
      </c>
      <c r="H609" s="108">
        <f>SUM(H44)</f>
        <v>171154.58</v>
      </c>
      <c r="I609" s="120" t="s">
        <v>103</v>
      </c>
      <c r="J609" s="108">
        <f>G609-H609</f>
        <v>0</v>
      </c>
      <c r="K609" s="108"/>
      <c r="L609" s="108"/>
      <c r="M609" s="8"/>
    </row>
    <row r="610" spans="1:13" s="3" customFormat="1" ht="12" customHeight="1" x14ac:dyDescent="0.15">
      <c r="A610" s="96"/>
      <c r="B610" s="104"/>
      <c r="C610" s="104"/>
      <c r="D610" s="104"/>
      <c r="E610" s="104"/>
      <c r="F610" s="120" t="s">
        <v>720</v>
      </c>
      <c r="G610" s="108">
        <f>SUM(I19)</f>
        <v>0</v>
      </c>
      <c r="H610" s="108">
        <f>SUM(I44)</f>
        <v>0</v>
      </c>
      <c r="I610" s="120" t="s">
        <v>104</v>
      </c>
      <c r="J610" s="108">
        <f>G610-H610</f>
        <v>0</v>
      </c>
      <c r="K610" s="108"/>
      <c r="L610" s="108"/>
      <c r="M610" s="8"/>
    </row>
    <row r="611" spans="1:13" s="3" customFormat="1" ht="12" customHeight="1" x14ac:dyDescent="0.15">
      <c r="A611" s="96"/>
      <c r="B611" s="104"/>
      <c r="C611" s="104"/>
      <c r="D611" s="104"/>
      <c r="E611" s="104"/>
      <c r="F611" s="120" t="s">
        <v>721</v>
      </c>
      <c r="G611" s="108">
        <f>SUM(J19)</f>
        <v>154496.51999999999</v>
      </c>
      <c r="H611" s="108">
        <f>SUM(J44)</f>
        <v>154496.51999999999</v>
      </c>
      <c r="I611" s="120" t="s">
        <v>105</v>
      </c>
      <c r="J611" s="108">
        <f>G611-H611</f>
        <v>0</v>
      </c>
      <c r="K611" s="108"/>
      <c r="L611" s="108"/>
      <c r="M611" s="8"/>
    </row>
    <row r="612" spans="1:13" s="3" customFormat="1" ht="12" customHeight="1" x14ac:dyDescent="0.15">
      <c r="A612" s="96"/>
      <c r="B612" s="104"/>
      <c r="C612" s="104"/>
      <c r="D612" s="104"/>
      <c r="E612" s="104"/>
      <c r="F612" s="120" t="s">
        <v>722</v>
      </c>
      <c r="G612" s="108">
        <f>F43</f>
        <v>1000957.6</v>
      </c>
      <c r="H612" s="108">
        <f>F466</f>
        <v>1000957.6000000052</v>
      </c>
      <c r="I612" s="120" t="s">
        <v>106</v>
      </c>
      <c r="J612" s="108">
        <f t="shared" ref="J612:J645" si="49">G612-H612</f>
        <v>-5.2386894822120667E-9</v>
      </c>
      <c r="K612" s="108"/>
      <c r="L612" s="108"/>
      <c r="M612" s="8"/>
    </row>
    <row r="613" spans="1:13" s="3" customFormat="1" ht="12" customHeight="1" x14ac:dyDescent="0.15">
      <c r="A613" s="96"/>
      <c r="B613" s="104"/>
      <c r="C613" s="118"/>
      <c r="D613" s="118"/>
      <c r="E613" s="118"/>
      <c r="F613" s="118" t="s">
        <v>107</v>
      </c>
      <c r="G613" s="108">
        <f>G43</f>
        <v>93607.11</v>
      </c>
      <c r="H613" s="108">
        <f>G466</f>
        <v>93607.10999999987</v>
      </c>
      <c r="I613" s="120" t="s">
        <v>108</v>
      </c>
      <c r="J613" s="108">
        <f t="shared" si="49"/>
        <v>1.3096723705530167E-10</v>
      </c>
      <c r="K613" s="108"/>
      <c r="L613" s="108"/>
      <c r="M613" s="8"/>
    </row>
    <row r="614" spans="1:13" s="3" customFormat="1" ht="12" customHeight="1" x14ac:dyDescent="0.15">
      <c r="A614" s="96"/>
      <c r="B614" s="104"/>
      <c r="C614" s="104"/>
      <c r="D614" s="104"/>
      <c r="E614" s="104"/>
      <c r="F614" s="119" t="s">
        <v>109</v>
      </c>
      <c r="G614" s="108">
        <f>H43</f>
        <v>0</v>
      </c>
      <c r="H614" s="108">
        <f>H466</f>
        <v>0</v>
      </c>
      <c r="I614" s="120" t="s">
        <v>110</v>
      </c>
      <c r="J614" s="108">
        <f t="shared" si="49"/>
        <v>0</v>
      </c>
      <c r="K614" s="108"/>
      <c r="L614" s="108"/>
      <c r="M614" s="8"/>
    </row>
    <row r="615" spans="1:13" s="3" customFormat="1" ht="12" customHeight="1" x14ac:dyDescent="0.15">
      <c r="A615" s="96"/>
      <c r="B615" s="104"/>
      <c r="C615" s="104"/>
      <c r="D615" s="104"/>
      <c r="E615" s="104"/>
      <c r="F615" s="119" t="s">
        <v>111</v>
      </c>
      <c r="G615" s="108">
        <f>I43</f>
        <v>0</v>
      </c>
      <c r="H615" s="108">
        <f>I466</f>
        <v>0</v>
      </c>
      <c r="I615" s="120" t="s">
        <v>112</v>
      </c>
      <c r="J615" s="108">
        <f t="shared" si="49"/>
        <v>0</v>
      </c>
      <c r="K615" s="108"/>
      <c r="L615" s="108"/>
      <c r="M615" s="8"/>
    </row>
    <row r="616" spans="1:13" s="3" customFormat="1" ht="12" customHeight="1" x14ac:dyDescent="0.15">
      <c r="A616" s="22"/>
      <c r="B616" s="104"/>
      <c r="C616" s="104"/>
      <c r="D616" s="104"/>
      <c r="E616" s="104"/>
      <c r="F616" s="119" t="s">
        <v>113</v>
      </c>
      <c r="G616" s="108">
        <f>J43</f>
        <v>154496.51999999999</v>
      </c>
      <c r="H616" s="108">
        <f>J466</f>
        <v>154496.51999999999</v>
      </c>
      <c r="I616" s="139" t="s">
        <v>114</v>
      </c>
      <c r="J616" s="108">
        <f t="shared" si="49"/>
        <v>0</v>
      </c>
      <c r="K616" s="84"/>
      <c r="L616" s="87"/>
      <c r="M616" s="8"/>
    </row>
    <row r="617" spans="1:13" s="3" customFormat="1" ht="12" customHeight="1" x14ac:dyDescent="0.15">
      <c r="A617" s="22"/>
      <c r="B617" s="104"/>
      <c r="C617" s="104"/>
      <c r="D617" s="104"/>
      <c r="E617" s="104"/>
      <c r="F617" s="119" t="s">
        <v>692</v>
      </c>
      <c r="G617" s="108">
        <f>F185</f>
        <v>19104924.039999999</v>
      </c>
      <c r="H617" s="103">
        <f>SUM(F458)</f>
        <v>19104924.039999999</v>
      </c>
      <c r="I617" s="139" t="s">
        <v>115</v>
      </c>
      <c r="J617" s="108">
        <f>G617-H617</f>
        <v>0</v>
      </c>
      <c r="K617" s="84"/>
      <c r="L617" s="87"/>
      <c r="M617" s="8"/>
    </row>
    <row r="618" spans="1:13" s="3" customFormat="1" ht="12" customHeight="1" x14ac:dyDescent="0.15">
      <c r="A618" s="22"/>
      <c r="B618" s="104"/>
      <c r="C618" s="104"/>
      <c r="D618" s="104"/>
      <c r="E618" s="104"/>
      <c r="F618" s="119" t="s">
        <v>693</v>
      </c>
      <c r="G618" s="108">
        <f>G185</f>
        <v>536335.57999999996</v>
      </c>
      <c r="H618" s="103">
        <f>SUM(G458)</f>
        <v>536335.57999999996</v>
      </c>
      <c r="I618" s="139" t="s">
        <v>116</v>
      </c>
      <c r="J618" s="108">
        <f>G618-H618</f>
        <v>0</v>
      </c>
      <c r="K618" s="84"/>
      <c r="L618" s="87"/>
      <c r="M618" s="8"/>
    </row>
    <row r="619" spans="1:13" s="3" customFormat="1" ht="12" customHeight="1" x14ac:dyDescent="0.15">
      <c r="A619" s="22"/>
      <c r="B619" s="104"/>
      <c r="C619" s="104"/>
      <c r="D619" s="104"/>
      <c r="E619" s="104"/>
      <c r="F619" s="119" t="s">
        <v>694</v>
      </c>
      <c r="G619" s="108">
        <f>H185</f>
        <v>594424.67000000004</v>
      </c>
      <c r="H619" s="103">
        <f>SUM(H458)</f>
        <v>594424.67000000004</v>
      </c>
      <c r="I619" s="139" t="s">
        <v>117</v>
      </c>
      <c r="J619" s="108">
        <f>G619-H619</f>
        <v>0</v>
      </c>
      <c r="K619" s="84"/>
      <c r="L619" s="87"/>
      <c r="M619" s="8"/>
    </row>
    <row r="620" spans="1:13" s="3" customFormat="1" ht="12" customHeight="1" x14ac:dyDescent="0.15">
      <c r="A620" s="22"/>
      <c r="B620" s="104"/>
      <c r="C620" s="104"/>
      <c r="D620" s="104"/>
      <c r="E620" s="104"/>
      <c r="F620" s="119" t="s">
        <v>695</v>
      </c>
      <c r="G620" s="108">
        <f>I185</f>
        <v>0</v>
      </c>
      <c r="H620" s="103">
        <f>SUM(I458)</f>
        <v>0</v>
      </c>
      <c r="I620" s="139" t="s">
        <v>118</v>
      </c>
      <c r="J620" s="108">
        <f>G620-H620</f>
        <v>0</v>
      </c>
      <c r="K620" s="84"/>
      <c r="L620" s="87"/>
      <c r="M620" s="8"/>
    </row>
    <row r="621" spans="1:13" s="3" customFormat="1" ht="12" customHeight="1" x14ac:dyDescent="0.15">
      <c r="A621" s="22"/>
      <c r="B621" s="104"/>
      <c r="C621" s="104"/>
      <c r="D621" s="104"/>
      <c r="E621" s="104"/>
      <c r="F621" s="119" t="s">
        <v>696</v>
      </c>
      <c r="G621" s="108">
        <f>J185</f>
        <v>77.239999999999995</v>
      </c>
      <c r="H621" s="103">
        <f>SUM(J458)</f>
        <v>77.239999999999995</v>
      </c>
      <c r="I621" s="139" t="s">
        <v>119</v>
      </c>
      <c r="J621" s="108">
        <f>G621-H621</f>
        <v>0</v>
      </c>
      <c r="K621" s="84"/>
      <c r="L621" s="87"/>
      <c r="M621" s="8"/>
    </row>
    <row r="622" spans="1:13" s="3" customFormat="1" ht="12" customHeight="1" x14ac:dyDescent="0.15">
      <c r="A622" s="22"/>
      <c r="B622" s="104"/>
      <c r="C622" s="104"/>
      <c r="D622" s="104"/>
      <c r="E622" s="104"/>
      <c r="F622" s="119" t="s">
        <v>418</v>
      </c>
      <c r="G622" s="108">
        <f>SUM(L263)</f>
        <v>18894850.579999994</v>
      </c>
      <c r="H622" s="103">
        <f>SUM(F462)</f>
        <v>18894850.579999994</v>
      </c>
      <c r="I622" s="139" t="s">
        <v>120</v>
      </c>
      <c r="J622" s="108">
        <f t="shared" si="49"/>
        <v>0</v>
      </c>
      <c r="K622" s="84"/>
      <c r="L622" s="87"/>
      <c r="M622" s="8"/>
    </row>
    <row r="623" spans="1:13" s="3" customFormat="1" ht="12" customHeight="1" x14ac:dyDescent="0.15">
      <c r="A623" s="22"/>
      <c r="B623" s="104"/>
      <c r="C623" s="104"/>
      <c r="D623" s="104"/>
      <c r="E623" s="104"/>
      <c r="F623" s="119" t="s">
        <v>419</v>
      </c>
      <c r="G623" s="108">
        <f>SUM(L344)</f>
        <v>594424.66999999993</v>
      </c>
      <c r="H623" s="103">
        <f>SUM(H462)</f>
        <v>594424.67000000004</v>
      </c>
      <c r="I623" s="139" t="s">
        <v>121</v>
      </c>
      <c r="J623" s="108">
        <f>G623-H623</f>
        <v>0</v>
      </c>
      <c r="K623" s="84"/>
      <c r="L623" s="87"/>
      <c r="M623" s="8"/>
    </row>
    <row r="624" spans="1:13" s="3" customFormat="1" ht="12" customHeight="1" x14ac:dyDescent="0.15">
      <c r="A624" s="22"/>
      <c r="B624" s="104"/>
      <c r="C624" s="104"/>
      <c r="D624" s="104"/>
      <c r="E624" s="104"/>
      <c r="F624" s="141" t="s">
        <v>270</v>
      </c>
      <c r="G624" s="108">
        <f>I354</f>
        <v>289722.33999999997</v>
      </c>
      <c r="H624" s="103">
        <f>I361</f>
        <v>289722.33999999997</v>
      </c>
      <c r="I624" s="142" t="s">
        <v>271</v>
      </c>
      <c r="J624" s="108">
        <f>G624-H624</f>
        <v>0</v>
      </c>
      <c r="K624" s="84"/>
      <c r="L624" s="87"/>
      <c r="M624" s="8"/>
    </row>
    <row r="625" spans="1:13" s="3" customFormat="1" ht="12" customHeight="1" x14ac:dyDescent="0.15">
      <c r="A625" s="22"/>
      <c r="B625" s="104"/>
      <c r="C625" s="104"/>
      <c r="D625" s="104"/>
      <c r="E625" s="104"/>
      <c r="F625" s="119" t="s">
        <v>122</v>
      </c>
      <c r="G625" s="108">
        <f>SUM(L354)</f>
        <v>548807.92000000004</v>
      </c>
      <c r="H625" s="103">
        <f>SUM(G462)</f>
        <v>548807.92000000004</v>
      </c>
      <c r="I625" s="139" t="s">
        <v>123</v>
      </c>
      <c r="J625" s="108">
        <f t="shared" si="49"/>
        <v>0</v>
      </c>
      <c r="K625" s="84"/>
      <c r="L625" s="87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124</v>
      </c>
      <c r="G626" s="108">
        <f>SUM(L374)</f>
        <v>0</v>
      </c>
      <c r="H626" s="103">
        <f>SUM(I462)</f>
        <v>0</v>
      </c>
      <c r="I626" s="139" t="s">
        <v>125</v>
      </c>
      <c r="J626" s="108">
        <f t="shared" si="49"/>
        <v>0</v>
      </c>
      <c r="K626" s="84"/>
      <c r="L626" s="87"/>
      <c r="M626" s="8"/>
    </row>
    <row r="627" spans="1:13" s="168" customFormat="1" ht="12" customHeight="1" x14ac:dyDescent="0.15">
      <c r="A627" s="160"/>
      <c r="B627" s="161"/>
      <c r="C627" s="161"/>
      <c r="D627" s="161"/>
      <c r="E627" s="161"/>
      <c r="F627" s="162" t="s">
        <v>501</v>
      </c>
      <c r="G627" s="150">
        <f>SUM(L400)</f>
        <v>77.240000000000009</v>
      </c>
      <c r="H627" s="163">
        <f>SUM(J458)</f>
        <v>77.239999999999995</v>
      </c>
      <c r="I627" s="164" t="s">
        <v>119</v>
      </c>
      <c r="J627" s="150">
        <f t="shared" si="49"/>
        <v>0</v>
      </c>
      <c r="K627" s="165"/>
      <c r="L627" s="166"/>
      <c r="M627" s="167"/>
    </row>
    <row r="628" spans="1:13" s="168" customFormat="1" ht="12" customHeight="1" x14ac:dyDescent="0.15">
      <c r="A628" s="160"/>
      <c r="B628" s="161"/>
      <c r="C628" s="161"/>
      <c r="D628" s="161"/>
      <c r="E628" s="161"/>
      <c r="F628" s="162" t="s">
        <v>502</v>
      </c>
      <c r="G628" s="150">
        <f>SUM(L426)</f>
        <v>0</v>
      </c>
      <c r="H628" s="163">
        <f>SUM(J462)</f>
        <v>0</v>
      </c>
      <c r="I628" s="164" t="s">
        <v>126</v>
      </c>
      <c r="J628" s="150">
        <f t="shared" si="49"/>
        <v>0</v>
      </c>
      <c r="K628" s="165"/>
      <c r="L628" s="166"/>
      <c r="M628" s="167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127</v>
      </c>
      <c r="G629" s="108">
        <f>SUM(F438)</f>
        <v>0</v>
      </c>
      <c r="H629" s="103">
        <f>SUM(F451)</f>
        <v>0</v>
      </c>
      <c r="I629" s="139" t="s">
        <v>128</v>
      </c>
      <c r="J629" s="108">
        <f t="shared" si="49"/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129</v>
      </c>
      <c r="G630" s="108">
        <f>SUM(G438)</f>
        <v>154496.51999999999</v>
      </c>
      <c r="H630" s="103">
        <f>SUM(G451)</f>
        <v>154496.51999999999</v>
      </c>
      <c r="I630" s="139" t="s">
        <v>130</v>
      </c>
      <c r="J630" s="108">
        <f t="shared" si="49"/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131</v>
      </c>
      <c r="G631" s="108">
        <f>SUM(H438)</f>
        <v>0</v>
      </c>
      <c r="H631" s="103">
        <f>SUM(H451)</f>
        <v>0</v>
      </c>
      <c r="I631" s="139" t="s">
        <v>132</v>
      </c>
      <c r="J631" s="108">
        <f t="shared" si="49"/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133</v>
      </c>
      <c r="G632" s="108">
        <f>SUM(I438)</f>
        <v>154496.51999999999</v>
      </c>
      <c r="H632" s="103">
        <f>SUM(I451)</f>
        <v>154496.51999999999</v>
      </c>
      <c r="I632" s="139" t="s">
        <v>134</v>
      </c>
      <c r="J632" s="108">
        <f t="shared" si="49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272</v>
      </c>
      <c r="G633" s="108">
        <f>J49</f>
        <v>0</v>
      </c>
      <c r="H633" s="103">
        <f>F400</f>
        <v>0</v>
      </c>
      <c r="I633" s="139" t="s">
        <v>503</v>
      </c>
      <c r="J633" s="108">
        <f t="shared" si="49"/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19" t="s">
        <v>697</v>
      </c>
      <c r="G634" s="108">
        <f>J88</f>
        <v>77.239999999999995</v>
      </c>
      <c r="H634" s="103">
        <f>H400</f>
        <v>77.240000000000009</v>
      </c>
      <c r="I634" s="139" t="s">
        <v>504</v>
      </c>
      <c r="J634" s="108">
        <f t="shared" si="49"/>
        <v>0</v>
      </c>
      <c r="K634" s="84"/>
      <c r="L634" s="87"/>
      <c r="M634" s="8"/>
    </row>
    <row r="635" spans="1:13" s="3" customFormat="1" ht="12" customHeight="1" x14ac:dyDescent="0.15">
      <c r="A635" s="22"/>
      <c r="B635" s="104"/>
      <c r="C635" s="104"/>
      <c r="D635" s="104"/>
      <c r="E635" s="104"/>
      <c r="F635" s="119" t="s">
        <v>698</v>
      </c>
      <c r="G635" s="108">
        <f>J175</f>
        <v>0</v>
      </c>
      <c r="H635" s="103">
        <f>G400</f>
        <v>0</v>
      </c>
      <c r="I635" s="139" t="s">
        <v>505</v>
      </c>
      <c r="J635" s="108">
        <f t="shared" si="49"/>
        <v>0</v>
      </c>
      <c r="K635" s="84"/>
      <c r="L635" s="87"/>
      <c r="M635" s="8"/>
    </row>
    <row r="636" spans="1:13" s="3" customFormat="1" ht="12" customHeight="1" x14ac:dyDescent="0.15">
      <c r="A636" s="22"/>
      <c r="B636" s="104"/>
      <c r="C636" s="104"/>
      <c r="D636" s="104"/>
      <c r="E636" s="104"/>
      <c r="F636" s="119" t="s">
        <v>696</v>
      </c>
      <c r="G636" s="108">
        <f>J185</f>
        <v>77.239999999999995</v>
      </c>
      <c r="H636" s="103">
        <f>L400</f>
        <v>77.240000000000009</v>
      </c>
      <c r="I636" s="139" t="s">
        <v>501</v>
      </c>
      <c r="J636" s="108">
        <f t="shared" si="49"/>
        <v>0</v>
      </c>
      <c r="K636" s="84"/>
      <c r="L636" s="87"/>
      <c r="M636" s="8"/>
    </row>
    <row r="637" spans="1:13" s="3" customFormat="1" ht="12" customHeight="1" x14ac:dyDescent="0.15">
      <c r="A637" s="22"/>
      <c r="B637" s="104"/>
      <c r="C637" s="104"/>
      <c r="D637" s="104"/>
      <c r="E637" s="104"/>
      <c r="F637" s="119" t="s">
        <v>51</v>
      </c>
      <c r="G637" s="108">
        <f>K588</f>
        <v>741667.29999999993</v>
      </c>
      <c r="H637" s="103">
        <f>L200+L218+L236</f>
        <v>741667.3</v>
      </c>
      <c r="I637" s="139" t="s">
        <v>420</v>
      </c>
      <c r="J637" s="108">
        <f t="shared" si="49"/>
        <v>0</v>
      </c>
      <c r="K637" s="84"/>
      <c r="L637" s="87"/>
      <c r="M637" s="8"/>
    </row>
    <row r="638" spans="1:13" s="3" customFormat="1" ht="12" customHeight="1" x14ac:dyDescent="0.15">
      <c r="A638" s="22"/>
      <c r="B638" s="104"/>
      <c r="C638" s="104"/>
      <c r="D638" s="104"/>
      <c r="E638" s="104"/>
      <c r="F638" s="119" t="s">
        <v>52</v>
      </c>
      <c r="G638" s="108">
        <f>K595</f>
        <v>213280.36820874875</v>
      </c>
      <c r="H638" s="103">
        <f>(J249+J330)-(J247+J328)</f>
        <v>213280.36999999994</v>
      </c>
      <c r="I638" s="139" t="s">
        <v>734</v>
      </c>
      <c r="J638" s="108">
        <f t="shared" si="49"/>
        <v>-1.7912511830218136E-3</v>
      </c>
      <c r="K638" s="84"/>
      <c r="L638" s="87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411</v>
      </c>
      <c r="G639" s="108">
        <f>L200</f>
        <v>254520.73508000004</v>
      </c>
      <c r="H639" s="103">
        <f>H588</f>
        <v>254520.73507999998</v>
      </c>
      <c r="I639" s="139" t="s">
        <v>412</v>
      </c>
      <c r="J639" s="108">
        <f t="shared" si="49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416</v>
      </c>
      <c r="G640" s="108">
        <f>L218</f>
        <v>244215.52234799997</v>
      </c>
      <c r="H640" s="103">
        <f>I588</f>
        <v>244215.522348</v>
      </c>
      <c r="I640" s="139" t="s">
        <v>413</v>
      </c>
      <c r="J640" s="108">
        <f t="shared" si="49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417</v>
      </c>
      <c r="G641" s="108">
        <f>L236</f>
        <v>242931.04257200001</v>
      </c>
      <c r="H641" s="103">
        <f>J588</f>
        <v>242931.04257199998</v>
      </c>
      <c r="I641" s="139" t="s">
        <v>414</v>
      </c>
      <c r="J641" s="108">
        <f t="shared" si="49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699</v>
      </c>
      <c r="G642" s="108">
        <f>G171</f>
        <v>0</v>
      </c>
      <c r="H642" s="103">
        <f>K255+K337</f>
        <v>0</v>
      </c>
      <c r="I642" s="139" t="s">
        <v>421</v>
      </c>
      <c r="J642" s="108">
        <f t="shared" si="49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700</v>
      </c>
      <c r="G643" s="108">
        <f>H171</f>
        <v>0</v>
      </c>
      <c r="H643" s="103">
        <f>K256</f>
        <v>0</v>
      </c>
      <c r="I643" s="139" t="s">
        <v>422</v>
      </c>
      <c r="J643" s="108">
        <f t="shared" si="49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701</v>
      </c>
      <c r="G644" s="108">
        <f>I171</f>
        <v>0</v>
      </c>
      <c r="H644" s="103">
        <f>K257+K338</f>
        <v>0</v>
      </c>
      <c r="I644" s="139" t="s">
        <v>423</v>
      </c>
      <c r="J644" s="108">
        <f t="shared" si="49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702</v>
      </c>
      <c r="G645" s="108">
        <f>J171</f>
        <v>0</v>
      </c>
      <c r="H645" s="103">
        <f>K258+K339</f>
        <v>0</v>
      </c>
      <c r="I645" s="139" t="s">
        <v>424</v>
      </c>
      <c r="J645" s="108">
        <f t="shared" si="49"/>
        <v>0</v>
      </c>
      <c r="K645" s="84"/>
      <c r="L645" s="87"/>
      <c r="M645" s="8"/>
    </row>
    <row r="646" spans="1:13" s="3" customFormat="1" ht="12" customHeight="1" x14ac:dyDescent="0.15">
      <c r="A646" s="126"/>
      <c r="B646" s="126"/>
      <c r="C646" s="126"/>
      <c r="D646" s="126"/>
      <c r="E646" s="126"/>
      <c r="F646" s="26" t="s">
        <v>135</v>
      </c>
      <c r="G646" s="19"/>
      <c r="H646" s="103">
        <f>SUM(G607:G645)-SUM(H607:H645)</f>
        <v>-1.791246235370636E-3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5600455.8961669998</v>
      </c>
      <c r="G650" s="19">
        <f>(L221+L301+L351)</f>
        <v>5976142.3966340004</v>
      </c>
      <c r="H650" s="19">
        <f>(L239+L320+L352)</f>
        <v>7155085.327198999</v>
      </c>
      <c r="I650" s="19">
        <f>SUM(F650:H650)</f>
        <v>18731683.619999997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106836.08602035129</v>
      </c>
      <c r="G651" s="19">
        <f>(L351/IF(SUM(L350:L352)=0,1,SUM(L350:L352))*(SUM(G89:G102)))</f>
        <v>135980.35340875085</v>
      </c>
      <c r="H651" s="19">
        <f>(L352/IF(SUM(L350:L352)=0,1,SUM(L350:L352))*(SUM(G89:G102)))</f>
        <v>186246.8505708978</v>
      </c>
      <c r="I651" s="19">
        <f>SUM(F651:H651)</f>
        <v>429063.28999999992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254520.73508000004</v>
      </c>
      <c r="G652" s="19">
        <f>(L218+L298)-(J218+J298)</f>
        <v>244215.52234799997</v>
      </c>
      <c r="H652" s="19">
        <f>(L236+L317)-(J236+J317)</f>
        <v>242931.04257200001</v>
      </c>
      <c r="I652" s="19">
        <f>SUM(F652:H652)</f>
        <v>741667.3</v>
      </c>
      <c r="J652"/>
      <c r="K652" s="13"/>
      <c r="L652" s="13"/>
      <c r="M652" s="9"/>
    </row>
    <row r="653" spans="1:13" s="3" customFormat="1" ht="12" customHeight="1" x14ac:dyDescent="0.15">
      <c r="A653" s="198" t="s">
        <v>142</v>
      </c>
      <c r="B653" s="168"/>
      <c r="C653" s="168"/>
      <c r="D653" s="168"/>
      <c r="E653" s="168"/>
      <c r="F653" s="199">
        <f>SUM(F565:F577)+SUM(H592:H594)+SUM(L601)</f>
        <v>72471.204892511509</v>
      </c>
      <c r="G653" s="199">
        <f>SUM(G565:G577)+SUM(I592:I594)+L602</f>
        <v>212854.95648192064</v>
      </c>
      <c r="H653" s="199">
        <f>SUM(H565:H577)+SUM(J592:J594)+L603</f>
        <v>543908.94843431655</v>
      </c>
      <c r="I653" s="19">
        <f>SUM(F653:H653)</f>
        <v>829235.1098087487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5166627.8701741369</v>
      </c>
      <c r="G654" s="19">
        <f>G650-SUM(G651:G653)</f>
        <v>5383091.564395329</v>
      </c>
      <c r="H654" s="19">
        <f>H650-SUM(H651:H653)</f>
        <v>6181998.4856217848</v>
      </c>
      <c r="I654" s="19">
        <f>I650-SUM(I651:I653)</f>
        <v>16731717.920191249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7">
        <v>486.36</v>
      </c>
      <c r="G655" s="248">
        <v>523.16999999999996</v>
      </c>
      <c r="H655" s="248">
        <v>507.16</v>
      </c>
      <c r="I655" s="19">
        <f>SUM(F655:H655)</f>
        <v>1516.69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10623.05</v>
      </c>
      <c r="G657" s="19">
        <f>ROUND(G654/G655,2)</f>
        <v>10289.370000000001</v>
      </c>
      <c r="H657" s="19">
        <f>ROUND(H654/H655,2)</f>
        <v>12189.44</v>
      </c>
      <c r="I657" s="19">
        <f>ROUND(I654/I655,2)</f>
        <v>11031.73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-11.1</v>
      </c>
      <c r="I660" s="19">
        <f>SUM(F660:H660)</f>
        <v>-11.1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10623.05</v>
      </c>
      <c r="G662" s="19">
        <f>ROUND((G654+G659)/(G655+G660),2)</f>
        <v>10289.370000000001</v>
      </c>
      <c r="H662" s="19">
        <f>ROUND((H654+H659)/(H655+H660),2)</f>
        <v>12462.2</v>
      </c>
      <c r="I662" s="19">
        <f>ROUND((I654+I659)/(I655+I660),2)</f>
        <v>11113.06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1E03-864E-46DC-A3BC-E810179AE8FC}">
  <sheetPr>
    <tabColor indexed="20"/>
  </sheetPr>
  <dimension ref="A1:C52"/>
  <sheetViews>
    <sheetView topLeftCell="A19"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816</v>
      </c>
      <c r="B1" s="232" t="str">
        <f>'DOE25'!A2</f>
        <v>Litchfield</v>
      </c>
      <c r="C1" s="238" t="s">
        <v>870</v>
      </c>
    </row>
    <row r="2" spans="1:3" x14ac:dyDescent="0.2">
      <c r="A2" s="233"/>
      <c r="B2" s="232"/>
    </row>
    <row r="3" spans="1:3" x14ac:dyDescent="0.2">
      <c r="A3" s="272" t="s">
        <v>815</v>
      </c>
      <c r="B3" s="272"/>
      <c r="C3" s="272"/>
    </row>
    <row r="4" spans="1:3" x14ac:dyDescent="0.2">
      <c r="A4" s="236"/>
      <c r="B4" s="237" t="str">
        <f>'DOE25'!H1</f>
        <v>DOE 25  2010-2011</v>
      </c>
      <c r="C4" s="236"/>
    </row>
    <row r="5" spans="1:3" x14ac:dyDescent="0.2">
      <c r="A5" s="233"/>
      <c r="B5" s="232"/>
    </row>
    <row r="6" spans="1:3" x14ac:dyDescent="0.2">
      <c r="A6" s="227"/>
      <c r="B6" s="273" t="s">
        <v>814</v>
      </c>
      <c r="C6" s="273"/>
    </row>
    <row r="7" spans="1:3" x14ac:dyDescent="0.2">
      <c r="A7" s="239" t="s">
        <v>817</v>
      </c>
      <c r="B7" s="274" t="s">
        <v>813</v>
      </c>
      <c r="C7" s="275"/>
    </row>
    <row r="8" spans="1:3" x14ac:dyDescent="0.2">
      <c r="B8" s="228" t="s">
        <v>54</v>
      </c>
      <c r="C8" s="228" t="s">
        <v>807</v>
      </c>
    </row>
    <row r="9" spans="1:3" x14ac:dyDescent="0.2">
      <c r="A9" s="33" t="s">
        <v>808</v>
      </c>
      <c r="B9" s="229">
        <f>'DOE25'!F189+'DOE25'!F207+'DOE25'!F225+'DOE25'!F268+'DOE25'!F287+'DOE25'!F306</f>
        <v>5524107.2199999997</v>
      </c>
      <c r="C9" s="229">
        <f>'DOE25'!G189+'DOE25'!G207+'DOE25'!G225+'DOE25'!G268+'DOE25'!G287+'DOE25'!G306</f>
        <v>1979165.6500000001</v>
      </c>
    </row>
    <row r="10" spans="1:3" x14ac:dyDescent="0.2">
      <c r="A10" t="s">
        <v>810</v>
      </c>
      <c r="B10" s="240">
        <v>5313633.8</v>
      </c>
      <c r="C10" s="240">
        <v>1962327.78</v>
      </c>
    </row>
    <row r="11" spans="1:3" x14ac:dyDescent="0.2">
      <c r="A11" t="s">
        <v>811</v>
      </c>
      <c r="B11" s="240">
        <v>119583.42</v>
      </c>
      <c r="C11" s="240">
        <v>9566.67</v>
      </c>
    </row>
    <row r="12" spans="1:3" x14ac:dyDescent="0.2">
      <c r="A12" t="s">
        <v>812</v>
      </c>
      <c r="B12" s="240">
        <v>90890</v>
      </c>
      <c r="C12" s="240">
        <v>7271.2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5524107.2199999997</v>
      </c>
      <c r="C13" s="231">
        <f>SUM(C10:C12)</f>
        <v>1979165.65</v>
      </c>
    </row>
    <row r="14" spans="1:3" x14ac:dyDescent="0.2">
      <c r="B14" s="230"/>
      <c r="C14" s="230"/>
    </row>
    <row r="15" spans="1:3" x14ac:dyDescent="0.2">
      <c r="B15" s="273" t="s">
        <v>814</v>
      </c>
      <c r="C15" s="273"/>
    </row>
    <row r="16" spans="1:3" x14ac:dyDescent="0.2">
      <c r="A16" s="239" t="s">
        <v>818</v>
      </c>
      <c r="B16" s="274" t="s">
        <v>738</v>
      </c>
      <c r="C16" s="275"/>
    </row>
    <row r="17" spans="1:3" x14ac:dyDescent="0.2">
      <c r="B17" s="228" t="s">
        <v>54</v>
      </c>
      <c r="C17" s="228" t="s">
        <v>807</v>
      </c>
    </row>
    <row r="18" spans="1:3" x14ac:dyDescent="0.2">
      <c r="A18" s="33" t="s">
        <v>808</v>
      </c>
      <c r="B18" s="229">
        <f>'DOE25'!F190+'DOE25'!F208+'DOE25'!F226+'DOE25'!F269+'DOE25'!F288+'DOE25'!F307</f>
        <v>1389208.0700000003</v>
      </c>
      <c r="C18" s="229">
        <f>'DOE25'!G190+'DOE25'!G208+'DOE25'!G226+'DOE25'!G269+'DOE25'!G288+'DOE25'!G307</f>
        <v>351604.69999999995</v>
      </c>
    </row>
    <row r="19" spans="1:3" x14ac:dyDescent="0.2">
      <c r="A19" t="s">
        <v>810</v>
      </c>
      <c r="B19" s="240">
        <v>787289.1</v>
      </c>
      <c r="C19" s="240">
        <v>303451.18</v>
      </c>
    </row>
    <row r="20" spans="1:3" x14ac:dyDescent="0.2">
      <c r="A20" t="s">
        <v>811</v>
      </c>
      <c r="B20" s="240">
        <v>563951.39</v>
      </c>
      <c r="C20" s="240">
        <v>45116.111199999999</v>
      </c>
    </row>
    <row r="21" spans="1:3" x14ac:dyDescent="0.2">
      <c r="A21" t="s">
        <v>812</v>
      </c>
      <c r="B21" s="240">
        <v>37967.58</v>
      </c>
      <c r="C21" s="240">
        <v>3037.41</v>
      </c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1389208.07</v>
      </c>
      <c r="C22" s="231">
        <f>SUM(C19:C21)</f>
        <v>351604.70119999995</v>
      </c>
    </row>
    <row r="23" spans="1:3" x14ac:dyDescent="0.2">
      <c r="B23" s="230"/>
      <c r="C23" s="230"/>
    </row>
    <row r="24" spans="1:3" x14ac:dyDescent="0.2">
      <c r="B24" s="273" t="s">
        <v>814</v>
      </c>
      <c r="C24" s="273"/>
    </row>
    <row r="25" spans="1:3" x14ac:dyDescent="0.2">
      <c r="A25" s="239" t="s">
        <v>819</v>
      </c>
      <c r="B25" s="274" t="s">
        <v>739</v>
      </c>
      <c r="C25" s="275"/>
    </row>
    <row r="26" spans="1:3" x14ac:dyDescent="0.2">
      <c r="B26" s="228" t="s">
        <v>54</v>
      </c>
      <c r="C26" s="228" t="s">
        <v>807</v>
      </c>
    </row>
    <row r="27" spans="1:3" x14ac:dyDescent="0.2">
      <c r="A27" s="33" t="s">
        <v>808</v>
      </c>
      <c r="B27" s="234">
        <f>'DOE25'!F191+'DOE25'!F209+'DOE25'!F227+'DOE25'!F270+'DOE25'!F289+'DOE25'!F308</f>
        <v>0</v>
      </c>
      <c r="C27" s="234">
        <f>'DOE25'!G191+'DOE25'!G209+'DOE25'!G227+'DOE25'!G270+'DOE25'!G289+'DOE25'!G308</f>
        <v>0</v>
      </c>
    </row>
    <row r="28" spans="1:3" x14ac:dyDescent="0.2">
      <c r="A28" t="s">
        <v>810</v>
      </c>
      <c r="B28" s="240"/>
      <c r="C28" s="240"/>
    </row>
    <row r="29" spans="1:3" x14ac:dyDescent="0.2">
      <c r="A29" t="s">
        <v>811</v>
      </c>
      <c r="B29" s="240"/>
      <c r="C29" s="240"/>
    </row>
    <row r="30" spans="1:3" x14ac:dyDescent="0.2">
      <c r="A30" t="s">
        <v>812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39" t="s">
        <v>820</v>
      </c>
      <c r="B34" s="274" t="s">
        <v>740</v>
      </c>
      <c r="C34" s="275"/>
    </row>
    <row r="35" spans="1:3" x14ac:dyDescent="0.2">
      <c r="B35" s="228" t="s">
        <v>54</v>
      </c>
      <c r="C35" s="228" t="s">
        <v>807</v>
      </c>
    </row>
    <row r="36" spans="1:3" x14ac:dyDescent="0.2">
      <c r="A36" s="33" t="s">
        <v>808</v>
      </c>
      <c r="B36" s="235">
        <f>'DOE25'!F192+'DOE25'!F210+'DOE25'!F228+'DOE25'!F271+'DOE25'!F290+'DOE25'!F309</f>
        <v>260995.74</v>
      </c>
      <c r="C36" s="235">
        <f>'DOE25'!G192+'DOE25'!G210+'DOE25'!G228+'DOE25'!G271+'DOE25'!G290+'DOE25'!G309</f>
        <v>31737.48</v>
      </c>
    </row>
    <row r="37" spans="1:3" x14ac:dyDescent="0.2">
      <c r="A37" t="s">
        <v>810</v>
      </c>
      <c r="B37" s="240">
        <v>131090.98169999997</v>
      </c>
      <c r="C37" s="240">
        <v>20541.956832389998</v>
      </c>
    </row>
    <row r="38" spans="1:3" x14ac:dyDescent="0.2">
      <c r="A38" t="s">
        <v>811</v>
      </c>
      <c r="B38" s="240">
        <v>0</v>
      </c>
      <c r="C38" s="240">
        <v>0</v>
      </c>
    </row>
    <row r="39" spans="1:3" x14ac:dyDescent="0.2">
      <c r="A39" t="s">
        <v>812</v>
      </c>
      <c r="B39" s="240">
        <v>129904.76</v>
      </c>
      <c r="C39" s="240">
        <v>11195.52</v>
      </c>
    </row>
    <row r="40" spans="1:3" x14ac:dyDescent="0.2">
      <c r="A40" t="str">
        <f>IF(B36=B40,IF(C36=C40,"Check Total OK","Check Total Error"),"Check Total Error")</f>
        <v>Check Total Error</v>
      </c>
      <c r="B40" s="231">
        <f>SUM(B37:B39)</f>
        <v>260995.74169999996</v>
      </c>
      <c r="C40" s="231">
        <f>SUM(C37:C39)</f>
        <v>31737.476832389999</v>
      </c>
    </row>
    <row r="41" spans="1:3" x14ac:dyDescent="0.2">
      <c r="B41" s="230"/>
      <c r="C41" s="230"/>
    </row>
    <row r="42" spans="1:3" x14ac:dyDescent="0.2">
      <c r="A42" s="33" t="s">
        <v>868</v>
      </c>
      <c r="B42" s="230"/>
      <c r="C42" s="230"/>
    </row>
    <row r="43" spans="1:3" x14ac:dyDescent="0.2">
      <c r="A43" t="s">
        <v>872</v>
      </c>
      <c r="B43" s="230"/>
      <c r="C43" s="230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4" t="s">
        <v>809</v>
      </c>
    </row>
    <row r="49" spans="1:1" x14ac:dyDescent="0.2">
      <c r="A49" s="268" t="s">
        <v>875</v>
      </c>
    </row>
    <row r="50" spans="1:1" x14ac:dyDescent="0.2">
      <c r="A50" s="268" t="s">
        <v>869</v>
      </c>
    </row>
    <row r="51" spans="1:1" x14ac:dyDescent="0.2">
      <c r="A51" s="268" t="s">
        <v>876</v>
      </c>
    </row>
    <row r="52" spans="1:1" x14ac:dyDescent="0.2">
      <c r="A52" s="269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EA0B-CC62-48C5-920F-C3EAF5E8EEE1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9"/>
      <c r="C1" s="279"/>
      <c r="D1" s="279"/>
      <c r="E1" s="279"/>
      <c r="F1" s="279"/>
      <c r="G1" s="279"/>
      <c r="H1" s="279"/>
      <c r="I1" s="180"/>
    </row>
    <row r="2" spans="1:9" x14ac:dyDescent="0.2">
      <c r="A2" s="33" t="s">
        <v>748</v>
      </c>
      <c r="B2" s="265" t="str">
        <f>'DOE25'!A2</f>
        <v>Litchfield</v>
      </c>
      <c r="C2" s="180"/>
      <c r="D2" s="180" t="s">
        <v>823</v>
      </c>
      <c r="E2" s="180" t="s">
        <v>825</v>
      </c>
      <c r="F2" s="276" t="s">
        <v>852</v>
      </c>
      <c r="G2" s="277"/>
      <c r="H2" s="278"/>
      <c r="I2" s="180"/>
    </row>
    <row r="3" spans="1:9" x14ac:dyDescent="0.2">
      <c r="A3" s="180" t="s">
        <v>94</v>
      </c>
      <c r="B3" s="228" t="s">
        <v>10</v>
      </c>
      <c r="C3" s="180" t="s">
        <v>5</v>
      </c>
      <c r="D3" s="180" t="s">
        <v>824</v>
      </c>
      <c r="E3" s="180" t="s">
        <v>826</v>
      </c>
      <c r="F3" s="241" t="s">
        <v>866</v>
      </c>
      <c r="G3" s="217" t="s">
        <v>59</v>
      </c>
      <c r="H3" s="242" t="s">
        <v>829</v>
      </c>
    </row>
    <row r="4" spans="1:9" x14ac:dyDescent="0.2">
      <c r="A4" s="251" t="s">
        <v>831</v>
      </c>
      <c r="B4" s="251" t="s">
        <v>847</v>
      </c>
      <c r="C4" s="251" t="s">
        <v>822</v>
      </c>
      <c r="D4" s="251" t="s">
        <v>848</v>
      </c>
      <c r="E4" s="251" t="s">
        <v>848</v>
      </c>
      <c r="F4" s="250" t="s">
        <v>828</v>
      </c>
      <c r="G4" s="251" t="s">
        <v>842</v>
      </c>
      <c r="H4" s="252" t="s">
        <v>830</v>
      </c>
    </row>
    <row r="5" spans="1:9" x14ac:dyDescent="0.2">
      <c r="A5" s="32">
        <v>1000</v>
      </c>
      <c r="B5" t="s">
        <v>218</v>
      </c>
      <c r="C5" s="245">
        <f t="shared" ref="C5:C19" si="0">SUM(D5:H5)</f>
        <v>10322005.33</v>
      </c>
      <c r="D5" s="20">
        <f>SUM('DOE25'!L189:L192)+SUM('DOE25'!L207:L210)+SUM('DOE25'!L225:L228)-F5-G5</f>
        <v>10276935.25</v>
      </c>
      <c r="E5" s="243"/>
      <c r="F5" s="255">
        <f>SUM('DOE25'!J189:J192)+SUM('DOE25'!J207:J210)+SUM('DOE25'!J225:J228)</f>
        <v>16883.580000000002</v>
      </c>
      <c r="G5" s="53">
        <f>SUM('DOE25'!K189:K192)+SUM('DOE25'!K207:K210)+SUM('DOE25'!K225:K228)</f>
        <v>28186.5</v>
      </c>
      <c r="H5" s="259"/>
    </row>
    <row r="6" spans="1:9" x14ac:dyDescent="0.2">
      <c r="A6" s="32">
        <v>2100</v>
      </c>
      <c r="B6" t="s">
        <v>832</v>
      </c>
      <c r="C6" s="245">
        <f t="shared" si="0"/>
        <v>1419874.5699999998</v>
      </c>
      <c r="D6" s="20">
        <f>'DOE25'!L194+'DOE25'!L212+'DOE25'!L230-F6-G6</f>
        <v>1417667.43</v>
      </c>
      <c r="E6" s="243"/>
      <c r="F6" s="255">
        <f>'DOE25'!J194+'DOE25'!J212+'DOE25'!J230</f>
        <v>1717.14</v>
      </c>
      <c r="G6" s="53">
        <f>'DOE25'!K194+'DOE25'!K212+'DOE25'!K230</f>
        <v>490</v>
      </c>
      <c r="H6" s="259"/>
    </row>
    <row r="7" spans="1:9" x14ac:dyDescent="0.2">
      <c r="A7" s="32">
        <v>2200</v>
      </c>
      <c r="B7" t="s">
        <v>865</v>
      </c>
      <c r="C7" s="245">
        <f t="shared" si="0"/>
        <v>508199.32999999996</v>
      </c>
      <c r="D7" s="20">
        <f>'DOE25'!L195+'DOE25'!L213+'DOE25'!L231-F7-G7</f>
        <v>479087.86</v>
      </c>
      <c r="E7" s="243"/>
      <c r="F7" s="255">
        <f>'DOE25'!J195+'DOE25'!J213+'DOE25'!J231</f>
        <v>23423.47</v>
      </c>
      <c r="G7" s="53">
        <f>'DOE25'!K195+'DOE25'!K213+'DOE25'!K231</f>
        <v>5688</v>
      </c>
      <c r="H7" s="259"/>
    </row>
    <row r="8" spans="1:9" x14ac:dyDescent="0.2">
      <c r="A8" s="32">
        <v>2300</v>
      </c>
      <c r="B8" t="s">
        <v>833</v>
      </c>
      <c r="C8" s="245">
        <f t="shared" si="0"/>
        <v>199347.2500000002</v>
      </c>
      <c r="D8" s="243"/>
      <c r="E8" s="20">
        <f>'DOE25'!L196+'DOE25'!L214+'DOE25'!L232-F8-G8-D9-D11</f>
        <v>183651.58000000019</v>
      </c>
      <c r="F8" s="255">
        <f>'DOE25'!J196+'DOE25'!J214+'DOE25'!J232</f>
        <v>4012.3199999999997</v>
      </c>
      <c r="G8" s="53">
        <f>'DOE25'!K196+'DOE25'!K214+'DOE25'!K232</f>
        <v>11683.35</v>
      </c>
      <c r="H8" s="259"/>
    </row>
    <row r="9" spans="1:9" x14ac:dyDescent="0.2">
      <c r="A9" s="32">
        <v>2310</v>
      </c>
      <c r="B9" t="s">
        <v>849</v>
      </c>
      <c r="C9" s="245">
        <f t="shared" si="0"/>
        <v>99952.99</v>
      </c>
      <c r="D9" s="244">
        <v>99952.99</v>
      </c>
      <c r="E9" s="243"/>
      <c r="F9" s="258"/>
      <c r="G9" s="256"/>
      <c r="H9" s="259"/>
    </row>
    <row r="10" spans="1:9" x14ac:dyDescent="0.2">
      <c r="A10" s="32">
        <v>2317</v>
      </c>
      <c r="B10" t="s">
        <v>850</v>
      </c>
      <c r="C10" s="245">
        <f t="shared" si="0"/>
        <v>19580</v>
      </c>
      <c r="D10" s="243"/>
      <c r="E10" s="244">
        <v>19580</v>
      </c>
      <c r="F10" s="258"/>
      <c r="G10" s="256"/>
      <c r="H10" s="259"/>
    </row>
    <row r="11" spans="1:9" x14ac:dyDescent="0.2">
      <c r="A11" s="32">
        <v>2321</v>
      </c>
      <c r="B11" t="s">
        <v>862</v>
      </c>
      <c r="C11" s="245">
        <f t="shared" si="0"/>
        <v>270845.64</v>
      </c>
      <c r="D11" s="244">
        <v>270845.64</v>
      </c>
      <c r="E11" s="243"/>
      <c r="F11" s="258"/>
      <c r="G11" s="256"/>
      <c r="H11" s="259"/>
    </row>
    <row r="12" spans="1:9" x14ac:dyDescent="0.2">
      <c r="A12" s="32">
        <v>2400</v>
      </c>
      <c r="B12" t="s">
        <v>746</v>
      </c>
      <c r="C12" s="245">
        <f t="shared" si="0"/>
        <v>1202100.3999999999</v>
      </c>
      <c r="D12" s="20">
        <f>'DOE25'!L197+'DOE25'!L215+'DOE25'!L233-F12-G12</f>
        <v>1174851.4599999997</v>
      </c>
      <c r="E12" s="243"/>
      <c r="F12" s="255">
        <f>'DOE25'!J197+'DOE25'!J215+'DOE25'!J233</f>
        <v>2383.85</v>
      </c>
      <c r="G12" s="53">
        <f>'DOE25'!K197+'DOE25'!K215+'DOE25'!K233</f>
        <v>24865.09</v>
      </c>
      <c r="H12" s="259"/>
    </row>
    <row r="13" spans="1:9" x14ac:dyDescent="0.2">
      <c r="A13" s="32">
        <v>2500</v>
      </c>
      <c r="B13" t="s">
        <v>834</v>
      </c>
      <c r="C13" s="245">
        <f t="shared" si="0"/>
        <v>277250.55</v>
      </c>
      <c r="D13" s="243"/>
      <c r="E13" s="20">
        <f>'DOE25'!L198+'DOE25'!L216+'DOE25'!L234-F13-G13</f>
        <v>271712.65999999997</v>
      </c>
      <c r="F13" s="255">
        <f>'DOE25'!J198+'DOE25'!J216+'DOE25'!J234</f>
        <v>3172.7700000000004</v>
      </c>
      <c r="G13" s="53">
        <f>'DOE25'!K198+'DOE25'!K216+'DOE25'!K234</f>
        <v>2365.12</v>
      </c>
      <c r="H13" s="259"/>
    </row>
    <row r="14" spans="1:9" x14ac:dyDescent="0.2">
      <c r="A14" s="32">
        <v>2600</v>
      </c>
      <c r="B14" t="s">
        <v>863</v>
      </c>
      <c r="C14" s="245">
        <f t="shared" si="0"/>
        <v>1972906.4699999997</v>
      </c>
      <c r="D14" s="20">
        <f>'DOE25'!L199+'DOE25'!L217+'DOE25'!L235-F14-G14</f>
        <v>1949392.2999999998</v>
      </c>
      <c r="E14" s="243"/>
      <c r="F14" s="255">
        <f>'DOE25'!J199+'DOE25'!J217+'DOE25'!J235</f>
        <v>23109.170000000002</v>
      </c>
      <c r="G14" s="53">
        <f>'DOE25'!K199+'DOE25'!K217+'DOE25'!K235</f>
        <v>405</v>
      </c>
      <c r="H14" s="259"/>
    </row>
    <row r="15" spans="1:9" x14ac:dyDescent="0.2">
      <c r="A15" s="32">
        <v>2700</v>
      </c>
      <c r="B15" t="s">
        <v>835</v>
      </c>
      <c r="C15" s="245">
        <f t="shared" si="0"/>
        <v>741667.3</v>
      </c>
      <c r="D15" s="20">
        <f>'DOE25'!L200+'DOE25'!L218+'DOE25'!L236-F15-G15</f>
        <v>741667.3</v>
      </c>
      <c r="E15" s="243"/>
      <c r="F15" s="255">
        <f>'DOE25'!J200+'DOE25'!J218+'DOE25'!J236</f>
        <v>0</v>
      </c>
      <c r="G15" s="53">
        <f>'DOE25'!K200+'DOE25'!K218+'DOE25'!K236</f>
        <v>0</v>
      </c>
      <c r="H15" s="259"/>
    </row>
    <row r="16" spans="1:9" x14ac:dyDescent="0.2">
      <c r="A16" s="32">
        <v>2800</v>
      </c>
      <c r="B16" t="s">
        <v>836</v>
      </c>
      <c r="C16" s="245">
        <f t="shared" si="0"/>
        <v>574301.19999999995</v>
      </c>
      <c r="D16" s="243"/>
      <c r="E16" s="20">
        <f>'DOE25'!L201+'DOE25'!L219+'DOE25'!L237-F16-G16</f>
        <v>455446.80999999994</v>
      </c>
      <c r="F16" s="255">
        <f>'DOE25'!J201+'DOE25'!J219+'DOE25'!J237</f>
        <v>117798.78</v>
      </c>
      <c r="G16" s="53">
        <f>'DOE25'!K201+'DOE25'!K219+'DOE25'!K237</f>
        <v>1055.6099999999999</v>
      </c>
      <c r="H16" s="259"/>
    </row>
    <row r="17" spans="1:8" x14ac:dyDescent="0.2">
      <c r="A17" s="32">
        <v>1600</v>
      </c>
      <c r="B17" t="s">
        <v>837</v>
      </c>
      <c r="C17" s="245">
        <f t="shared" si="0"/>
        <v>18655.87</v>
      </c>
      <c r="D17" s="20">
        <f>'DOE25'!L243-F17-G17</f>
        <v>18655.87</v>
      </c>
      <c r="E17" s="243"/>
      <c r="F17" s="255">
        <f>'DOE25'!J243</f>
        <v>0</v>
      </c>
      <c r="G17" s="53">
        <f>'DOE25'!K243</f>
        <v>0</v>
      </c>
      <c r="H17" s="259"/>
    </row>
    <row r="18" spans="1:8" x14ac:dyDescent="0.2">
      <c r="A18" s="32">
        <v>1700</v>
      </c>
      <c r="B18" t="s">
        <v>838</v>
      </c>
      <c r="C18" s="245">
        <f t="shared" si="0"/>
        <v>0</v>
      </c>
      <c r="D18" s="20">
        <f>'DOE25'!L244-F18-G18</f>
        <v>0</v>
      </c>
      <c r="E18" s="243"/>
      <c r="F18" s="255">
        <f>'DOE25'!J244</f>
        <v>0</v>
      </c>
      <c r="G18" s="53">
        <f>'DOE25'!K244</f>
        <v>0</v>
      </c>
      <c r="H18" s="259"/>
    </row>
    <row r="19" spans="1:8" x14ac:dyDescent="0.2">
      <c r="A19" s="32">
        <v>1800</v>
      </c>
      <c r="B19" t="s">
        <v>839</v>
      </c>
      <c r="C19" s="245">
        <f t="shared" si="0"/>
        <v>0</v>
      </c>
      <c r="D19" s="20">
        <f>'DOE25'!L245-F19-G19</f>
        <v>0</v>
      </c>
      <c r="E19" s="243"/>
      <c r="F19" s="255">
        <f>'DOE25'!J245</f>
        <v>0</v>
      </c>
      <c r="G19" s="53">
        <f>'DOE25'!K245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827</v>
      </c>
      <c r="F21" s="260"/>
      <c r="G21" s="52"/>
      <c r="H21" s="261"/>
    </row>
    <row r="22" spans="1:8" x14ac:dyDescent="0.2">
      <c r="A22" s="32">
        <v>4000</v>
      </c>
      <c r="B22" t="s">
        <v>864</v>
      </c>
      <c r="C22" s="245">
        <f>SUM(D22:H22)</f>
        <v>246296.8</v>
      </c>
      <c r="D22" s="243"/>
      <c r="E22" s="243"/>
      <c r="F22" s="255">
        <f>'DOE25'!L247+'DOE25'!L328</f>
        <v>246296.8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487</v>
      </c>
      <c r="F24" s="260"/>
      <c r="G24" s="52"/>
      <c r="H24" s="261"/>
    </row>
    <row r="25" spans="1:8" x14ac:dyDescent="0.2">
      <c r="A25" s="32" t="s">
        <v>840</v>
      </c>
      <c r="B25" t="s">
        <v>841</v>
      </c>
      <c r="C25" s="245">
        <f>SUM(D25:H25)</f>
        <v>993462.49</v>
      </c>
      <c r="D25" s="243"/>
      <c r="E25" s="243"/>
      <c r="F25" s="258"/>
      <c r="G25" s="256"/>
      <c r="H25" s="257">
        <f>'DOE25'!L252+'DOE25'!L253+'DOE25'!L333+'DOE25'!L334</f>
        <v>993462.49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843</v>
      </c>
      <c r="F27" s="260"/>
      <c r="G27" s="52"/>
      <c r="H27" s="261"/>
    </row>
    <row r="28" spans="1:8" x14ac:dyDescent="0.2">
      <c r="A28" s="32">
        <v>3100</v>
      </c>
      <c r="B28" t="s">
        <v>856</v>
      </c>
      <c r="F28" s="260"/>
      <c r="G28" s="52"/>
      <c r="H28" s="261"/>
    </row>
    <row r="29" spans="1:8" x14ac:dyDescent="0.2">
      <c r="A29" s="32"/>
      <c r="B29" t="s">
        <v>844</v>
      </c>
      <c r="C29" s="245">
        <f>SUM(D29:H29)</f>
        <v>272860.71000000008</v>
      </c>
      <c r="D29" s="20">
        <f>'DOE25'!L350+'DOE25'!L351+'DOE25'!L352-'DOE25'!I359-F29-G29</f>
        <v>269059.60000000009</v>
      </c>
      <c r="E29" s="243"/>
      <c r="F29" s="255">
        <f>'DOE25'!J350+'DOE25'!J351+'DOE25'!J352</f>
        <v>2452.91</v>
      </c>
      <c r="G29" s="53">
        <f>'DOE25'!K350+'DOE25'!K351+'DOE25'!K352</f>
        <v>1348.2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858</v>
      </c>
      <c r="B31" t="s">
        <v>857</v>
      </c>
      <c r="C31" s="245">
        <f>SUM(D31:H31)</f>
        <v>594424.66999999993</v>
      </c>
      <c r="D31" s="20">
        <f>'DOE25'!L282+'DOE25'!L301+'DOE25'!L320+'DOE25'!L325+'DOE25'!L326+'DOE25'!L327-F31-G31</f>
        <v>573145.37999999989</v>
      </c>
      <c r="E31" s="243"/>
      <c r="F31" s="255">
        <f>'DOE25'!J282+'DOE25'!J301+'DOE25'!J320+'DOE25'!J325+'DOE25'!J326+'DOE25'!J327</f>
        <v>20779.29</v>
      </c>
      <c r="G31" s="53">
        <f>'DOE25'!K282+'DOE25'!K301+'DOE25'!K320+'DOE25'!K325+'DOE25'!K326+'DOE25'!K327</f>
        <v>500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845</v>
      </c>
      <c r="D33" s="246">
        <f>SUM(D5:D31)</f>
        <v>17271261.079999998</v>
      </c>
      <c r="E33" s="246">
        <f>SUM(E5:E31)</f>
        <v>930391.05</v>
      </c>
      <c r="F33" s="246">
        <f>SUM(F5:F31)</f>
        <v>462030.07999999996</v>
      </c>
      <c r="G33" s="246">
        <f>SUM(G5:G31)</f>
        <v>76586.87</v>
      </c>
      <c r="H33" s="246">
        <f>SUM(H5:H31)</f>
        <v>993462.49</v>
      </c>
    </row>
    <row r="35" spans="2:8" ht="12" thickBot="1" x14ac:dyDescent="0.25">
      <c r="B35" s="253" t="s">
        <v>878</v>
      </c>
      <c r="D35" s="254">
        <f>E33</f>
        <v>930391.05</v>
      </c>
      <c r="E35" s="249"/>
    </row>
    <row r="36" spans="2:8" ht="12" thickTop="1" x14ac:dyDescent="0.2">
      <c r="B36" t="s">
        <v>846</v>
      </c>
      <c r="D36" s="20">
        <f>D33</f>
        <v>17271261.079999998</v>
      </c>
    </row>
    <row r="38" spans="2:8" x14ac:dyDescent="0.2">
      <c r="B38" s="186" t="s">
        <v>887</v>
      </c>
      <c r="C38" s="266"/>
      <c r="D38" s="267"/>
    </row>
    <row r="39" spans="2:8" x14ac:dyDescent="0.2">
      <c r="B39" t="s">
        <v>855</v>
      </c>
      <c r="D39" s="180" t="str">
        <f>IF(E10&gt;0,"Y","N")</f>
        <v>Y</v>
      </c>
    </row>
    <row r="41" spans="2:8" x14ac:dyDescent="0.2">
      <c r="B41" s="264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A243-6466-4D6A-AE15-C03C7672A109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Litchfield</v>
      </c>
      <c r="B2" s="125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4"/>
      <c r="I2" s="124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1" t="s">
        <v>303</v>
      </c>
      <c r="B5" s="126"/>
      <c r="C5" s="3"/>
      <c r="D5" s="3"/>
      <c r="E5" s="3"/>
      <c r="F5" s="3"/>
      <c r="G5" s="3"/>
      <c r="H5" s="123"/>
      <c r="I5" s="123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3"/>
      <c r="I6" s="123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3"/>
      <c r="I7" s="123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3"/>
      <c r="I8" s="123"/>
    </row>
    <row r="9" spans="1:9" x14ac:dyDescent="0.2">
      <c r="A9" s="1" t="s">
        <v>152</v>
      </c>
      <c r="B9" s="6">
        <v>100</v>
      </c>
      <c r="C9" s="94">
        <f>'DOE25'!F9</f>
        <v>1468825.72</v>
      </c>
      <c r="D9" s="94">
        <f>'DOE25'!G9</f>
        <v>94814.8</v>
      </c>
      <c r="E9" s="94">
        <f>'DOE25'!H9</f>
        <v>0</v>
      </c>
      <c r="F9" s="94">
        <f>'DOE25'!I9</f>
        <v>0</v>
      </c>
      <c r="G9" s="94">
        <f>'DOE25'!J9</f>
        <v>154496.51999999999</v>
      </c>
      <c r="H9" s="123"/>
      <c r="I9" s="123"/>
    </row>
    <row r="10" spans="1:9" x14ac:dyDescent="0.2">
      <c r="A10" s="1" t="s">
        <v>153</v>
      </c>
      <c r="B10" s="6">
        <v>110</v>
      </c>
      <c r="C10" s="94">
        <f>'DOE25'!F10</f>
        <v>0</v>
      </c>
      <c r="D10" s="94">
        <f>'DOE25'!G10</f>
        <v>0</v>
      </c>
      <c r="E10" s="94">
        <f>'DOE25'!H10</f>
        <v>0</v>
      </c>
      <c r="F10" s="94">
        <f>'DOE25'!I10</f>
        <v>0</v>
      </c>
      <c r="G10" s="94">
        <f>'DOE25'!J10</f>
        <v>0</v>
      </c>
      <c r="H10" s="123"/>
      <c r="I10" s="123"/>
    </row>
    <row r="11" spans="1:9" x14ac:dyDescent="0.2">
      <c r="A11" s="1" t="s">
        <v>154</v>
      </c>
      <c r="B11" s="6">
        <v>120</v>
      </c>
      <c r="C11" s="94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3"/>
      <c r="I11" s="123"/>
    </row>
    <row r="12" spans="1:9" x14ac:dyDescent="0.2">
      <c r="A12" s="1" t="s">
        <v>155</v>
      </c>
      <c r="B12" s="6">
        <v>130</v>
      </c>
      <c r="C12" s="94">
        <f>'DOE25'!F12</f>
        <v>156098.35999999999</v>
      </c>
      <c r="D12" s="94">
        <f>'DOE25'!G12</f>
        <v>0</v>
      </c>
      <c r="E12" s="94">
        <f>'DOE25'!H12</f>
        <v>0</v>
      </c>
      <c r="F12" s="94">
        <f>'DOE25'!I12</f>
        <v>0</v>
      </c>
      <c r="G12" s="94">
        <f>'DOE25'!J12</f>
        <v>0</v>
      </c>
      <c r="H12" s="123"/>
      <c r="I12" s="123"/>
    </row>
    <row r="13" spans="1:9" x14ac:dyDescent="0.2">
      <c r="A13" s="1" t="s">
        <v>156</v>
      </c>
      <c r="B13" s="6">
        <v>140</v>
      </c>
      <c r="C13" s="94">
        <f>'DOE25'!F13</f>
        <v>1680</v>
      </c>
      <c r="D13" s="94">
        <f>'DOE25'!G13</f>
        <v>6493.14</v>
      </c>
      <c r="E13" s="94">
        <f>'DOE25'!H13</f>
        <v>171154.58</v>
      </c>
      <c r="F13" s="94">
        <f>'DOE25'!I13</f>
        <v>0</v>
      </c>
      <c r="G13" s="94">
        <f>'DOE25'!J13</f>
        <v>0</v>
      </c>
      <c r="H13" s="123"/>
      <c r="I13" s="123"/>
    </row>
    <row r="14" spans="1:9" x14ac:dyDescent="0.2">
      <c r="A14" s="1" t="s">
        <v>157</v>
      </c>
      <c r="B14" s="6">
        <v>150</v>
      </c>
      <c r="C14" s="94">
        <f>'DOE25'!F14</f>
        <v>7416.05</v>
      </c>
      <c r="D14" s="94">
        <f>'DOE25'!G14</f>
        <v>255.63</v>
      </c>
      <c r="E14" s="94">
        <f>'DOE25'!H14</f>
        <v>0</v>
      </c>
      <c r="F14" s="94">
        <f>'DOE25'!I14</f>
        <v>0</v>
      </c>
      <c r="G14" s="94">
        <f>'DOE25'!J14</f>
        <v>0</v>
      </c>
      <c r="H14" s="123"/>
      <c r="I14" s="123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4">
        <f>'DOE25'!I15</f>
        <v>0</v>
      </c>
      <c r="G15" s="24" t="s">
        <v>312</v>
      </c>
      <c r="H15" s="123"/>
      <c r="I15" s="123"/>
    </row>
    <row r="16" spans="1:9" x14ac:dyDescent="0.2">
      <c r="A16" s="1" t="s">
        <v>159</v>
      </c>
      <c r="B16" s="6">
        <v>170</v>
      </c>
      <c r="C16" s="94">
        <f>'DOE25'!F16</f>
        <v>0</v>
      </c>
      <c r="D16" s="94">
        <f>'DOE25'!G16</f>
        <v>0</v>
      </c>
      <c r="E16" s="94">
        <f>'DOE25'!H16</f>
        <v>0</v>
      </c>
      <c r="F16" s="94">
        <f>'DOE25'!I16</f>
        <v>0</v>
      </c>
      <c r="G16" s="24" t="s">
        <v>312</v>
      </c>
      <c r="H16" s="123"/>
      <c r="I16" s="123"/>
    </row>
    <row r="17" spans="1:9" x14ac:dyDescent="0.2">
      <c r="A17" s="1" t="s">
        <v>160</v>
      </c>
      <c r="B17" s="6">
        <v>180</v>
      </c>
      <c r="C17" s="94">
        <f>'DOE25'!F17</f>
        <v>0</v>
      </c>
      <c r="D17" s="94">
        <f>'DOE25'!G17</f>
        <v>0</v>
      </c>
      <c r="E17" s="94">
        <f>'DOE25'!H17</f>
        <v>0</v>
      </c>
      <c r="F17" s="94">
        <f>'DOE25'!I17</f>
        <v>0</v>
      </c>
      <c r="G17" s="94">
        <f>'DOE25'!J17</f>
        <v>0</v>
      </c>
      <c r="H17" s="123"/>
      <c r="I17" s="123"/>
    </row>
    <row r="18" spans="1:9" ht="12" thickBot="1" x14ac:dyDescent="0.25">
      <c r="A18" s="1" t="s">
        <v>161</v>
      </c>
      <c r="B18" s="6">
        <v>190</v>
      </c>
      <c r="C18" s="94">
        <f>'DOE25'!F18</f>
        <v>0</v>
      </c>
      <c r="D18" s="94">
        <f>'DOE25'!G18</f>
        <v>0</v>
      </c>
      <c r="E18" s="94">
        <f>'DOE25'!H18</f>
        <v>0</v>
      </c>
      <c r="F18" s="94">
        <f>'DOE25'!I18</f>
        <v>0</v>
      </c>
      <c r="G18" s="94">
        <f>'DOE25'!J18</f>
        <v>0</v>
      </c>
      <c r="H18" s="123"/>
      <c r="I18" s="123"/>
    </row>
    <row r="19" spans="1:9" ht="12" thickTop="1" x14ac:dyDescent="0.2">
      <c r="A19" s="38" t="s">
        <v>162</v>
      </c>
      <c r="B19" s="39"/>
      <c r="C19" s="41">
        <f>SUM(C9:C18)</f>
        <v>1634020.1300000001</v>
      </c>
      <c r="D19" s="41">
        <f>SUM(D9:D18)</f>
        <v>101563.57</v>
      </c>
      <c r="E19" s="41">
        <f>SUM(E9:E18)</f>
        <v>171154.58</v>
      </c>
      <c r="F19" s="41">
        <f>SUM(F9:F18)</f>
        <v>0</v>
      </c>
      <c r="G19" s="41">
        <f>SUM(G9:G18)</f>
        <v>154496.51999999999</v>
      </c>
      <c r="H19" s="123"/>
      <c r="I19" s="123"/>
    </row>
    <row r="20" spans="1:9" x14ac:dyDescent="0.2">
      <c r="A20" s="1" t="s">
        <v>326</v>
      </c>
      <c r="B20" s="126"/>
      <c r="C20" s="13"/>
      <c r="D20" s="13"/>
      <c r="E20" s="13"/>
      <c r="F20" s="13"/>
      <c r="G20" s="13"/>
      <c r="H20" s="123"/>
      <c r="I20" s="123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3"/>
      <c r="I21" s="123"/>
    </row>
    <row r="22" spans="1:9" x14ac:dyDescent="0.2">
      <c r="A22" s="1" t="s">
        <v>163</v>
      </c>
      <c r="B22" s="6">
        <v>400</v>
      </c>
      <c r="C22" s="94">
        <f>'DOE25'!F23</f>
        <v>0</v>
      </c>
      <c r="D22" s="94">
        <f>'DOE25'!G23</f>
        <v>0</v>
      </c>
      <c r="E22" s="94">
        <f>'DOE25'!H23</f>
        <v>156098.35999999999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164</v>
      </c>
      <c r="B23" s="6">
        <v>410</v>
      </c>
      <c r="C23" s="94">
        <f>'DOE25'!F24</f>
        <v>0</v>
      </c>
      <c r="D23" s="94">
        <f>'DOE25'!G24</f>
        <v>0</v>
      </c>
      <c r="E23" s="94">
        <f>'DOE25'!H24</f>
        <v>0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165</v>
      </c>
      <c r="B24" s="6">
        <v>420</v>
      </c>
      <c r="C24" s="94">
        <f>'DOE25'!F25</f>
        <v>49572.52</v>
      </c>
      <c r="D24" s="94">
        <f>'DOE25'!G25</f>
        <v>0</v>
      </c>
      <c r="E24" s="94">
        <f>'DOE25'!H25</f>
        <v>100</v>
      </c>
      <c r="F24" s="94">
        <f>'DOE25'!I25</f>
        <v>0</v>
      </c>
      <c r="G24" s="94">
        <f>'DOE25'!J25</f>
        <v>0</v>
      </c>
      <c r="H24" s="123"/>
      <c r="I24" s="123"/>
    </row>
    <row r="25" spans="1:9" x14ac:dyDescent="0.2">
      <c r="A25" s="1" t="s">
        <v>166</v>
      </c>
      <c r="B25" s="6">
        <v>430</v>
      </c>
      <c r="C25" s="94">
        <f>'DOE25'!F26</f>
        <v>0</v>
      </c>
      <c r="D25" s="94">
        <f>'DOE25'!G26</f>
        <v>0</v>
      </c>
      <c r="E25" s="94">
        <f>'DOE25'!H26</f>
        <v>0</v>
      </c>
      <c r="F25" s="94">
        <f>'DOE25'!I26</f>
        <v>0</v>
      </c>
      <c r="G25" s="24" t="s">
        <v>312</v>
      </c>
      <c r="H25" s="123"/>
      <c r="I25" s="123"/>
    </row>
    <row r="26" spans="1:9" x14ac:dyDescent="0.2">
      <c r="A26" s="1" t="s">
        <v>167</v>
      </c>
      <c r="B26" s="6">
        <v>440</v>
      </c>
      <c r="C26" s="94">
        <f>'DOE25'!F27</f>
        <v>0</v>
      </c>
      <c r="D26" s="24" t="s">
        <v>312</v>
      </c>
      <c r="E26" s="24" t="s">
        <v>312</v>
      </c>
      <c r="F26" s="94">
        <f>'DOE25'!I27</f>
        <v>0</v>
      </c>
      <c r="G26" s="24" t="s">
        <v>312</v>
      </c>
      <c r="H26" s="123"/>
      <c r="I26" s="123"/>
    </row>
    <row r="27" spans="1:9" x14ac:dyDescent="0.2">
      <c r="A27" s="1" t="s">
        <v>168</v>
      </c>
      <c r="B27" s="6">
        <v>450</v>
      </c>
      <c r="C27" s="94">
        <f>'DOE25'!F28</f>
        <v>0</v>
      </c>
      <c r="D27" s="24" t="s">
        <v>312</v>
      </c>
      <c r="E27" s="24" t="s">
        <v>312</v>
      </c>
      <c r="F27" s="94">
        <f>'DOE25'!I28</f>
        <v>0</v>
      </c>
      <c r="G27" s="24" t="s">
        <v>312</v>
      </c>
      <c r="H27" s="123"/>
      <c r="I27" s="123"/>
    </row>
    <row r="28" spans="1:9" x14ac:dyDescent="0.2">
      <c r="A28" s="1" t="s">
        <v>169</v>
      </c>
      <c r="B28" s="6">
        <v>460</v>
      </c>
      <c r="C28" s="94">
        <f>'DOE25'!F29</f>
        <v>31043.87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312</v>
      </c>
      <c r="H28" s="123"/>
      <c r="I28" s="123"/>
    </row>
    <row r="29" spans="1:9" x14ac:dyDescent="0.2">
      <c r="A29" s="1" t="s">
        <v>170</v>
      </c>
      <c r="B29" s="6">
        <v>470</v>
      </c>
      <c r="C29" s="94">
        <f>'DOE25'!F30</f>
        <v>552101.14</v>
      </c>
      <c r="D29" s="94">
        <f>'DOE25'!G30</f>
        <v>0</v>
      </c>
      <c r="E29" s="94">
        <f>'DOE25'!H30</f>
        <v>0</v>
      </c>
      <c r="F29" s="94">
        <f>'DOE25'!I30</f>
        <v>0</v>
      </c>
      <c r="G29" s="24" t="s">
        <v>312</v>
      </c>
      <c r="H29" s="123"/>
      <c r="I29" s="123"/>
    </row>
    <row r="30" spans="1:9" x14ac:dyDescent="0.2">
      <c r="A30" s="1" t="s">
        <v>171</v>
      </c>
      <c r="B30" s="6">
        <v>480</v>
      </c>
      <c r="C30" s="94">
        <f>'DOE25'!F31</f>
        <v>345</v>
      </c>
      <c r="D30" s="94">
        <f>'DOE25'!G31</f>
        <v>7956.46</v>
      </c>
      <c r="E30" s="94">
        <f>'DOE25'!H31</f>
        <v>14956.22</v>
      </c>
      <c r="F30" s="94">
        <f>'DOE25'!I31</f>
        <v>0</v>
      </c>
      <c r="G30" s="24" t="s">
        <v>312</v>
      </c>
      <c r="H30" s="123"/>
      <c r="I30" s="123"/>
    </row>
    <row r="31" spans="1:9" ht="12" thickBot="1" x14ac:dyDescent="0.25">
      <c r="A31" s="1" t="s">
        <v>172</v>
      </c>
      <c r="B31" s="70">
        <v>490</v>
      </c>
      <c r="C31" s="94">
        <f>'DOE25'!F32</f>
        <v>0</v>
      </c>
      <c r="D31" s="94">
        <f>'DOE25'!G32</f>
        <v>0</v>
      </c>
      <c r="E31" s="94">
        <f>'DOE25'!H32</f>
        <v>0</v>
      </c>
      <c r="F31" s="94">
        <f>'DOE25'!I32</f>
        <v>0</v>
      </c>
      <c r="G31" s="94">
        <f>'DOE25'!J32</f>
        <v>0</v>
      </c>
      <c r="H31" s="123"/>
      <c r="I31" s="123"/>
    </row>
    <row r="32" spans="1:9" ht="12" thickTop="1" x14ac:dyDescent="0.2">
      <c r="A32" s="38" t="s">
        <v>173</v>
      </c>
      <c r="B32" s="2"/>
      <c r="C32" s="41">
        <f>SUM(C22:C31)</f>
        <v>633062.53</v>
      </c>
      <c r="D32" s="41">
        <f>SUM(D22:D31)</f>
        <v>7956.46</v>
      </c>
      <c r="E32" s="41">
        <f>SUM(E22:E31)</f>
        <v>171154.58</v>
      </c>
      <c r="F32" s="41">
        <f>SUM(F22:F31)</f>
        <v>0</v>
      </c>
      <c r="G32" s="41">
        <f>SUM(G22:G31)</f>
        <v>0</v>
      </c>
      <c r="H32" s="123"/>
      <c r="I32" s="123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3"/>
      <c r="I33" s="123"/>
    </row>
    <row r="34" spans="1:9" x14ac:dyDescent="0.2">
      <c r="A34" s="1" t="s">
        <v>174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312</v>
      </c>
      <c r="H34" s="123"/>
      <c r="I34" s="123"/>
    </row>
    <row r="35" spans="1:9" x14ac:dyDescent="0.2">
      <c r="A35" s="1" t="s">
        <v>175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312</v>
      </c>
      <c r="H35" s="123"/>
      <c r="I35" s="123"/>
    </row>
    <row r="36" spans="1:9" x14ac:dyDescent="0.2">
      <c r="A36" s="1" t="s">
        <v>176</v>
      </c>
      <c r="B36" s="6">
        <v>753</v>
      </c>
      <c r="C36" s="94">
        <f>'DOE25'!F37</f>
        <v>228842.6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1" t="s">
        <v>177</v>
      </c>
      <c r="B37" s="6">
        <v>754</v>
      </c>
      <c r="C37" s="94">
        <f>'DOE25'!F38</f>
        <v>0</v>
      </c>
      <c r="D37" s="94">
        <f>'DOE25'!G38</f>
        <v>0</v>
      </c>
      <c r="E37" s="94">
        <f>'DOE25'!H38</f>
        <v>0</v>
      </c>
      <c r="F37" s="94">
        <f>'DOE25'!I38</f>
        <v>0</v>
      </c>
      <c r="G37" s="94">
        <f>'DOE25'!J38</f>
        <v>0</v>
      </c>
      <c r="H37" s="123"/>
      <c r="I37" s="123"/>
    </row>
    <row r="38" spans="1:9" x14ac:dyDescent="0.2">
      <c r="A38" s="1" t="s">
        <v>178</v>
      </c>
      <c r="B38" s="6">
        <v>755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24" t="s">
        <v>312</v>
      </c>
      <c r="H38" s="123"/>
      <c r="I38" s="123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4">
        <f>'DOE25'!J40</f>
        <v>0</v>
      </c>
      <c r="H39" s="123"/>
      <c r="I39" s="123"/>
    </row>
    <row r="40" spans="1:9" x14ac:dyDescent="0.2">
      <c r="A40" s="1" t="s">
        <v>180</v>
      </c>
      <c r="B40" s="6">
        <v>760</v>
      </c>
      <c r="C40" s="94">
        <f>'DOE25'!F41</f>
        <v>0</v>
      </c>
      <c r="D40" s="94">
        <f>'DOE25'!G41</f>
        <v>93607.11</v>
      </c>
      <c r="E40" s="94">
        <f>'DOE25'!H41</f>
        <v>0</v>
      </c>
      <c r="F40" s="94">
        <f>'DOE25'!I41</f>
        <v>0</v>
      </c>
      <c r="G40" s="94">
        <f>'DOE25'!J41</f>
        <v>154496.51999999999</v>
      </c>
      <c r="H40" s="123"/>
      <c r="I40" s="123"/>
    </row>
    <row r="41" spans="1:9" ht="12" thickBot="1" x14ac:dyDescent="0.25">
      <c r="A41" s="1" t="s">
        <v>181</v>
      </c>
      <c r="B41" s="70">
        <v>770</v>
      </c>
      <c r="C41" s="94">
        <f>'DOE25'!F42</f>
        <v>772115</v>
      </c>
      <c r="D41" s="94" t="str">
        <f>'DOE25'!G42</f>
        <v>............</v>
      </c>
      <c r="E41" s="94" t="str">
        <f>'DOE25'!H42</f>
        <v>............</v>
      </c>
      <c r="F41" s="94" t="str">
        <f>'DOE25'!I42</f>
        <v>............</v>
      </c>
      <c r="G41" s="24" t="s">
        <v>312</v>
      </c>
      <c r="H41" s="123"/>
      <c r="I41" s="123"/>
    </row>
    <row r="42" spans="1:9" ht="12.75" thickTop="1" thickBot="1" x14ac:dyDescent="0.25">
      <c r="A42" s="38" t="s">
        <v>182</v>
      </c>
      <c r="B42" s="48"/>
      <c r="C42" s="41">
        <f>SUM(C34:C41)</f>
        <v>1000957.6</v>
      </c>
      <c r="D42" s="41">
        <f>SUM(D34:D41)</f>
        <v>93607.11</v>
      </c>
      <c r="E42" s="41">
        <f>SUM(E34:E41)</f>
        <v>0</v>
      </c>
      <c r="F42" s="41">
        <f>SUM(F34:F41)</f>
        <v>0</v>
      </c>
      <c r="G42" s="41">
        <f>SUM(G34:G41)</f>
        <v>154496.51999999999</v>
      </c>
      <c r="H42" s="123"/>
      <c r="I42" s="123"/>
    </row>
    <row r="43" spans="1:9" ht="12" thickTop="1" x14ac:dyDescent="0.2">
      <c r="A43" s="38" t="s">
        <v>183</v>
      </c>
      <c r="B43" s="2"/>
      <c r="C43" s="41">
        <f>C42+C32</f>
        <v>1634020.13</v>
      </c>
      <c r="D43" s="41">
        <f>D42+D32</f>
        <v>101563.57</v>
      </c>
      <c r="E43" s="41">
        <f>E42+E32</f>
        <v>171154.58</v>
      </c>
      <c r="F43" s="41">
        <f>F42+F32</f>
        <v>0</v>
      </c>
      <c r="G43" s="41">
        <f>G42+G32</f>
        <v>154496.51999999999</v>
      </c>
      <c r="H43" s="123"/>
      <c r="I43" s="123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6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7" t="s">
        <v>184</v>
      </c>
      <c r="B47" s="126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4">
        <f>'DOE25'!F52</f>
        <v>10136035</v>
      </c>
      <c r="D48" s="94">
        <f>'DOE25'!G52</f>
        <v>0</v>
      </c>
      <c r="E48" s="94">
        <f>'DOE25'!H52</f>
        <v>0</v>
      </c>
      <c r="F48" s="94">
        <f>'DOE25'!I52</f>
        <v>0</v>
      </c>
      <c r="G48" s="94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4">
        <f>'DOE25'!F71</f>
        <v>85459.66</v>
      </c>
      <c r="D49" s="24" t="s">
        <v>312</v>
      </c>
      <c r="E49" s="94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4">
        <f>'DOE25'!F86</f>
        <v>8398.25</v>
      </c>
      <c r="D50" s="24" t="s">
        <v>312</v>
      </c>
      <c r="E50" s="94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8" t="s">
        <v>191</v>
      </c>
      <c r="B51" s="37" t="s">
        <v>192</v>
      </c>
      <c r="C51" s="94">
        <f>'DOE25'!F88</f>
        <v>3744.16</v>
      </c>
      <c r="D51" s="94">
        <f>'DOE25'!G88</f>
        <v>78.88</v>
      </c>
      <c r="E51" s="94">
        <f>'DOE25'!H88</f>
        <v>0</v>
      </c>
      <c r="F51" s="94">
        <f>'DOE25'!I88</f>
        <v>0</v>
      </c>
      <c r="G51" s="94">
        <f>'DOE25'!J88</f>
        <v>77.239999999999995</v>
      </c>
      <c r="H51"/>
      <c r="I51"/>
    </row>
    <row r="52" spans="1:9" x14ac:dyDescent="0.2">
      <c r="A52" s="1" t="s">
        <v>193</v>
      </c>
      <c r="B52" s="117" t="s">
        <v>194</v>
      </c>
      <c r="C52" s="24" t="s">
        <v>312</v>
      </c>
      <c r="D52" s="94">
        <f>'DOE25'!G89</f>
        <v>419403.1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7" t="s">
        <v>196</v>
      </c>
      <c r="C53" s="94">
        <f>SUM('DOE25'!F90:F102)</f>
        <v>23565.15</v>
      </c>
      <c r="D53" s="94">
        <f>SUM('DOE25'!G90:G102)</f>
        <v>9660.19</v>
      </c>
      <c r="E53" s="94">
        <f>SUM('DOE25'!H90:H102)</f>
        <v>6512.12</v>
      </c>
      <c r="F53" s="94">
        <f>SUM('DOE25'!I90:I102)</f>
        <v>0</v>
      </c>
      <c r="G53" s="94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29">
        <f>SUM(C49:C53)</f>
        <v>121167.22</v>
      </c>
      <c r="D54" s="129">
        <f>SUM(D49:D53)</f>
        <v>429142.17</v>
      </c>
      <c r="E54" s="129">
        <f>SUM(E49:E53)</f>
        <v>6512.12</v>
      </c>
      <c r="F54" s="129">
        <f>SUM(F49:F53)</f>
        <v>0</v>
      </c>
      <c r="G54" s="129">
        <f>SUM(G49:G53)</f>
        <v>77.239999999999995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10257202.220000001</v>
      </c>
      <c r="D55" s="22">
        <f>D48+D54</f>
        <v>429142.17</v>
      </c>
      <c r="E55" s="22">
        <f>E48+E54</f>
        <v>6512.12</v>
      </c>
      <c r="F55" s="22">
        <f>F48+F54</f>
        <v>0</v>
      </c>
      <c r="G55" s="22">
        <f>G48+G54</f>
        <v>77.239999999999995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4">
        <f>'DOE25'!F109</f>
        <v>5932512.4500000002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4">
        <f>'DOE25'!F110</f>
        <v>1807825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4">
        <f>'DOE25'!F111</f>
        <v>215170.55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4">
        <f>'DOE25'!F112</f>
        <v>0</v>
      </c>
      <c r="D61" s="94">
        <f>'DOE25'!G112</f>
        <v>0</v>
      </c>
      <c r="E61" s="94">
        <f>'DOE25'!H112</f>
        <v>0</v>
      </c>
      <c r="F61" s="94">
        <f>'DOE25'!I112</f>
        <v>0</v>
      </c>
      <c r="G61" s="94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8">
        <f>SUM(C58:C61)</f>
        <v>7955508</v>
      </c>
      <c r="D62" s="138">
        <f>D61</f>
        <v>0</v>
      </c>
      <c r="E62" s="138">
        <f>E61</f>
        <v>0</v>
      </c>
      <c r="F62" s="138">
        <f>F61</f>
        <v>0</v>
      </c>
      <c r="G62" s="138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4">
        <f>'DOE25'!F115</f>
        <v>260786.84</v>
      </c>
      <c r="D64" s="24" t="s">
        <v>312</v>
      </c>
      <c r="E64" s="24" t="s">
        <v>312</v>
      </c>
      <c r="F64" s="94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4">
        <f>'DOE25'!F116</f>
        <v>71411</v>
      </c>
      <c r="D65" s="24" t="s">
        <v>312</v>
      </c>
      <c r="E65" s="24" t="s">
        <v>312</v>
      </c>
      <c r="F65" s="94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4">
        <f>'DOE25'!F117</f>
        <v>156550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4">
        <f>'DOE25'!F118</f>
        <v>258403.55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4">
        <f>SUM('DOE25'!F119:F122)</f>
        <v>18239.12</v>
      </c>
      <c r="D68" s="24" t="s">
        <v>312</v>
      </c>
      <c r="E68" s="94">
        <f>SUM('DOE25'!H119:H122)</f>
        <v>0</v>
      </c>
      <c r="F68" s="94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4">
        <f>SUM('DOE25'!F123:F127)</f>
        <v>6300</v>
      </c>
      <c r="D69" s="94">
        <f>SUM('DOE25'!G123:G127)</f>
        <v>5153.29</v>
      </c>
      <c r="E69" s="94">
        <f>SUM('DOE25'!H123:H127)</f>
        <v>0</v>
      </c>
      <c r="F69" s="94">
        <f>SUM('DOE25'!I123:I127)</f>
        <v>0</v>
      </c>
      <c r="G69" s="94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29">
        <f>SUM(C64:C69)</f>
        <v>771690.50999999989</v>
      </c>
      <c r="D70" s="129">
        <f>SUM(D64:D69)</f>
        <v>5153.29</v>
      </c>
      <c r="E70" s="129">
        <f>SUM(E64:E69)</f>
        <v>0</v>
      </c>
      <c r="F70" s="129">
        <f>SUM(F64:F69)</f>
        <v>0</v>
      </c>
      <c r="G70" s="129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4">
        <f>'DOE25'!F129</f>
        <v>0</v>
      </c>
      <c r="D71" s="94">
        <f>'DOE25'!G129</f>
        <v>0</v>
      </c>
      <c r="E71" s="94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4">
        <f>'DOE25'!F130</f>
        <v>0</v>
      </c>
      <c r="D72" s="24" t="s">
        <v>312</v>
      </c>
      <c r="E72" s="94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29">
        <f>SUM(C71:C72)+C70+C62</f>
        <v>8727198.5099999998</v>
      </c>
      <c r="D73" s="129">
        <f>SUM(D71:D72)+D70+D62</f>
        <v>5153.29</v>
      </c>
      <c r="E73" s="129">
        <f>SUM(E71:E72)+E70+E62</f>
        <v>0</v>
      </c>
      <c r="F73" s="129">
        <f>SUM(F71:F72)+F70+F62</f>
        <v>0</v>
      </c>
      <c r="G73" s="129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6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7" t="s">
        <v>204</v>
      </c>
      <c r="B76" s="126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4">
        <f>'DOE25'!F139</f>
        <v>0</v>
      </c>
      <c r="D77" s="94">
        <f>'DOE25'!G139</f>
        <v>0</v>
      </c>
      <c r="E77" s="94">
        <f>'DOE25'!H139</f>
        <v>0</v>
      </c>
      <c r="F77" s="94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4">
        <f>SUM('DOE25'!F141:F144)</f>
        <v>0</v>
      </c>
      <c r="D79" s="24" t="s">
        <v>312</v>
      </c>
      <c r="E79" s="94">
        <f>SUM('DOE25'!H141:H144)</f>
        <v>433905.25</v>
      </c>
      <c r="F79" s="94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4">
        <f>SUM('DOE25'!F145:F153)</f>
        <v>120523.31</v>
      </c>
      <c r="D80" s="94">
        <f>SUM('DOE25'!G145:G153)</f>
        <v>102040.12</v>
      </c>
      <c r="E80" s="94">
        <f>SUM('DOE25'!H145:H153)</f>
        <v>154007.30000000002</v>
      </c>
      <c r="F80" s="94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4">
        <f>'DOE25'!F155+'DOE25'!F158+'DOE25'!F160</f>
        <v>0</v>
      </c>
      <c r="D81" s="94">
        <f>'DOE25'!G155+'DOE25'!G160</f>
        <v>0</v>
      </c>
      <c r="E81" s="94">
        <f>'DOE25'!H155+'DOE25'!H160</f>
        <v>0</v>
      </c>
      <c r="F81" s="94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4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0">
        <f>SUM(C77:C82)</f>
        <v>120523.31</v>
      </c>
      <c r="D83" s="130">
        <f>SUM(D77:D82)</f>
        <v>102040.12</v>
      </c>
      <c r="E83" s="130">
        <f>SUM(E77:E82)</f>
        <v>587912.55000000005</v>
      </c>
      <c r="F83" s="130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4">
        <f>SUM('DOE25'!F165:F167)</f>
        <v>0</v>
      </c>
      <c r="D85" s="24" t="s">
        <v>312</v>
      </c>
      <c r="E85" s="24" t="s">
        <v>312</v>
      </c>
      <c r="F85" s="94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4">
        <f>'DOE25'!F168</f>
        <v>0</v>
      </c>
      <c r="D86" s="24" t="s">
        <v>312</v>
      </c>
      <c r="E86" s="24" t="s">
        <v>312</v>
      </c>
      <c r="F86" s="94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4">
        <f>'DOE25'!G171</f>
        <v>0</v>
      </c>
      <c r="E88" s="94">
        <f>'DOE25'!H171</f>
        <v>0</v>
      </c>
      <c r="F88" s="94">
        <f>'DOE25'!I171</f>
        <v>0</v>
      </c>
      <c r="G88" s="94">
        <f>'DOE25'!J171</f>
        <v>0</v>
      </c>
    </row>
    <row r="89" spans="1:7" x14ac:dyDescent="0.2">
      <c r="A89" t="s">
        <v>789</v>
      </c>
      <c r="B89" s="32" t="s">
        <v>211</v>
      </c>
      <c r="C89" s="94">
        <f>SUM('DOE25'!F172:F173)</f>
        <v>0</v>
      </c>
      <c r="D89" s="94">
        <f>SUM('DOE25'!G172:G173)</f>
        <v>0</v>
      </c>
      <c r="E89" s="94">
        <f>SUM('DOE25'!H172:H173)</f>
        <v>0</v>
      </c>
      <c r="F89" s="94">
        <f>SUM('DOE25'!I172:I173)</f>
        <v>0</v>
      </c>
      <c r="G89" s="94">
        <f>SUM('DOE25'!J172:J173)</f>
        <v>0</v>
      </c>
    </row>
    <row r="90" spans="1:7" x14ac:dyDescent="0.2">
      <c r="A90" t="s">
        <v>790</v>
      </c>
      <c r="B90" s="32" t="s">
        <v>212</v>
      </c>
      <c r="C90" s="94">
        <f>'DOE25'!F174</f>
        <v>0</v>
      </c>
      <c r="D90" s="94">
        <f>'DOE25'!G174</f>
        <v>0</v>
      </c>
      <c r="E90" s="94">
        <f>'DOE25'!H174</f>
        <v>0</v>
      </c>
      <c r="F90" s="24" t="s">
        <v>312</v>
      </c>
      <c r="G90" s="94">
        <f>'DOE25'!J174</f>
        <v>0</v>
      </c>
    </row>
    <row r="91" spans="1:7" x14ac:dyDescent="0.2">
      <c r="A91" t="s">
        <v>791</v>
      </c>
      <c r="B91" s="32">
        <v>5251</v>
      </c>
      <c r="C91" s="94">
        <f>'DOE25'!F177</f>
        <v>0</v>
      </c>
      <c r="D91" s="94">
        <f>'DOE25'!G177</f>
        <v>0</v>
      </c>
      <c r="E91" s="94">
        <f>'DOE25'!H177</f>
        <v>0</v>
      </c>
      <c r="F91" s="94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4">
        <f>SUM('DOE25'!F178:F179)</f>
        <v>0</v>
      </c>
      <c r="D92" s="94">
        <f>SUM('DOE25'!G178:G179)</f>
        <v>0</v>
      </c>
      <c r="E92" s="94">
        <f>SUM('DOE25'!H178:H179)</f>
        <v>0</v>
      </c>
      <c r="F92" s="94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4">
        <f>'DOE25'!F181</f>
        <v>0</v>
      </c>
      <c r="D93" s="94">
        <f>'DOE25'!G181</f>
        <v>0</v>
      </c>
      <c r="E93" s="94">
        <f>'DOE25'!H181</f>
        <v>0</v>
      </c>
      <c r="F93" s="94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4">
        <f>SUM('DOE25'!F182:F183)</f>
        <v>0</v>
      </c>
      <c r="D94" s="94">
        <f>SUM('DOE25'!G182:G183)</f>
        <v>0</v>
      </c>
      <c r="E94" s="94">
        <f>SUM('DOE25'!H182:H183)</f>
        <v>0</v>
      </c>
      <c r="F94" s="94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5">
        <f>SUM(C85:C94)</f>
        <v>0</v>
      </c>
      <c r="D95" s="85">
        <f>SUM(D85:D94)</f>
        <v>0</v>
      </c>
      <c r="E95" s="85">
        <f>SUM(E85:E94)</f>
        <v>0</v>
      </c>
      <c r="F95" s="85">
        <f>SUM(F85:F94)</f>
        <v>0</v>
      </c>
      <c r="G95" s="85">
        <f>SUM(G85:G94)</f>
        <v>0</v>
      </c>
    </row>
    <row r="96" spans="1:7" ht="12.75" thickTop="1" thickBot="1" x14ac:dyDescent="0.25">
      <c r="A96" s="33" t="s">
        <v>796</v>
      </c>
      <c r="C96" s="85">
        <f>C55+C73+C83+C95</f>
        <v>19104924.039999999</v>
      </c>
      <c r="D96" s="85">
        <f>D55+D73+D83+D95</f>
        <v>536335.57999999996</v>
      </c>
      <c r="E96" s="85">
        <f>E55+E73+E83+E95</f>
        <v>594424.67000000004</v>
      </c>
      <c r="F96" s="85">
        <f>F55+F73+F83+F95</f>
        <v>0</v>
      </c>
      <c r="G96" s="85">
        <f>G55+G73+G95</f>
        <v>77.239999999999995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6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7" t="s">
        <v>218</v>
      </c>
      <c r="B100" s="126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4">
        <f>('DOE25'!L189)+('DOE25'!L207)+('DOE25'!L225)</f>
        <v>7711185.3699999992</v>
      </c>
      <c r="D101" s="24" t="s">
        <v>312</v>
      </c>
      <c r="E101" s="94">
        <f>('DOE25'!L268)+('DOE25'!L287)+('DOE25'!L306)</f>
        <v>150739.66999999998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4">
        <f>('DOE25'!L190)+('DOE25'!L208)+('DOE25'!L226)</f>
        <v>2170519.5499999998</v>
      </c>
      <c r="D102" s="24" t="s">
        <v>312</v>
      </c>
      <c r="E102" s="94">
        <f>('DOE25'!L269)+('DOE25'!L288)+('DOE25'!L307)</f>
        <v>358456.78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4">
        <f>('DOE25'!L191)+('DOE25'!L209)+('DOE25'!L227)</f>
        <v>29055.599999999999</v>
      </c>
      <c r="D103" s="24" t="s">
        <v>312</v>
      </c>
      <c r="E103" s="94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4">
        <f>('DOE25'!L192)+('DOE25'!L210)+('DOE25'!L228)</f>
        <v>411244.80999999994</v>
      </c>
      <c r="D104" s="24" t="s">
        <v>312</v>
      </c>
      <c r="E104" s="94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4">
        <f>'DOE25'!L242</f>
        <v>47984.39</v>
      </c>
      <c r="D105" s="24" t="s">
        <v>312</v>
      </c>
      <c r="E105" s="94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4">
        <f>SUM('DOE25'!L243:L245)</f>
        <v>18655.87</v>
      </c>
      <c r="D106" s="24" t="s">
        <v>312</v>
      </c>
      <c r="E106" s="94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5">
        <f>SUM(C101:C106)</f>
        <v>10388645.589999998</v>
      </c>
      <c r="D107" s="85">
        <f>SUM(D101:D106)</f>
        <v>0</v>
      </c>
      <c r="E107" s="85">
        <f>SUM(E101:E106)</f>
        <v>509196.45</v>
      </c>
      <c r="F107" s="85">
        <f>SUM(F101:F106)</f>
        <v>0</v>
      </c>
      <c r="G107" s="85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4">
        <f>('DOE25'!L194)+('DOE25'!L212)+('DOE25'!L230)</f>
        <v>1419874.5699999998</v>
      </c>
      <c r="D110" s="24" t="s">
        <v>312</v>
      </c>
      <c r="E110" s="94">
        <f>+('DOE25'!L273)+('DOE25'!L292)+('DOE25'!L311)</f>
        <v>82750.899999999994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4">
        <f>('DOE25'!L195)+('DOE25'!L213)+('DOE25'!L231)</f>
        <v>508199.32999999996</v>
      </c>
      <c r="D111" s="24" t="s">
        <v>312</v>
      </c>
      <c r="E111" s="94">
        <f>+('DOE25'!L274)+('DOE25'!L293)+('DOE25'!L312)</f>
        <v>500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4">
        <f>('DOE25'!L196)+('DOE25'!L214)+('DOE25'!L232)</f>
        <v>570145.88000000012</v>
      </c>
      <c r="D112" s="24" t="s">
        <v>312</v>
      </c>
      <c r="E112" s="94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4">
        <f>('DOE25'!L197)+('DOE25'!L215)+('DOE25'!L233)</f>
        <v>1202100.3999999999</v>
      </c>
      <c r="D113" s="24" t="s">
        <v>312</v>
      </c>
      <c r="E113" s="94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4">
        <f>('DOE25'!L198)+('DOE25'!L216)+('DOE25'!L234)</f>
        <v>277250.55</v>
      </c>
      <c r="D114" s="24" t="s">
        <v>312</v>
      </c>
      <c r="E114" s="94">
        <f>+('DOE25'!L277)+('DOE25'!L296)+('DOE25'!L315)</f>
        <v>1977.3200000000002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4">
        <f>('DOE25'!L199)+('DOE25'!L217)+('DOE25'!L235)</f>
        <v>1972906.4699999997</v>
      </c>
      <c r="D115" s="24" t="s">
        <v>312</v>
      </c>
      <c r="E115" s="94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4">
        <f>('DOE25'!L200)+('DOE25'!L218)+('DOE25'!L236+'DOE25'!L246)</f>
        <v>741667.3</v>
      </c>
      <c r="D116" s="24" t="s">
        <v>312</v>
      </c>
      <c r="E116" s="94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4">
        <f>('DOE25'!L201)+('DOE25'!L219)+('DOE25'!L237)</f>
        <v>574301.19999999995</v>
      </c>
      <c r="D117" s="24" t="s">
        <v>312</v>
      </c>
      <c r="E117" s="94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4">
        <f>('DOE25'!L350)+('DOE25'!L351)+('DOE25'!L352)</f>
        <v>548807.92000000004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5">
        <f>SUM(C110:C119)</f>
        <v>7266445.6999999993</v>
      </c>
      <c r="D120" s="85">
        <f>SUM(D110:D119)</f>
        <v>548807.92000000004</v>
      </c>
      <c r="E120" s="85">
        <f>SUM(E110:E119)</f>
        <v>85228.22</v>
      </c>
      <c r="F120" s="85">
        <f>SUM(F110:F119)</f>
        <v>0</v>
      </c>
      <c r="G120" s="85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4">
        <f>'DOE25'!L247</f>
        <v>246296.8</v>
      </c>
      <c r="D122" s="24" t="s">
        <v>312</v>
      </c>
      <c r="E122" s="128">
        <f>'DOE25'!L328</f>
        <v>0</v>
      </c>
      <c r="F122" s="128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4">
        <f>'DOE25'!L252</f>
        <v>800000</v>
      </c>
      <c r="D123" s="24" t="s">
        <v>312</v>
      </c>
      <c r="E123" s="128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4">
        <f>'DOE25'!L253</f>
        <v>193462.49</v>
      </c>
      <c r="D124" s="24" t="s">
        <v>312</v>
      </c>
      <c r="E124" s="128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4">
        <f>'DOE25'!K353</f>
        <v>0</v>
      </c>
      <c r="E126" s="94">
        <f>'DOE25'!L336</f>
        <v>0</v>
      </c>
      <c r="F126" s="94">
        <f>'DOE25'!K373</f>
        <v>0</v>
      </c>
      <c r="G126" s="94">
        <f>'DOE25'!K426</f>
        <v>0</v>
      </c>
    </row>
    <row r="127" spans="1:7" x14ac:dyDescent="0.2">
      <c r="A127" t="s">
        <v>256</v>
      </c>
      <c r="B127" s="32" t="s">
        <v>257</v>
      </c>
      <c r="C127" s="94">
        <f>'DOE25'!L255</f>
        <v>0</v>
      </c>
      <c r="D127" s="24" t="s">
        <v>312</v>
      </c>
      <c r="E127" s="128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4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4">
        <f>'DOE25'!L257</f>
        <v>0</v>
      </c>
      <c r="D129" s="24" t="s">
        <v>312</v>
      </c>
      <c r="E129" s="128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4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4">
        <f>'DOE25'!L393</f>
        <v>77.240000000000009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4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4">
        <f>('DOE25'!L258+'DOE25'!K339) - (C130+C131+C132)</f>
        <v>-77.240000000000009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8">
        <f>'DOE25'!L260</f>
        <v>0</v>
      </c>
      <c r="D134" s="24" t="s">
        <v>312</v>
      </c>
      <c r="E134" s="128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8">
        <f>'DOE25'!L261</f>
        <v>0</v>
      </c>
      <c r="D135" s="24" t="s">
        <v>312</v>
      </c>
      <c r="E135" s="128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0">
        <f>SUM(C122:C135)</f>
        <v>1239759.29</v>
      </c>
      <c r="D136" s="140">
        <f>SUM(D122:D135)</f>
        <v>0</v>
      </c>
      <c r="E136" s="140">
        <f>SUM(E122:E135)</f>
        <v>0</v>
      </c>
      <c r="F136" s="140">
        <f>SUM(F122:F135)</f>
        <v>0</v>
      </c>
      <c r="G136" s="140">
        <f>SUM(G122:G135)</f>
        <v>0</v>
      </c>
    </row>
    <row r="137" spans="1:9" ht="12.75" thickTop="1" thickBot="1" x14ac:dyDescent="0.25">
      <c r="A137" s="33" t="s">
        <v>267</v>
      </c>
      <c r="C137" s="85">
        <f>(C107+C120+C136)</f>
        <v>18894850.579999998</v>
      </c>
      <c r="D137" s="85">
        <f>(D107+D120+D136)</f>
        <v>548807.92000000004</v>
      </c>
      <c r="E137" s="85">
        <f>(E107+E120+E136)</f>
        <v>594424.67000000004</v>
      </c>
      <c r="F137" s="85">
        <f>(F107+F120+F136)</f>
        <v>0</v>
      </c>
      <c r="G137" s="85">
        <f>(G107+G120+G136)</f>
        <v>0</v>
      </c>
    </row>
    <row r="138" spans="1:9" ht="12" thickTop="1" x14ac:dyDescent="0.2">
      <c r="A138" s="33"/>
    </row>
    <row r="140" spans="1:9" x14ac:dyDescent="0.2">
      <c r="A140" s="134" t="s">
        <v>268</v>
      </c>
      <c r="B140" s="131"/>
      <c r="C140" s="114"/>
      <c r="D140" s="115"/>
      <c r="E140" s="115"/>
      <c r="F140" s="115"/>
      <c r="G140" s="115"/>
      <c r="H140" s="115"/>
      <c r="I140" s="115"/>
    </row>
    <row r="141" spans="1:9" x14ac:dyDescent="0.2">
      <c r="A141" s="135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4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5" t="s">
        <v>27</v>
      </c>
      <c r="B143" s="152" t="str">
        <f>'DOE25'!F480</f>
        <v>DEBT 1</v>
      </c>
      <c r="C143" s="152">
        <f>'DOE25'!G480</f>
        <v>0</v>
      </c>
      <c r="D143" s="152">
        <f>'DOE25'!H480</f>
        <v>0</v>
      </c>
      <c r="E143" s="152">
        <f>'DOE25'!I480</f>
        <v>0</v>
      </c>
      <c r="F143" s="152">
        <f>'DOE25'!J480</f>
        <v>0</v>
      </c>
      <c r="G143" s="24" t="s">
        <v>312</v>
      </c>
    </row>
    <row r="144" spans="1:9" x14ac:dyDescent="0.2">
      <c r="A144" s="135" t="s">
        <v>28</v>
      </c>
      <c r="B144" s="151">
        <f>'DOE25'!F481</f>
        <v>15</v>
      </c>
      <c r="C144" s="151">
        <f>'DOE25'!G481</f>
        <v>0</v>
      </c>
      <c r="D144" s="151">
        <f>'DOE25'!H481</f>
        <v>0</v>
      </c>
      <c r="E144" s="151">
        <f>'DOE25'!I481</f>
        <v>0</v>
      </c>
      <c r="F144" s="151">
        <f>'DOE25'!J481</f>
        <v>0</v>
      </c>
      <c r="G144" s="24" t="s">
        <v>312</v>
      </c>
    </row>
    <row r="145" spans="1:7" x14ac:dyDescent="0.2">
      <c r="A145" s="135" t="s">
        <v>29</v>
      </c>
      <c r="B145" s="151" t="str">
        <f>'DOE25'!F482</f>
        <v>08/2000</v>
      </c>
      <c r="C145" s="151">
        <f>'DOE25'!G482</f>
        <v>0</v>
      </c>
      <c r="D145" s="151">
        <f>'DOE25'!H482</f>
        <v>0</v>
      </c>
      <c r="E145" s="151">
        <f>'DOE25'!I482</f>
        <v>0</v>
      </c>
      <c r="F145" s="151">
        <f>'DOE25'!J482</f>
        <v>0</v>
      </c>
      <c r="G145" s="24" t="s">
        <v>312</v>
      </c>
    </row>
    <row r="146" spans="1:7" x14ac:dyDescent="0.2">
      <c r="A146" s="135" t="s">
        <v>30</v>
      </c>
      <c r="B146" s="136" t="str">
        <f>'DOE25'!F483</f>
        <v>02/2015</v>
      </c>
      <c r="C146" s="136">
        <f>'DOE25'!G483</f>
        <v>0</v>
      </c>
      <c r="D146" s="136">
        <f>'DOE25'!H483</f>
        <v>0</v>
      </c>
      <c r="E146" s="136">
        <f>'DOE25'!I483</f>
        <v>0</v>
      </c>
      <c r="F146" s="136">
        <f>'DOE25'!J483</f>
        <v>0</v>
      </c>
      <c r="G146" s="24" t="s">
        <v>312</v>
      </c>
    </row>
    <row r="147" spans="1:7" x14ac:dyDescent="0.2">
      <c r="A147" s="135" t="s">
        <v>31</v>
      </c>
      <c r="B147" s="136">
        <f>'DOE25'!F484</f>
        <v>11685000</v>
      </c>
      <c r="C147" s="136">
        <f>'DOE25'!G484</f>
        <v>0</v>
      </c>
      <c r="D147" s="136">
        <f>'DOE25'!H484</f>
        <v>0</v>
      </c>
      <c r="E147" s="136">
        <f>'DOE25'!I484</f>
        <v>0</v>
      </c>
      <c r="F147" s="136">
        <f>'DOE25'!J484</f>
        <v>0</v>
      </c>
      <c r="G147" s="24" t="s">
        <v>312</v>
      </c>
    </row>
    <row r="148" spans="1:7" x14ac:dyDescent="0.2">
      <c r="A148" s="22" t="s">
        <v>32</v>
      </c>
      <c r="B148" s="136">
        <f>'DOE25'!F485</f>
        <v>5.14</v>
      </c>
      <c r="C148" s="136">
        <f>'DOE25'!G485</f>
        <v>0</v>
      </c>
      <c r="D148" s="136">
        <f>'DOE25'!H485</f>
        <v>0</v>
      </c>
      <c r="E148" s="136">
        <f>'DOE25'!I485</f>
        <v>0</v>
      </c>
      <c r="F148" s="136">
        <f>'DOE25'!J485</f>
        <v>0</v>
      </c>
      <c r="G148" s="137">
        <f>SUM(B148:F148)</f>
        <v>5.14</v>
      </c>
    </row>
    <row r="149" spans="1:7" x14ac:dyDescent="0.2">
      <c r="A149" s="22" t="s">
        <v>33</v>
      </c>
      <c r="B149" s="136">
        <f>'DOE25'!F486</f>
        <v>3685000</v>
      </c>
      <c r="C149" s="136">
        <f>'DOE25'!G486</f>
        <v>0</v>
      </c>
      <c r="D149" s="136">
        <f>'DOE25'!H486</f>
        <v>0</v>
      </c>
      <c r="E149" s="136">
        <f>'DOE25'!I486</f>
        <v>0</v>
      </c>
      <c r="F149" s="136">
        <f>'DOE25'!J486</f>
        <v>0</v>
      </c>
      <c r="G149" s="137">
        <f t="shared" ref="G149:G156" si="0">SUM(B149:F149)</f>
        <v>3685000</v>
      </c>
    </row>
    <row r="150" spans="1:7" x14ac:dyDescent="0.2">
      <c r="A150" s="22" t="s">
        <v>34</v>
      </c>
      <c r="B150" s="136">
        <f>'DOE25'!F487</f>
        <v>0</v>
      </c>
      <c r="C150" s="136">
        <f>'DOE25'!G487</f>
        <v>0</v>
      </c>
      <c r="D150" s="136">
        <f>'DOE25'!H487</f>
        <v>0</v>
      </c>
      <c r="E150" s="136">
        <f>'DOE25'!I487</f>
        <v>0</v>
      </c>
      <c r="F150" s="136">
        <f>'DOE25'!J487</f>
        <v>0</v>
      </c>
      <c r="G150" s="137">
        <f t="shared" si="0"/>
        <v>0</v>
      </c>
    </row>
    <row r="151" spans="1:7" x14ac:dyDescent="0.2">
      <c r="A151" s="22" t="s">
        <v>35</v>
      </c>
      <c r="B151" s="136">
        <f>'DOE25'!F488</f>
        <v>800000</v>
      </c>
      <c r="C151" s="136">
        <f>'DOE25'!G488</f>
        <v>0</v>
      </c>
      <c r="D151" s="136">
        <f>'DOE25'!H488</f>
        <v>0</v>
      </c>
      <c r="E151" s="136">
        <f>'DOE25'!I488</f>
        <v>0</v>
      </c>
      <c r="F151" s="136">
        <f>'DOE25'!J488</f>
        <v>0</v>
      </c>
      <c r="G151" s="137">
        <f t="shared" si="0"/>
        <v>800000</v>
      </c>
    </row>
    <row r="152" spans="1:7" x14ac:dyDescent="0.2">
      <c r="A152" s="22" t="s">
        <v>36</v>
      </c>
      <c r="B152" s="136">
        <f>'DOE25'!F489</f>
        <v>353850.01</v>
      </c>
      <c r="C152" s="136">
        <f>'DOE25'!G489</f>
        <v>0</v>
      </c>
      <c r="D152" s="136">
        <f>'DOE25'!H489</f>
        <v>0</v>
      </c>
      <c r="E152" s="136">
        <f>'DOE25'!I489</f>
        <v>0</v>
      </c>
      <c r="F152" s="136">
        <f>'DOE25'!J489</f>
        <v>0</v>
      </c>
      <c r="G152" s="137">
        <f t="shared" si="0"/>
        <v>353850.01</v>
      </c>
    </row>
    <row r="153" spans="1:7" x14ac:dyDescent="0.2">
      <c r="A153" s="22" t="s">
        <v>37</v>
      </c>
      <c r="B153" s="136">
        <f>'DOE25'!F490</f>
        <v>1153850.01</v>
      </c>
      <c r="C153" s="136">
        <f>'DOE25'!G490</f>
        <v>0</v>
      </c>
      <c r="D153" s="136">
        <f>'DOE25'!H490</f>
        <v>0</v>
      </c>
      <c r="E153" s="136">
        <f>'DOE25'!I490</f>
        <v>0</v>
      </c>
      <c r="F153" s="136">
        <f>'DOE25'!J490</f>
        <v>0</v>
      </c>
      <c r="G153" s="137">
        <f t="shared" si="0"/>
        <v>1153850.01</v>
      </c>
    </row>
    <row r="154" spans="1:7" x14ac:dyDescent="0.2">
      <c r="A154" s="22" t="s">
        <v>38</v>
      </c>
      <c r="B154" s="136">
        <f>'DOE25'!F491</f>
        <v>800000</v>
      </c>
      <c r="C154" s="136">
        <f>'DOE25'!G491</f>
        <v>0</v>
      </c>
      <c r="D154" s="136">
        <f>'DOE25'!H491</f>
        <v>0</v>
      </c>
      <c r="E154" s="136">
        <f>'DOE25'!I491</f>
        <v>0</v>
      </c>
      <c r="F154" s="136">
        <f>'DOE25'!J491</f>
        <v>0</v>
      </c>
      <c r="G154" s="137">
        <f t="shared" si="0"/>
        <v>800000</v>
      </c>
    </row>
    <row r="155" spans="1:7" x14ac:dyDescent="0.2">
      <c r="A155" s="22" t="s">
        <v>39</v>
      </c>
      <c r="B155" s="136">
        <f>'DOE25'!F492</f>
        <v>109462.5</v>
      </c>
      <c r="C155" s="136">
        <f>'DOE25'!G492</f>
        <v>0</v>
      </c>
      <c r="D155" s="136">
        <f>'DOE25'!H492</f>
        <v>0</v>
      </c>
      <c r="E155" s="136">
        <f>'DOE25'!I492</f>
        <v>0</v>
      </c>
      <c r="F155" s="136">
        <f>'DOE25'!J492</f>
        <v>0</v>
      </c>
      <c r="G155" s="137">
        <f t="shared" si="0"/>
        <v>109462.5</v>
      </c>
    </row>
    <row r="156" spans="1:7" x14ac:dyDescent="0.2">
      <c r="A156" s="22" t="s">
        <v>269</v>
      </c>
      <c r="B156" s="136">
        <f>'DOE25'!F493</f>
        <v>909462.5</v>
      </c>
      <c r="C156" s="136">
        <f>'DOE25'!G493</f>
        <v>0</v>
      </c>
      <c r="D156" s="136">
        <f>'DOE25'!H493</f>
        <v>0</v>
      </c>
      <c r="E156" s="136">
        <f>'DOE25'!I493</f>
        <v>0</v>
      </c>
      <c r="F156" s="136">
        <f>'DOE25'!J493</f>
        <v>0</v>
      </c>
      <c r="G156" s="137">
        <f t="shared" si="0"/>
        <v>909462.5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D681-C5A3-4D0F-8208-006F3753098C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771</v>
      </c>
      <c r="B1" s="280"/>
      <c r="C1" s="280"/>
      <c r="D1" s="280"/>
    </row>
    <row r="2" spans="1:4" x14ac:dyDescent="0.2">
      <c r="A2" s="186" t="s">
        <v>748</v>
      </c>
      <c r="B2" s="185" t="str">
        <f>'DOE25'!A2</f>
        <v>Litchfield</v>
      </c>
    </row>
    <row r="3" spans="1:4" x14ac:dyDescent="0.2">
      <c r="B3" s="187" t="s">
        <v>891</v>
      </c>
    </row>
    <row r="4" spans="1:4" x14ac:dyDescent="0.2">
      <c r="B4" t="s">
        <v>61</v>
      </c>
      <c r="C4" s="178">
        <f>IF('DOE25'!F655+'DOE25'!F660=0,0,ROUND('DOE25'!F662,0))</f>
        <v>10623</v>
      </c>
    </row>
    <row r="5" spans="1:4" x14ac:dyDescent="0.2">
      <c r="B5" t="s">
        <v>735</v>
      </c>
      <c r="C5" s="178">
        <f>IF('DOE25'!G655+'DOE25'!G660=0,0,ROUND('DOE25'!G662,0))</f>
        <v>10289</v>
      </c>
    </row>
    <row r="6" spans="1:4" x14ac:dyDescent="0.2">
      <c r="B6" t="s">
        <v>62</v>
      </c>
      <c r="C6" s="178">
        <f>IF('DOE25'!H655+'DOE25'!H660=0,0,ROUND('DOE25'!H662,0))</f>
        <v>12462</v>
      </c>
    </row>
    <row r="7" spans="1:4" x14ac:dyDescent="0.2">
      <c r="B7" t="s">
        <v>736</v>
      </c>
      <c r="C7" s="178">
        <f>IF('DOE25'!I655+'DOE25'!I660=0,0,ROUND('DOE25'!I662,0))</f>
        <v>11113</v>
      </c>
    </row>
    <row r="9" spans="1:4" x14ac:dyDescent="0.2">
      <c r="A9" s="186" t="s">
        <v>94</v>
      </c>
      <c r="B9" s="187" t="s">
        <v>892</v>
      </c>
      <c r="C9" s="180" t="s">
        <v>755</v>
      </c>
      <c r="D9" s="180" t="s">
        <v>756</v>
      </c>
    </row>
    <row r="10" spans="1:4" x14ac:dyDescent="0.2">
      <c r="A10">
        <v>1100</v>
      </c>
      <c r="B10" t="s">
        <v>737</v>
      </c>
      <c r="C10" s="178">
        <f>ROUND('DOE25'!L189+'DOE25'!L207+'DOE25'!L225+'DOE25'!L268+'DOE25'!L287+'DOE25'!L306,0)</f>
        <v>7861925</v>
      </c>
      <c r="D10" s="181">
        <f>ROUND((C10/$C$28)*100,1)</f>
        <v>42.4</v>
      </c>
    </row>
    <row r="11" spans="1:4" x14ac:dyDescent="0.2">
      <c r="A11">
        <v>1200</v>
      </c>
      <c r="B11" t="s">
        <v>738</v>
      </c>
      <c r="C11" s="178">
        <f>ROUND('DOE25'!L190+'DOE25'!L208+'DOE25'!L226+'DOE25'!L269+'DOE25'!L288+'DOE25'!L307,0)</f>
        <v>2528976</v>
      </c>
      <c r="D11" s="181">
        <f>ROUND((C11/$C$28)*100,1)</f>
        <v>13.6</v>
      </c>
    </row>
    <row r="12" spans="1:4" x14ac:dyDescent="0.2">
      <c r="A12">
        <v>1300</v>
      </c>
      <c r="B12" t="s">
        <v>739</v>
      </c>
      <c r="C12" s="178">
        <f>ROUND('DOE25'!L191+'DOE25'!L209+'DOE25'!L227+'DOE25'!L270+'DOE25'!L289+'DOE25'!L308,0)</f>
        <v>29056</v>
      </c>
      <c r="D12" s="181">
        <f>ROUND((C12/$C$28)*100,1)</f>
        <v>0.2</v>
      </c>
    </row>
    <row r="13" spans="1:4" x14ac:dyDescent="0.2">
      <c r="A13">
        <v>1400</v>
      </c>
      <c r="B13" t="s">
        <v>740</v>
      </c>
      <c r="C13" s="178">
        <f>ROUND('DOE25'!L192+'DOE25'!L210+'DOE25'!L228+'DOE25'!L271+'DOE25'!L290+'DOE25'!L309,0)</f>
        <v>411245</v>
      </c>
      <c r="D13" s="181">
        <f>ROUND((C13/$C$28)*100,1)</f>
        <v>2.2000000000000002</v>
      </c>
    </row>
    <row r="14" spans="1:4" x14ac:dyDescent="0.2">
      <c r="D14" s="181"/>
    </row>
    <row r="15" spans="1:4" x14ac:dyDescent="0.2">
      <c r="A15">
        <v>2100</v>
      </c>
      <c r="B15" t="s">
        <v>741</v>
      </c>
      <c r="C15" s="178">
        <f>ROUND('DOE25'!L194+'DOE25'!L212+'DOE25'!L230+'DOE25'!L273+'DOE25'!L292+'DOE25'!L311,0)</f>
        <v>1502625</v>
      </c>
      <c r="D15" s="181">
        <f t="shared" ref="D15:D27" si="0">ROUND((C15/$C$28)*100,1)</f>
        <v>8.1</v>
      </c>
    </row>
    <row r="16" spans="1:4" x14ac:dyDescent="0.2">
      <c r="A16">
        <v>2200</v>
      </c>
      <c r="B16" t="s">
        <v>742</v>
      </c>
      <c r="C16" s="178">
        <f>ROUND('DOE25'!L195+'DOE25'!L213+'DOE25'!L231+'DOE25'!L274+'DOE25'!L293+'DOE25'!L312,0)</f>
        <v>508699</v>
      </c>
      <c r="D16" s="181">
        <f t="shared" si="0"/>
        <v>2.7</v>
      </c>
    </row>
    <row r="17" spans="1:4" x14ac:dyDescent="0.2">
      <c r="A17" s="182" t="s">
        <v>758</v>
      </c>
      <c r="B17" t="s">
        <v>773</v>
      </c>
      <c r="C17" s="178">
        <f>ROUND('DOE25'!L196+'DOE25'!L201+'DOE25'!L214+'DOE25'!L219+'DOE25'!L232+'DOE25'!L237+'DOE25'!L275+'DOE25'!L280+'DOE25'!L294+'DOE25'!L299+'DOE25'!L313+'DOE25'!L318,0)</f>
        <v>1144447</v>
      </c>
      <c r="D17" s="181">
        <f t="shared" si="0"/>
        <v>6.2</v>
      </c>
    </row>
    <row r="18" spans="1:4" x14ac:dyDescent="0.2">
      <c r="A18">
        <v>2400</v>
      </c>
      <c r="B18" t="s">
        <v>746</v>
      </c>
      <c r="C18" s="178">
        <f>ROUND('DOE25'!L197+'DOE25'!L215+'DOE25'!L233+'DOE25'!L276+'DOE25'!L295+'DOE25'!L314,0)</f>
        <v>1202100</v>
      </c>
      <c r="D18" s="181">
        <f t="shared" si="0"/>
        <v>6.5</v>
      </c>
    </row>
    <row r="19" spans="1:4" x14ac:dyDescent="0.2">
      <c r="A19">
        <v>2500</v>
      </c>
      <c r="B19" t="s">
        <v>743</v>
      </c>
      <c r="C19" s="178">
        <f>ROUND('DOE25'!L198+'DOE25'!L216+'DOE25'!L234+'DOE25'!L277+'DOE25'!L296+'DOE25'!L315,0)</f>
        <v>279228</v>
      </c>
      <c r="D19" s="181">
        <f t="shared" si="0"/>
        <v>1.5</v>
      </c>
    </row>
    <row r="20" spans="1:4" x14ac:dyDescent="0.2">
      <c r="A20">
        <v>2600</v>
      </c>
      <c r="B20" t="s">
        <v>744</v>
      </c>
      <c r="C20" s="178">
        <f>ROUND('DOE25'!L199+'DOE25'!L217+'DOE25'!L235+'DOE25'!L278+'DOE25'!L297+'DOE25'!L316,0)</f>
        <v>1972906</v>
      </c>
      <c r="D20" s="181">
        <f t="shared" si="0"/>
        <v>10.6</v>
      </c>
    </row>
    <row r="21" spans="1:4" x14ac:dyDescent="0.2">
      <c r="A21">
        <v>2700</v>
      </c>
      <c r="B21" t="s">
        <v>745</v>
      </c>
      <c r="C21" s="178">
        <f>ROUND('DOE25'!L200+'DOE25'!L218+'DOE25'!L236+'DOE25'!L279+'DOE25'!L298+'DOE25'!L317,0)</f>
        <v>741667</v>
      </c>
      <c r="D21" s="181">
        <f t="shared" si="0"/>
        <v>4</v>
      </c>
    </row>
    <row r="22" spans="1:4" x14ac:dyDescent="0.2">
      <c r="A22">
        <v>2900</v>
      </c>
      <c r="B22" t="s">
        <v>747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749</v>
      </c>
      <c r="C23" s="178">
        <f>ROUND('DOE25'!L242+'DOE25'!L324,0)</f>
        <v>47984</v>
      </c>
      <c r="D23" s="181">
        <f t="shared" si="0"/>
        <v>0.3</v>
      </c>
    </row>
    <row r="24" spans="1:4" x14ac:dyDescent="0.2">
      <c r="A24" s="182" t="s">
        <v>757</v>
      </c>
      <c r="B24" t="s">
        <v>750</v>
      </c>
      <c r="C24" s="178">
        <f>ROUND('DOE25'!L243+'DOE25'!L244+'DOE25'!L245+'DOE25'!L246+'DOE25'!L325+'DOE25'!L326+'DOE25'!L327,0)</f>
        <v>18656</v>
      </c>
      <c r="D24" s="181">
        <f t="shared" si="0"/>
        <v>0.1</v>
      </c>
    </row>
    <row r="25" spans="1:4" x14ac:dyDescent="0.2">
      <c r="A25">
        <v>5120</v>
      </c>
      <c r="B25" t="s">
        <v>751</v>
      </c>
      <c r="C25" s="178">
        <f>ROUND('DOE25'!L253+'DOE25'!L334,0)</f>
        <v>193462</v>
      </c>
      <c r="D25" s="181">
        <f t="shared" si="0"/>
        <v>1</v>
      </c>
    </row>
    <row r="26" spans="1:4" x14ac:dyDescent="0.2">
      <c r="A26" s="182" t="s">
        <v>752</v>
      </c>
      <c r="B26" t="s">
        <v>753</v>
      </c>
      <c r="C26" s="178">
        <f>'DOE25'!L260+'DOE25'!L261+'DOE25'!L341+'DOE25'!L342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ROUND('DOE25'!L354-'DOE25'!L353,0)-SUM('DOE25'!G89:G102)</f>
        <v>119744.71000000002</v>
      </c>
      <c r="D27" s="181">
        <f t="shared" si="0"/>
        <v>0.6</v>
      </c>
    </row>
    <row r="28" spans="1:4" x14ac:dyDescent="0.2">
      <c r="B28" s="186" t="s">
        <v>754</v>
      </c>
      <c r="C28" s="179">
        <f>SUM(C10:C27)</f>
        <v>18562720.710000001</v>
      </c>
      <c r="D28" s="183">
        <f>ROUND(SUM(D10:D27),0)</f>
        <v>100</v>
      </c>
    </row>
    <row r="29" spans="1:4" x14ac:dyDescent="0.2">
      <c r="A29">
        <v>4000</v>
      </c>
      <c r="B29" t="s">
        <v>759</v>
      </c>
      <c r="C29" s="178">
        <f>ROUND('DOE25'!L247+'DOE25'!L328+'DOE25'!L366+'DOE25'!L367+'DOE25'!L368+'DOE25'!L369+'DOE25'!L370+'DOE25'!L371+'DOE25'!L372,0)</f>
        <v>246297</v>
      </c>
    </row>
    <row r="30" spans="1:4" x14ac:dyDescent="0.2">
      <c r="B30" s="186" t="s">
        <v>760</v>
      </c>
      <c r="C30" s="179">
        <f>SUM(C28:C29)</f>
        <v>18809017.710000001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761</v>
      </c>
      <c r="C32" s="179">
        <f>ROUND('DOE25'!L252+'DOE25'!L333,0)</f>
        <v>800000</v>
      </c>
    </row>
    <row r="34" spans="1:4" x14ac:dyDescent="0.2">
      <c r="A34" s="186" t="s">
        <v>94</v>
      </c>
      <c r="B34" s="187" t="s">
        <v>893</v>
      </c>
      <c r="C34" s="180" t="s">
        <v>755</v>
      </c>
      <c r="D34" s="180" t="s">
        <v>756</v>
      </c>
    </row>
    <row r="35" spans="1:4" x14ac:dyDescent="0.2">
      <c r="A35">
        <v>1100</v>
      </c>
      <c r="B35" s="184" t="s">
        <v>762</v>
      </c>
      <c r="C35" s="178">
        <f>ROUND('DOE25'!F52+'DOE25'!G52+'DOE25'!H52+'DOE25'!I52+'DOE25'!J52,0)</f>
        <v>10136035</v>
      </c>
      <c r="D35" s="181">
        <f t="shared" ref="D35:D40" si="1">ROUND((C35/$C$41)*100,1)</f>
        <v>51.2</v>
      </c>
    </row>
    <row r="36" spans="1:4" x14ac:dyDescent="0.2">
      <c r="B36" s="184" t="s">
        <v>774</v>
      </c>
      <c r="C36" s="178">
        <f>SUM('DOE25'!F104:J104)-SUM('DOE25'!G89:G102)+('DOE25'!F166+'DOE25'!F167+'DOE25'!I166+'DOE25'!I167)-C35</f>
        <v>127835.46000000089</v>
      </c>
      <c r="D36" s="181">
        <f t="shared" si="1"/>
        <v>0.6</v>
      </c>
    </row>
    <row r="37" spans="1:4" x14ac:dyDescent="0.2">
      <c r="A37" s="182" t="s">
        <v>890</v>
      </c>
      <c r="B37" s="184" t="s">
        <v>763</v>
      </c>
      <c r="C37" s="178">
        <f>ROUND('DOE25'!F109+'DOE25'!F110+'DOE25'!F111,0)</f>
        <v>7955508</v>
      </c>
      <c r="D37" s="181">
        <f t="shared" si="1"/>
        <v>40.200000000000003</v>
      </c>
    </row>
    <row r="38" spans="1:4" x14ac:dyDescent="0.2">
      <c r="A38" s="182" t="s">
        <v>769</v>
      </c>
      <c r="B38" s="184" t="s">
        <v>764</v>
      </c>
      <c r="C38" s="178">
        <f>ROUND(SUM('DOE25'!F132:J132)-SUM('DOE25'!F109:F111),0)</f>
        <v>776844</v>
      </c>
      <c r="D38" s="181">
        <f t="shared" si="1"/>
        <v>3.9</v>
      </c>
    </row>
    <row r="39" spans="1:4" x14ac:dyDescent="0.2">
      <c r="A39">
        <v>4000</v>
      </c>
      <c r="B39" s="184" t="s">
        <v>765</v>
      </c>
      <c r="C39" s="178">
        <f>ROUND('DOE25'!F161+'DOE25'!G161+'DOE25'!H161+'DOE25'!I161,0)</f>
        <v>810476</v>
      </c>
      <c r="D39" s="181">
        <f t="shared" si="1"/>
        <v>4.0999999999999996</v>
      </c>
    </row>
    <row r="40" spans="1:4" x14ac:dyDescent="0.2">
      <c r="A40" s="182" t="s">
        <v>770</v>
      </c>
      <c r="B40" s="184" t="s">
        <v>766</v>
      </c>
      <c r="C40" s="178">
        <f>ROUND(SUM('DOE25'!F181:F183)+SUM('DOE25'!G181:G183)+SUM('DOE25'!H181:H183)+SUM('DOE25'!I181:I183),0)</f>
        <v>0</v>
      </c>
      <c r="D40" s="181">
        <f t="shared" si="1"/>
        <v>0</v>
      </c>
    </row>
    <row r="41" spans="1:4" x14ac:dyDescent="0.2">
      <c r="B41" s="186" t="s">
        <v>767</v>
      </c>
      <c r="C41" s="179">
        <f>SUM(C35:C40)</f>
        <v>19806698.460000001</v>
      </c>
      <c r="D41" s="183">
        <f>SUM(D35:D40)</f>
        <v>100</v>
      </c>
    </row>
    <row r="42" spans="1:4" x14ac:dyDescent="0.2">
      <c r="A42" s="182" t="s">
        <v>772</v>
      </c>
      <c r="B42" s="184" t="s">
        <v>768</v>
      </c>
      <c r="C42" s="178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53A3-93E2-4CB0-AE16-FA25FE4897F5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801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87" t="s">
        <v>798</v>
      </c>
      <c r="B2" s="288"/>
      <c r="C2" s="288"/>
      <c r="D2" s="288"/>
      <c r="E2" s="288"/>
      <c r="F2" s="293" t="str">
        <f>'DOE25'!A2</f>
        <v>Litchfield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799</v>
      </c>
      <c r="B3" s="217" t="s">
        <v>800</v>
      </c>
      <c r="C3" s="291" t="s">
        <v>802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8"/>
      <c r="B5" s="219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8"/>
      <c r="B6" s="219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8"/>
      <c r="B7" s="219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8"/>
      <c r="B8" s="219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8"/>
      <c r="B9" s="21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8"/>
      <c r="B10" s="21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8"/>
      <c r="B11" s="21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8"/>
      <c r="B12" s="219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8"/>
      <c r="B13" s="219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8"/>
      <c r="B14" s="219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8"/>
      <c r="B15" s="219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8"/>
      <c r="B16" s="219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8"/>
      <c r="B17" s="219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8"/>
      <c r="B18" s="219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8"/>
      <c r="B19" s="219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8"/>
      <c r="B20" s="219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8"/>
      <c r="B21" s="219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8"/>
      <c r="B22" s="219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8"/>
      <c r="B23" s="219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8"/>
      <c r="B24" s="219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8"/>
      <c r="B25" s="219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8"/>
      <c r="B26" s="219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8"/>
      <c r="B27" s="219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8"/>
      <c r="B28" s="219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8"/>
      <c r="B29" s="219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1"/>
      <c r="O29" s="211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7"/>
      <c r="AB29" s="207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07"/>
      <c r="AO29" s="207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07"/>
      <c r="BB29" s="207"/>
      <c r="BC29" s="296"/>
      <c r="BD29" s="296"/>
      <c r="BE29" s="296"/>
      <c r="BF29" s="296"/>
      <c r="BG29" s="296"/>
      <c r="BH29" s="296"/>
      <c r="BI29" s="296"/>
      <c r="BJ29" s="296"/>
      <c r="BK29" s="296"/>
      <c r="BL29" s="296"/>
      <c r="BM29" s="296"/>
      <c r="BN29" s="207"/>
      <c r="BO29" s="207"/>
      <c r="BP29" s="296"/>
      <c r="BQ29" s="296"/>
      <c r="BR29" s="296"/>
      <c r="BS29" s="296"/>
      <c r="BT29" s="296"/>
      <c r="BU29" s="296"/>
      <c r="BV29" s="296"/>
      <c r="BW29" s="296"/>
      <c r="BX29" s="296"/>
      <c r="BY29" s="296"/>
      <c r="BZ29" s="296"/>
      <c r="CA29" s="207"/>
      <c r="CB29" s="207"/>
      <c r="CC29" s="296"/>
      <c r="CD29" s="296"/>
      <c r="CE29" s="296"/>
      <c r="CF29" s="296"/>
      <c r="CG29" s="296"/>
      <c r="CH29" s="296"/>
      <c r="CI29" s="296"/>
      <c r="CJ29" s="296"/>
      <c r="CK29" s="296"/>
      <c r="CL29" s="296"/>
      <c r="CM29" s="296"/>
      <c r="CN29" s="207"/>
      <c r="CO29" s="207"/>
      <c r="CP29" s="296"/>
      <c r="CQ29" s="296"/>
      <c r="CR29" s="296"/>
      <c r="CS29" s="296"/>
      <c r="CT29" s="296"/>
      <c r="CU29" s="296"/>
      <c r="CV29" s="296"/>
      <c r="CW29" s="296"/>
      <c r="CX29" s="296"/>
      <c r="CY29" s="296"/>
      <c r="CZ29" s="296"/>
      <c r="DA29" s="207"/>
      <c r="DB29" s="207"/>
      <c r="DC29" s="296"/>
      <c r="DD29" s="296"/>
      <c r="DE29" s="296"/>
      <c r="DF29" s="296"/>
      <c r="DG29" s="296"/>
      <c r="DH29" s="296"/>
      <c r="DI29" s="296"/>
      <c r="DJ29" s="296"/>
      <c r="DK29" s="296"/>
      <c r="DL29" s="296"/>
      <c r="DM29" s="296"/>
      <c r="DN29" s="207"/>
      <c r="DO29" s="207"/>
      <c r="DP29" s="296"/>
      <c r="DQ29" s="296"/>
      <c r="DR29" s="296"/>
      <c r="DS29" s="296"/>
      <c r="DT29" s="296"/>
      <c r="DU29" s="296"/>
      <c r="DV29" s="296"/>
      <c r="DW29" s="296"/>
      <c r="DX29" s="296"/>
      <c r="DY29" s="296"/>
      <c r="DZ29" s="296"/>
      <c r="EA29" s="207"/>
      <c r="EB29" s="207"/>
      <c r="EC29" s="296"/>
      <c r="ED29" s="296"/>
      <c r="EE29" s="296"/>
      <c r="EF29" s="296"/>
      <c r="EG29" s="296"/>
      <c r="EH29" s="296"/>
      <c r="EI29" s="296"/>
      <c r="EJ29" s="296"/>
      <c r="EK29" s="296"/>
      <c r="EL29" s="296"/>
      <c r="EM29" s="296"/>
      <c r="EN29" s="207"/>
      <c r="EO29" s="207"/>
      <c r="EP29" s="296"/>
      <c r="EQ29" s="296"/>
      <c r="ER29" s="296"/>
      <c r="ES29" s="296"/>
      <c r="ET29" s="296"/>
      <c r="EU29" s="296"/>
      <c r="EV29" s="296"/>
      <c r="EW29" s="296"/>
      <c r="EX29" s="296"/>
      <c r="EY29" s="296"/>
      <c r="EZ29" s="296"/>
      <c r="FA29" s="207"/>
      <c r="FB29" s="207"/>
      <c r="FC29" s="296"/>
      <c r="FD29" s="296"/>
      <c r="FE29" s="296"/>
      <c r="FF29" s="296"/>
      <c r="FG29" s="296"/>
      <c r="FH29" s="296"/>
      <c r="FI29" s="296"/>
      <c r="FJ29" s="296"/>
      <c r="FK29" s="296"/>
      <c r="FL29" s="296"/>
      <c r="FM29" s="296"/>
      <c r="FN29" s="207"/>
      <c r="FO29" s="207"/>
      <c r="FP29" s="296"/>
      <c r="FQ29" s="296"/>
      <c r="FR29" s="296"/>
      <c r="FS29" s="296"/>
      <c r="FT29" s="296"/>
      <c r="FU29" s="296"/>
      <c r="FV29" s="296"/>
      <c r="FW29" s="296"/>
      <c r="FX29" s="296"/>
      <c r="FY29" s="296"/>
      <c r="FZ29" s="296"/>
      <c r="GA29" s="207"/>
      <c r="GB29" s="207"/>
      <c r="GC29" s="296"/>
      <c r="GD29" s="296"/>
      <c r="GE29" s="296"/>
      <c r="GF29" s="296"/>
      <c r="GG29" s="296"/>
      <c r="GH29" s="296"/>
      <c r="GI29" s="296"/>
      <c r="GJ29" s="296"/>
      <c r="GK29" s="296"/>
      <c r="GL29" s="296"/>
      <c r="GM29" s="296"/>
      <c r="GN29" s="207"/>
      <c r="GO29" s="207"/>
      <c r="GP29" s="296"/>
      <c r="GQ29" s="296"/>
      <c r="GR29" s="296"/>
      <c r="GS29" s="296"/>
      <c r="GT29" s="296"/>
      <c r="GU29" s="296"/>
      <c r="GV29" s="296"/>
      <c r="GW29" s="296"/>
      <c r="GX29" s="296"/>
      <c r="GY29" s="296"/>
      <c r="GZ29" s="296"/>
      <c r="HA29" s="207"/>
      <c r="HB29" s="207"/>
      <c r="HC29" s="296"/>
      <c r="HD29" s="296"/>
      <c r="HE29" s="296"/>
      <c r="HF29" s="296"/>
      <c r="HG29" s="296"/>
      <c r="HH29" s="296"/>
      <c r="HI29" s="296"/>
      <c r="HJ29" s="296"/>
      <c r="HK29" s="296"/>
      <c r="HL29" s="296"/>
      <c r="HM29" s="296"/>
      <c r="HN29" s="207"/>
      <c r="HO29" s="207"/>
      <c r="HP29" s="296"/>
      <c r="HQ29" s="296"/>
      <c r="HR29" s="296"/>
      <c r="HS29" s="296"/>
      <c r="HT29" s="296"/>
      <c r="HU29" s="296"/>
      <c r="HV29" s="296"/>
      <c r="HW29" s="296"/>
      <c r="HX29" s="296"/>
      <c r="HY29" s="296"/>
      <c r="HZ29" s="296"/>
      <c r="IA29" s="207"/>
      <c r="IB29" s="207"/>
      <c r="IC29" s="296"/>
      <c r="ID29" s="296"/>
      <c r="IE29" s="296"/>
      <c r="IF29" s="296"/>
      <c r="IG29" s="296"/>
      <c r="IH29" s="296"/>
      <c r="II29" s="296"/>
      <c r="IJ29" s="296"/>
      <c r="IK29" s="296"/>
      <c r="IL29" s="296"/>
      <c r="IM29" s="296"/>
      <c r="IN29" s="207"/>
      <c r="IO29" s="207"/>
      <c r="IP29" s="296"/>
      <c r="IQ29" s="296"/>
      <c r="IR29" s="296"/>
      <c r="IS29" s="296"/>
      <c r="IT29" s="296"/>
      <c r="IU29" s="296"/>
      <c r="IV29" s="296"/>
    </row>
    <row r="30" spans="1:256" x14ac:dyDescent="0.2">
      <c r="A30" s="218"/>
      <c r="B30" s="219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1"/>
      <c r="O30" s="211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7"/>
      <c r="AB30" s="207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07"/>
      <c r="AO30" s="207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07"/>
      <c r="BB30" s="207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296"/>
      <c r="BN30" s="207"/>
      <c r="BO30" s="207"/>
      <c r="BP30" s="296"/>
      <c r="BQ30" s="296"/>
      <c r="BR30" s="296"/>
      <c r="BS30" s="296"/>
      <c r="BT30" s="296"/>
      <c r="BU30" s="296"/>
      <c r="BV30" s="296"/>
      <c r="BW30" s="296"/>
      <c r="BX30" s="296"/>
      <c r="BY30" s="296"/>
      <c r="BZ30" s="296"/>
      <c r="CA30" s="207"/>
      <c r="CB30" s="207"/>
      <c r="CC30" s="296"/>
      <c r="CD30" s="296"/>
      <c r="CE30" s="296"/>
      <c r="CF30" s="296"/>
      <c r="CG30" s="296"/>
      <c r="CH30" s="296"/>
      <c r="CI30" s="296"/>
      <c r="CJ30" s="296"/>
      <c r="CK30" s="296"/>
      <c r="CL30" s="296"/>
      <c r="CM30" s="296"/>
      <c r="CN30" s="207"/>
      <c r="CO30" s="207"/>
      <c r="CP30" s="296"/>
      <c r="CQ30" s="296"/>
      <c r="CR30" s="296"/>
      <c r="CS30" s="296"/>
      <c r="CT30" s="296"/>
      <c r="CU30" s="296"/>
      <c r="CV30" s="296"/>
      <c r="CW30" s="296"/>
      <c r="CX30" s="296"/>
      <c r="CY30" s="296"/>
      <c r="CZ30" s="296"/>
      <c r="DA30" s="207"/>
      <c r="DB30" s="207"/>
      <c r="DC30" s="296"/>
      <c r="DD30" s="296"/>
      <c r="DE30" s="296"/>
      <c r="DF30" s="296"/>
      <c r="DG30" s="296"/>
      <c r="DH30" s="296"/>
      <c r="DI30" s="296"/>
      <c r="DJ30" s="296"/>
      <c r="DK30" s="296"/>
      <c r="DL30" s="296"/>
      <c r="DM30" s="296"/>
      <c r="DN30" s="207"/>
      <c r="DO30" s="207"/>
      <c r="DP30" s="296"/>
      <c r="DQ30" s="296"/>
      <c r="DR30" s="296"/>
      <c r="DS30" s="296"/>
      <c r="DT30" s="296"/>
      <c r="DU30" s="296"/>
      <c r="DV30" s="296"/>
      <c r="DW30" s="296"/>
      <c r="DX30" s="296"/>
      <c r="DY30" s="296"/>
      <c r="DZ30" s="296"/>
      <c r="EA30" s="207"/>
      <c r="EB30" s="207"/>
      <c r="EC30" s="296"/>
      <c r="ED30" s="296"/>
      <c r="EE30" s="296"/>
      <c r="EF30" s="296"/>
      <c r="EG30" s="296"/>
      <c r="EH30" s="296"/>
      <c r="EI30" s="296"/>
      <c r="EJ30" s="296"/>
      <c r="EK30" s="296"/>
      <c r="EL30" s="296"/>
      <c r="EM30" s="296"/>
      <c r="EN30" s="207"/>
      <c r="EO30" s="207"/>
      <c r="EP30" s="296"/>
      <c r="EQ30" s="296"/>
      <c r="ER30" s="296"/>
      <c r="ES30" s="296"/>
      <c r="ET30" s="296"/>
      <c r="EU30" s="296"/>
      <c r="EV30" s="296"/>
      <c r="EW30" s="296"/>
      <c r="EX30" s="296"/>
      <c r="EY30" s="296"/>
      <c r="EZ30" s="296"/>
      <c r="FA30" s="207"/>
      <c r="FB30" s="207"/>
      <c r="FC30" s="296"/>
      <c r="FD30" s="296"/>
      <c r="FE30" s="296"/>
      <c r="FF30" s="296"/>
      <c r="FG30" s="296"/>
      <c r="FH30" s="296"/>
      <c r="FI30" s="296"/>
      <c r="FJ30" s="296"/>
      <c r="FK30" s="296"/>
      <c r="FL30" s="296"/>
      <c r="FM30" s="296"/>
      <c r="FN30" s="207"/>
      <c r="FO30" s="207"/>
      <c r="FP30" s="296"/>
      <c r="FQ30" s="296"/>
      <c r="FR30" s="296"/>
      <c r="FS30" s="296"/>
      <c r="FT30" s="296"/>
      <c r="FU30" s="296"/>
      <c r="FV30" s="296"/>
      <c r="FW30" s="296"/>
      <c r="FX30" s="296"/>
      <c r="FY30" s="296"/>
      <c r="FZ30" s="296"/>
      <c r="GA30" s="207"/>
      <c r="GB30" s="207"/>
      <c r="GC30" s="296"/>
      <c r="GD30" s="296"/>
      <c r="GE30" s="296"/>
      <c r="GF30" s="296"/>
      <c r="GG30" s="296"/>
      <c r="GH30" s="296"/>
      <c r="GI30" s="296"/>
      <c r="GJ30" s="296"/>
      <c r="GK30" s="296"/>
      <c r="GL30" s="296"/>
      <c r="GM30" s="296"/>
      <c r="GN30" s="207"/>
      <c r="GO30" s="207"/>
      <c r="GP30" s="296"/>
      <c r="GQ30" s="296"/>
      <c r="GR30" s="296"/>
      <c r="GS30" s="296"/>
      <c r="GT30" s="296"/>
      <c r="GU30" s="296"/>
      <c r="GV30" s="296"/>
      <c r="GW30" s="296"/>
      <c r="GX30" s="296"/>
      <c r="GY30" s="296"/>
      <c r="GZ30" s="296"/>
      <c r="HA30" s="207"/>
      <c r="HB30" s="207"/>
      <c r="HC30" s="296"/>
      <c r="HD30" s="296"/>
      <c r="HE30" s="296"/>
      <c r="HF30" s="296"/>
      <c r="HG30" s="296"/>
      <c r="HH30" s="296"/>
      <c r="HI30" s="296"/>
      <c r="HJ30" s="296"/>
      <c r="HK30" s="296"/>
      <c r="HL30" s="296"/>
      <c r="HM30" s="296"/>
      <c r="HN30" s="207"/>
      <c r="HO30" s="207"/>
      <c r="HP30" s="296"/>
      <c r="HQ30" s="296"/>
      <c r="HR30" s="296"/>
      <c r="HS30" s="296"/>
      <c r="HT30" s="296"/>
      <c r="HU30" s="296"/>
      <c r="HV30" s="296"/>
      <c r="HW30" s="296"/>
      <c r="HX30" s="296"/>
      <c r="HY30" s="296"/>
      <c r="HZ30" s="296"/>
      <c r="IA30" s="207"/>
      <c r="IB30" s="207"/>
      <c r="IC30" s="296"/>
      <c r="ID30" s="296"/>
      <c r="IE30" s="296"/>
      <c r="IF30" s="296"/>
      <c r="IG30" s="296"/>
      <c r="IH30" s="296"/>
      <c r="II30" s="296"/>
      <c r="IJ30" s="296"/>
      <c r="IK30" s="296"/>
      <c r="IL30" s="296"/>
      <c r="IM30" s="296"/>
      <c r="IN30" s="207"/>
      <c r="IO30" s="207"/>
      <c r="IP30" s="296"/>
      <c r="IQ30" s="296"/>
      <c r="IR30" s="296"/>
      <c r="IS30" s="296"/>
      <c r="IT30" s="296"/>
      <c r="IU30" s="296"/>
      <c r="IV30" s="296"/>
    </row>
    <row r="31" spans="1:256" x14ac:dyDescent="0.2">
      <c r="A31" s="218"/>
      <c r="B31" s="219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1"/>
      <c r="O31" s="211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7"/>
      <c r="AB31" s="207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07"/>
      <c r="AO31" s="207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07"/>
      <c r="BB31" s="207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296"/>
      <c r="BN31" s="207"/>
      <c r="BO31" s="207"/>
      <c r="BP31" s="296"/>
      <c r="BQ31" s="296"/>
      <c r="BR31" s="296"/>
      <c r="BS31" s="296"/>
      <c r="BT31" s="296"/>
      <c r="BU31" s="296"/>
      <c r="BV31" s="296"/>
      <c r="BW31" s="296"/>
      <c r="BX31" s="296"/>
      <c r="BY31" s="296"/>
      <c r="BZ31" s="296"/>
      <c r="CA31" s="207"/>
      <c r="CB31" s="207"/>
      <c r="CC31" s="296"/>
      <c r="CD31" s="296"/>
      <c r="CE31" s="296"/>
      <c r="CF31" s="296"/>
      <c r="CG31" s="296"/>
      <c r="CH31" s="296"/>
      <c r="CI31" s="296"/>
      <c r="CJ31" s="296"/>
      <c r="CK31" s="296"/>
      <c r="CL31" s="296"/>
      <c r="CM31" s="296"/>
      <c r="CN31" s="207"/>
      <c r="CO31" s="207"/>
      <c r="CP31" s="296"/>
      <c r="CQ31" s="296"/>
      <c r="CR31" s="296"/>
      <c r="CS31" s="296"/>
      <c r="CT31" s="296"/>
      <c r="CU31" s="296"/>
      <c r="CV31" s="296"/>
      <c r="CW31" s="296"/>
      <c r="CX31" s="296"/>
      <c r="CY31" s="296"/>
      <c r="CZ31" s="296"/>
      <c r="DA31" s="207"/>
      <c r="DB31" s="207"/>
      <c r="DC31" s="296"/>
      <c r="DD31" s="296"/>
      <c r="DE31" s="296"/>
      <c r="DF31" s="296"/>
      <c r="DG31" s="296"/>
      <c r="DH31" s="296"/>
      <c r="DI31" s="296"/>
      <c r="DJ31" s="296"/>
      <c r="DK31" s="296"/>
      <c r="DL31" s="296"/>
      <c r="DM31" s="296"/>
      <c r="DN31" s="207"/>
      <c r="DO31" s="207"/>
      <c r="DP31" s="296"/>
      <c r="DQ31" s="296"/>
      <c r="DR31" s="296"/>
      <c r="DS31" s="296"/>
      <c r="DT31" s="296"/>
      <c r="DU31" s="296"/>
      <c r="DV31" s="296"/>
      <c r="DW31" s="296"/>
      <c r="DX31" s="296"/>
      <c r="DY31" s="296"/>
      <c r="DZ31" s="296"/>
      <c r="EA31" s="207"/>
      <c r="EB31" s="207"/>
      <c r="EC31" s="296"/>
      <c r="ED31" s="296"/>
      <c r="EE31" s="296"/>
      <c r="EF31" s="296"/>
      <c r="EG31" s="296"/>
      <c r="EH31" s="296"/>
      <c r="EI31" s="296"/>
      <c r="EJ31" s="296"/>
      <c r="EK31" s="296"/>
      <c r="EL31" s="296"/>
      <c r="EM31" s="296"/>
      <c r="EN31" s="207"/>
      <c r="EO31" s="207"/>
      <c r="EP31" s="296"/>
      <c r="EQ31" s="296"/>
      <c r="ER31" s="296"/>
      <c r="ES31" s="296"/>
      <c r="ET31" s="296"/>
      <c r="EU31" s="296"/>
      <c r="EV31" s="296"/>
      <c r="EW31" s="296"/>
      <c r="EX31" s="296"/>
      <c r="EY31" s="296"/>
      <c r="EZ31" s="296"/>
      <c r="FA31" s="207"/>
      <c r="FB31" s="207"/>
      <c r="FC31" s="296"/>
      <c r="FD31" s="296"/>
      <c r="FE31" s="296"/>
      <c r="FF31" s="296"/>
      <c r="FG31" s="296"/>
      <c r="FH31" s="296"/>
      <c r="FI31" s="296"/>
      <c r="FJ31" s="296"/>
      <c r="FK31" s="296"/>
      <c r="FL31" s="296"/>
      <c r="FM31" s="296"/>
      <c r="FN31" s="207"/>
      <c r="FO31" s="207"/>
      <c r="FP31" s="296"/>
      <c r="FQ31" s="296"/>
      <c r="FR31" s="296"/>
      <c r="FS31" s="296"/>
      <c r="FT31" s="296"/>
      <c r="FU31" s="296"/>
      <c r="FV31" s="296"/>
      <c r="FW31" s="296"/>
      <c r="FX31" s="296"/>
      <c r="FY31" s="296"/>
      <c r="FZ31" s="296"/>
      <c r="GA31" s="207"/>
      <c r="GB31" s="207"/>
      <c r="GC31" s="296"/>
      <c r="GD31" s="296"/>
      <c r="GE31" s="296"/>
      <c r="GF31" s="296"/>
      <c r="GG31" s="296"/>
      <c r="GH31" s="296"/>
      <c r="GI31" s="296"/>
      <c r="GJ31" s="296"/>
      <c r="GK31" s="296"/>
      <c r="GL31" s="296"/>
      <c r="GM31" s="296"/>
      <c r="GN31" s="207"/>
      <c r="GO31" s="207"/>
      <c r="GP31" s="296"/>
      <c r="GQ31" s="296"/>
      <c r="GR31" s="296"/>
      <c r="GS31" s="296"/>
      <c r="GT31" s="296"/>
      <c r="GU31" s="296"/>
      <c r="GV31" s="296"/>
      <c r="GW31" s="296"/>
      <c r="GX31" s="296"/>
      <c r="GY31" s="296"/>
      <c r="GZ31" s="296"/>
      <c r="HA31" s="207"/>
      <c r="HB31" s="207"/>
      <c r="HC31" s="296"/>
      <c r="HD31" s="296"/>
      <c r="HE31" s="296"/>
      <c r="HF31" s="296"/>
      <c r="HG31" s="296"/>
      <c r="HH31" s="296"/>
      <c r="HI31" s="296"/>
      <c r="HJ31" s="296"/>
      <c r="HK31" s="296"/>
      <c r="HL31" s="296"/>
      <c r="HM31" s="296"/>
      <c r="HN31" s="207"/>
      <c r="HO31" s="207"/>
      <c r="HP31" s="296"/>
      <c r="HQ31" s="296"/>
      <c r="HR31" s="296"/>
      <c r="HS31" s="296"/>
      <c r="HT31" s="296"/>
      <c r="HU31" s="296"/>
      <c r="HV31" s="296"/>
      <c r="HW31" s="296"/>
      <c r="HX31" s="296"/>
      <c r="HY31" s="296"/>
      <c r="HZ31" s="296"/>
      <c r="IA31" s="207"/>
      <c r="IB31" s="207"/>
      <c r="IC31" s="296"/>
      <c r="ID31" s="296"/>
      <c r="IE31" s="296"/>
      <c r="IF31" s="296"/>
      <c r="IG31" s="296"/>
      <c r="IH31" s="296"/>
      <c r="II31" s="296"/>
      <c r="IJ31" s="296"/>
      <c r="IK31" s="296"/>
      <c r="IL31" s="296"/>
      <c r="IM31" s="296"/>
      <c r="IN31" s="207"/>
      <c r="IO31" s="207"/>
      <c r="IP31" s="296"/>
      <c r="IQ31" s="296"/>
      <c r="IR31" s="296"/>
      <c r="IS31" s="296"/>
      <c r="IT31" s="296"/>
      <c r="IU31" s="296"/>
      <c r="IV31" s="296"/>
    </row>
    <row r="32" spans="1:256" x14ac:dyDescent="0.2">
      <c r="A32" s="218"/>
      <c r="B32" s="219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8"/>
      <c r="AO32" s="219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8"/>
      <c r="BB32" s="219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8"/>
      <c r="BO32" s="219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8"/>
      <c r="CB32" s="219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8"/>
      <c r="CO32" s="219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8"/>
      <c r="DB32" s="219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8"/>
      <c r="DO32" s="219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8"/>
      <c r="EB32" s="219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8"/>
      <c r="EO32" s="219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8"/>
      <c r="FB32" s="219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8"/>
      <c r="FO32" s="219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8"/>
      <c r="GB32" s="219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8"/>
      <c r="GO32" s="219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8"/>
      <c r="HB32" s="219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8"/>
      <c r="HO32" s="219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8"/>
      <c r="IB32" s="219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8"/>
      <c r="IO32" s="219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8"/>
      <c r="B33" s="219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1"/>
      <c r="O38" s="211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7"/>
      <c r="AB38" s="207"/>
      <c r="AC38" s="296"/>
      <c r="AD38" s="296"/>
      <c r="AE38" s="296"/>
      <c r="AF38" s="296"/>
      <c r="AG38" s="296"/>
      <c r="AH38" s="296"/>
      <c r="AI38" s="296"/>
      <c r="AJ38" s="296"/>
      <c r="AK38" s="296"/>
      <c r="AL38" s="296"/>
      <c r="AM38" s="296"/>
      <c r="AN38" s="207"/>
      <c r="AO38" s="207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07"/>
      <c r="BB38" s="207"/>
      <c r="BC38" s="296"/>
      <c r="BD38" s="296"/>
      <c r="BE38" s="296"/>
      <c r="BF38" s="296"/>
      <c r="BG38" s="296"/>
      <c r="BH38" s="296"/>
      <c r="BI38" s="296"/>
      <c r="BJ38" s="296"/>
      <c r="BK38" s="296"/>
      <c r="BL38" s="296"/>
      <c r="BM38" s="296"/>
      <c r="BN38" s="207"/>
      <c r="BO38" s="207"/>
      <c r="BP38" s="296"/>
      <c r="BQ38" s="296"/>
      <c r="BR38" s="296"/>
      <c r="BS38" s="296"/>
      <c r="BT38" s="296"/>
      <c r="BU38" s="296"/>
      <c r="BV38" s="296"/>
      <c r="BW38" s="296"/>
      <c r="BX38" s="296"/>
      <c r="BY38" s="296"/>
      <c r="BZ38" s="296"/>
      <c r="CA38" s="207"/>
      <c r="CB38" s="207"/>
      <c r="CC38" s="296"/>
      <c r="CD38" s="296"/>
      <c r="CE38" s="296"/>
      <c r="CF38" s="296"/>
      <c r="CG38" s="296"/>
      <c r="CH38" s="296"/>
      <c r="CI38" s="296"/>
      <c r="CJ38" s="296"/>
      <c r="CK38" s="296"/>
      <c r="CL38" s="296"/>
      <c r="CM38" s="296"/>
      <c r="CN38" s="207"/>
      <c r="CO38" s="207"/>
      <c r="CP38" s="296"/>
      <c r="CQ38" s="296"/>
      <c r="CR38" s="296"/>
      <c r="CS38" s="296"/>
      <c r="CT38" s="296"/>
      <c r="CU38" s="296"/>
      <c r="CV38" s="296"/>
      <c r="CW38" s="296"/>
      <c r="CX38" s="296"/>
      <c r="CY38" s="296"/>
      <c r="CZ38" s="296"/>
      <c r="DA38" s="207"/>
      <c r="DB38" s="207"/>
      <c r="DC38" s="296"/>
      <c r="DD38" s="296"/>
      <c r="DE38" s="296"/>
      <c r="DF38" s="296"/>
      <c r="DG38" s="296"/>
      <c r="DH38" s="296"/>
      <c r="DI38" s="296"/>
      <c r="DJ38" s="296"/>
      <c r="DK38" s="296"/>
      <c r="DL38" s="296"/>
      <c r="DM38" s="296"/>
      <c r="DN38" s="207"/>
      <c r="DO38" s="207"/>
      <c r="DP38" s="296"/>
      <c r="DQ38" s="296"/>
      <c r="DR38" s="296"/>
      <c r="DS38" s="296"/>
      <c r="DT38" s="296"/>
      <c r="DU38" s="296"/>
      <c r="DV38" s="296"/>
      <c r="DW38" s="296"/>
      <c r="DX38" s="296"/>
      <c r="DY38" s="296"/>
      <c r="DZ38" s="296"/>
      <c r="EA38" s="207"/>
      <c r="EB38" s="207"/>
      <c r="EC38" s="296"/>
      <c r="ED38" s="296"/>
      <c r="EE38" s="296"/>
      <c r="EF38" s="296"/>
      <c r="EG38" s="296"/>
      <c r="EH38" s="296"/>
      <c r="EI38" s="296"/>
      <c r="EJ38" s="296"/>
      <c r="EK38" s="296"/>
      <c r="EL38" s="296"/>
      <c r="EM38" s="296"/>
      <c r="EN38" s="207"/>
      <c r="EO38" s="207"/>
      <c r="EP38" s="296"/>
      <c r="EQ38" s="296"/>
      <c r="ER38" s="296"/>
      <c r="ES38" s="296"/>
      <c r="ET38" s="296"/>
      <c r="EU38" s="296"/>
      <c r="EV38" s="296"/>
      <c r="EW38" s="296"/>
      <c r="EX38" s="296"/>
      <c r="EY38" s="296"/>
      <c r="EZ38" s="296"/>
      <c r="FA38" s="207"/>
      <c r="FB38" s="207"/>
      <c r="FC38" s="296"/>
      <c r="FD38" s="296"/>
      <c r="FE38" s="296"/>
      <c r="FF38" s="296"/>
      <c r="FG38" s="296"/>
      <c r="FH38" s="296"/>
      <c r="FI38" s="296"/>
      <c r="FJ38" s="296"/>
      <c r="FK38" s="296"/>
      <c r="FL38" s="296"/>
      <c r="FM38" s="296"/>
      <c r="FN38" s="207"/>
      <c r="FO38" s="207"/>
      <c r="FP38" s="296"/>
      <c r="FQ38" s="296"/>
      <c r="FR38" s="296"/>
      <c r="FS38" s="296"/>
      <c r="FT38" s="296"/>
      <c r="FU38" s="296"/>
      <c r="FV38" s="296"/>
      <c r="FW38" s="296"/>
      <c r="FX38" s="296"/>
      <c r="FY38" s="296"/>
      <c r="FZ38" s="296"/>
      <c r="GA38" s="207"/>
      <c r="GB38" s="207"/>
      <c r="GC38" s="296"/>
      <c r="GD38" s="296"/>
      <c r="GE38" s="296"/>
      <c r="GF38" s="296"/>
      <c r="GG38" s="296"/>
      <c r="GH38" s="296"/>
      <c r="GI38" s="296"/>
      <c r="GJ38" s="296"/>
      <c r="GK38" s="296"/>
      <c r="GL38" s="296"/>
      <c r="GM38" s="296"/>
      <c r="GN38" s="207"/>
      <c r="GO38" s="207"/>
      <c r="GP38" s="296"/>
      <c r="GQ38" s="296"/>
      <c r="GR38" s="296"/>
      <c r="GS38" s="296"/>
      <c r="GT38" s="296"/>
      <c r="GU38" s="296"/>
      <c r="GV38" s="296"/>
      <c r="GW38" s="296"/>
      <c r="GX38" s="296"/>
      <c r="GY38" s="296"/>
      <c r="GZ38" s="296"/>
      <c r="HA38" s="207"/>
      <c r="HB38" s="207"/>
      <c r="HC38" s="296"/>
      <c r="HD38" s="296"/>
      <c r="HE38" s="296"/>
      <c r="HF38" s="296"/>
      <c r="HG38" s="296"/>
      <c r="HH38" s="296"/>
      <c r="HI38" s="296"/>
      <c r="HJ38" s="296"/>
      <c r="HK38" s="296"/>
      <c r="HL38" s="296"/>
      <c r="HM38" s="296"/>
      <c r="HN38" s="207"/>
      <c r="HO38" s="207"/>
      <c r="HP38" s="296"/>
      <c r="HQ38" s="296"/>
      <c r="HR38" s="296"/>
      <c r="HS38" s="296"/>
      <c r="HT38" s="296"/>
      <c r="HU38" s="296"/>
      <c r="HV38" s="296"/>
      <c r="HW38" s="296"/>
      <c r="HX38" s="296"/>
      <c r="HY38" s="296"/>
      <c r="HZ38" s="296"/>
      <c r="IA38" s="207"/>
      <c r="IB38" s="207"/>
      <c r="IC38" s="296"/>
      <c r="ID38" s="296"/>
      <c r="IE38" s="296"/>
      <c r="IF38" s="296"/>
      <c r="IG38" s="296"/>
      <c r="IH38" s="296"/>
      <c r="II38" s="296"/>
      <c r="IJ38" s="296"/>
      <c r="IK38" s="296"/>
      <c r="IL38" s="296"/>
      <c r="IM38" s="296"/>
      <c r="IN38" s="207"/>
      <c r="IO38" s="207"/>
      <c r="IP38" s="296"/>
      <c r="IQ38" s="296"/>
      <c r="IR38" s="296"/>
      <c r="IS38" s="296"/>
      <c r="IT38" s="296"/>
      <c r="IU38" s="296"/>
      <c r="IV38" s="296"/>
    </row>
    <row r="39" spans="1:256" x14ac:dyDescent="0.2">
      <c r="A39" s="218"/>
      <c r="B39" s="219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1"/>
      <c r="O39" s="211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7"/>
      <c r="AB39" s="207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6"/>
      <c r="AN39" s="207"/>
      <c r="AO39" s="207"/>
      <c r="AP39" s="296"/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A39" s="207"/>
      <c r="BB39" s="207"/>
      <c r="BC39" s="296"/>
      <c r="BD39" s="296"/>
      <c r="BE39" s="296"/>
      <c r="BF39" s="296"/>
      <c r="BG39" s="296"/>
      <c r="BH39" s="296"/>
      <c r="BI39" s="296"/>
      <c r="BJ39" s="296"/>
      <c r="BK39" s="296"/>
      <c r="BL39" s="296"/>
      <c r="BM39" s="296"/>
      <c r="BN39" s="207"/>
      <c r="BO39" s="207"/>
      <c r="BP39" s="296"/>
      <c r="BQ39" s="296"/>
      <c r="BR39" s="296"/>
      <c r="BS39" s="296"/>
      <c r="BT39" s="296"/>
      <c r="BU39" s="296"/>
      <c r="BV39" s="296"/>
      <c r="BW39" s="296"/>
      <c r="BX39" s="296"/>
      <c r="BY39" s="296"/>
      <c r="BZ39" s="296"/>
      <c r="CA39" s="207"/>
      <c r="CB39" s="207"/>
      <c r="CC39" s="296"/>
      <c r="CD39" s="296"/>
      <c r="CE39" s="296"/>
      <c r="CF39" s="296"/>
      <c r="CG39" s="296"/>
      <c r="CH39" s="296"/>
      <c r="CI39" s="296"/>
      <c r="CJ39" s="296"/>
      <c r="CK39" s="296"/>
      <c r="CL39" s="296"/>
      <c r="CM39" s="296"/>
      <c r="CN39" s="207"/>
      <c r="CO39" s="207"/>
      <c r="CP39" s="296"/>
      <c r="CQ39" s="296"/>
      <c r="CR39" s="296"/>
      <c r="CS39" s="296"/>
      <c r="CT39" s="296"/>
      <c r="CU39" s="296"/>
      <c r="CV39" s="296"/>
      <c r="CW39" s="296"/>
      <c r="CX39" s="296"/>
      <c r="CY39" s="296"/>
      <c r="CZ39" s="296"/>
      <c r="DA39" s="207"/>
      <c r="DB39" s="207"/>
      <c r="DC39" s="296"/>
      <c r="DD39" s="296"/>
      <c r="DE39" s="296"/>
      <c r="DF39" s="296"/>
      <c r="DG39" s="296"/>
      <c r="DH39" s="296"/>
      <c r="DI39" s="296"/>
      <c r="DJ39" s="296"/>
      <c r="DK39" s="296"/>
      <c r="DL39" s="296"/>
      <c r="DM39" s="296"/>
      <c r="DN39" s="207"/>
      <c r="DO39" s="207"/>
      <c r="DP39" s="296"/>
      <c r="DQ39" s="296"/>
      <c r="DR39" s="296"/>
      <c r="DS39" s="296"/>
      <c r="DT39" s="296"/>
      <c r="DU39" s="296"/>
      <c r="DV39" s="296"/>
      <c r="DW39" s="296"/>
      <c r="DX39" s="296"/>
      <c r="DY39" s="296"/>
      <c r="DZ39" s="296"/>
      <c r="EA39" s="207"/>
      <c r="EB39" s="207"/>
      <c r="EC39" s="296"/>
      <c r="ED39" s="296"/>
      <c r="EE39" s="296"/>
      <c r="EF39" s="296"/>
      <c r="EG39" s="296"/>
      <c r="EH39" s="296"/>
      <c r="EI39" s="296"/>
      <c r="EJ39" s="296"/>
      <c r="EK39" s="296"/>
      <c r="EL39" s="296"/>
      <c r="EM39" s="296"/>
      <c r="EN39" s="207"/>
      <c r="EO39" s="207"/>
      <c r="EP39" s="296"/>
      <c r="EQ39" s="296"/>
      <c r="ER39" s="296"/>
      <c r="ES39" s="296"/>
      <c r="ET39" s="296"/>
      <c r="EU39" s="296"/>
      <c r="EV39" s="296"/>
      <c r="EW39" s="296"/>
      <c r="EX39" s="296"/>
      <c r="EY39" s="296"/>
      <c r="EZ39" s="296"/>
      <c r="FA39" s="207"/>
      <c r="FB39" s="207"/>
      <c r="FC39" s="296"/>
      <c r="FD39" s="296"/>
      <c r="FE39" s="296"/>
      <c r="FF39" s="296"/>
      <c r="FG39" s="296"/>
      <c r="FH39" s="296"/>
      <c r="FI39" s="296"/>
      <c r="FJ39" s="296"/>
      <c r="FK39" s="296"/>
      <c r="FL39" s="296"/>
      <c r="FM39" s="296"/>
      <c r="FN39" s="207"/>
      <c r="FO39" s="207"/>
      <c r="FP39" s="296"/>
      <c r="FQ39" s="296"/>
      <c r="FR39" s="296"/>
      <c r="FS39" s="296"/>
      <c r="FT39" s="296"/>
      <c r="FU39" s="296"/>
      <c r="FV39" s="296"/>
      <c r="FW39" s="296"/>
      <c r="FX39" s="296"/>
      <c r="FY39" s="296"/>
      <c r="FZ39" s="296"/>
      <c r="GA39" s="207"/>
      <c r="GB39" s="207"/>
      <c r="GC39" s="296"/>
      <c r="GD39" s="296"/>
      <c r="GE39" s="296"/>
      <c r="GF39" s="296"/>
      <c r="GG39" s="296"/>
      <c r="GH39" s="296"/>
      <c r="GI39" s="296"/>
      <c r="GJ39" s="296"/>
      <c r="GK39" s="296"/>
      <c r="GL39" s="296"/>
      <c r="GM39" s="296"/>
      <c r="GN39" s="207"/>
      <c r="GO39" s="207"/>
      <c r="GP39" s="296"/>
      <c r="GQ39" s="296"/>
      <c r="GR39" s="296"/>
      <c r="GS39" s="296"/>
      <c r="GT39" s="296"/>
      <c r="GU39" s="296"/>
      <c r="GV39" s="296"/>
      <c r="GW39" s="296"/>
      <c r="GX39" s="296"/>
      <c r="GY39" s="296"/>
      <c r="GZ39" s="296"/>
      <c r="HA39" s="207"/>
      <c r="HB39" s="207"/>
      <c r="HC39" s="296"/>
      <c r="HD39" s="296"/>
      <c r="HE39" s="296"/>
      <c r="HF39" s="296"/>
      <c r="HG39" s="296"/>
      <c r="HH39" s="296"/>
      <c r="HI39" s="296"/>
      <c r="HJ39" s="296"/>
      <c r="HK39" s="296"/>
      <c r="HL39" s="296"/>
      <c r="HM39" s="296"/>
      <c r="HN39" s="207"/>
      <c r="HO39" s="207"/>
      <c r="HP39" s="296"/>
      <c r="HQ39" s="296"/>
      <c r="HR39" s="296"/>
      <c r="HS39" s="296"/>
      <c r="HT39" s="296"/>
      <c r="HU39" s="296"/>
      <c r="HV39" s="296"/>
      <c r="HW39" s="296"/>
      <c r="HX39" s="296"/>
      <c r="HY39" s="296"/>
      <c r="HZ39" s="296"/>
      <c r="IA39" s="207"/>
      <c r="IB39" s="207"/>
      <c r="IC39" s="296"/>
      <c r="ID39" s="296"/>
      <c r="IE39" s="296"/>
      <c r="IF39" s="296"/>
      <c r="IG39" s="296"/>
      <c r="IH39" s="296"/>
      <c r="II39" s="296"/>
      <c r="IJ39" s="296"/>
      <c r="IK39" s="296"/>
      <c r="IL39" s="296"/>
      <c r="IM39" s="296"/>
      <c r="IN39" s="207"/>
      <c r="IO39" s="207"/>
      <c r="IP39" s="296"/>
      <c r="IQ39" s="296"/>
      <c r="IR39" s="296"/>
      <c r="IS39" s="296"/>
      <c r="IT39" s="296"/>
      <c r="IU39" s="296"/>
      <c r="IV39" s="296"/>
    </row>
    <row r="40" spans="1:256" x14ac:dyDescent="0.2">
      <c r="A40" s="218"/>
      <c r="B40" s="219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1"/>
      <c r="O40" s="211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7"/>
      <c r="AB40" s="207"/>
      <c r="AC40" s="296"/>
      <c r="AD40" s="296"/>
      <c r="AE40" s="296"/>
      <c r="AF40" s="296"/>
      <c r="AG40" s="296"/>
      <c r="AH40" s="296"/>
      <c r="AI40" s="296"/>
      <c r="AJ40" s="296"/>
      <c r="AK40" s="296"/>
      <c r="AL40" s="296"/>
      <c r="AM40" s="296"/>
      <c r="AN40" s="207"/>
      <c r="AO40" s="207"/>
      <c r="AP40" s="296"/>
      <c r="AQ40" s="296"/>
      <c r="AR40" s="296"/>
      <c r="AS40" s="296"/>
      <c r="AT40" s="296"/>
      <c r="AU40" s="296"/>
      <c r="AV40" s="296"/>
      <c r="AW40" s="296"/>
      <c r="AX40" s="296"/>
      <c r="AY40" s="296"/>
      <c r="AZ40" s="296"/>
      <c r="BA40" s="207"/>
      <c r="BB40" s="207"/>
      <c r="BC40" s="296"/>
      <c r="BD40" s="296"/>
      <c r="BE40" s="296"/>
      <c r="BF40" s="296"/>
      <c r="BG40" s="296"/>
      <c r="BH40" s="296"/>
      <c r="BI40" s="296"/>
      <c r="BJ40" s="296"/>
      <c r="BK40" s="296"/>
      <c r="BL40" s="296"/>
      <c r="BM40" s="296"/>
      <c r="BN40" s="207"/>
      <c r="BO40" s="207"/>
      <c r="BP40" s="296"/>
      <c r="BQ40" s="296"/>
      <c r="BR40" s="296"/>
      <c r="BS40" s="296"/>
      <c r="BT40" s="296"/>
      <c r="BU40" s="296"/>
      <c r="BV40" s="296"/>
      <c r="BW40" s="296"/>
      <c r="BX40" s="296"/>
      <c r="BY40" s="296"/>
      <c r="BZ40" s="296"/>
      <c r="CA40" s="207"/>
      <c r="CB40" s="207"/>
      <c r="CC40" s="296"/>
      <c r="CD40" s="296"/>
      <c r="CE40" s="296"/>
      <c r="CF40" s="296"/>
      <c r="CG40" s="296"/>
      <c r="CH40" s="296"/>
      <c r="CI40" s="296"/>
      <c r="CJ40" s="296"/>
      <c r="CK40" s="296"/>
      <c r="CL40" s="296"/>
      <c r="CM40" s="296"/>
      <c r="CN40" s="207"/>
      <c r="CO40" s="207"/>
      <c r="CP40" s="296"/>
      <c r="CQ40" s="296"/>
      <c r="CR40" s="296"/>
      <c r="CS40" s="296"/>
      <c r="CT40" s="296"/>
      <c r="CU40" s="296"/>
      <c r="CV40" s="296"/>
      <c r="CW40" s="296"/>
      <c r="CX40" s="296"/>
      <c r="CY40" s="296"/>
      <c r="CZ40" s="296"/>
      <c r="DA40" s="207"/>
      <c r="DB40" s="207"/>
      <c r="DC40" s="296"/>
      <c r="DD40" s="296"/>
      <c r="DE40" s="296"/>
      <c r="DF40" s="296"/>
      <c r="DG40" s="296"/>
      <c r="DH40" s="296"/>
      <c r="DI40" s="296"/>
      <c r="DJ40" s="296"/>
      <c r="DK40" s="296"/>
      <c r="DL40" s="296"/>
      <c r="DM40" s="296"/>
      <c r="DN40" s="207"/>
      <c r="DO40" s="207"/>
      <c r="DP40" s="296"/>
      <c r="DQ40" s="296"/>
      <c r="DR40" s="296"/>
      <c r="DS40" s="296"/>
      <c r="DT40" s="296"/>
      <c r="DU40" s="296"/>
      <c r="DV40" s="296"/>
      <c r="DW40" s="296"/>
      <c r="DX40" s="296"/>
      <c r="DY40" s="296"/>
      <c r="DZ40" s="296"/>
      <c r="EA40" s="207"/>
      <c r="EB40" s="207"/>
      <c r="EC40" s="296"/>
      <c r="ED40" s="296"/>
      <c r="EE40" s="296"/>
      <c r="EF40" s="296"/>
      <c r="EG40" s="296"/>
      <c r="EH40" s="296"/>
      <c r="EI40" s="296"/>
      <c r="EJ40" s="296"/>
      <c r="EK40" s="296"/>
      <c r="EL40" s="296"/>
      <c r="EM40" s="296"/>
      <c r="EN40" s="207"/>
      <c r="EO40" s="207"/>
      <c r="EP40" s="296"/>
      <c r="EQ40" s="296"/>
      <c r="ER40" s="296"/>
      <c r="ES40" s="296"/>
      <c r="ET40" s="296"/>
      <c r="EU40" s="296"/>
      <c r="EV40" s="296"/>
      <c r="EW40" s="296"/>
      <c r="EX40" s="296"/>
      <c r="EY40" s="296"/>
      <c r="EZ40" s="296"/>
      <c r="FA40" s="207"/>
      <c r="FB40" s="207"/>
      <c r="FC40" s="296"/>
      <c r="FD40" s="296"/>
      <c r="FE40" s="296"/>
      <c r="FF40" s="296"/>
      <c r="FG40" s="296"/>
      <c r="FH40" s="296"/>
      <c r="FI40" s="296"/>
      <c r="FJ40" s="296"/>
      <c r="FK40" s="296"/>
      <c r="FL40" s="296"/>
      <c r="FM40" s="296"/>
      <c r="FN40" s="207"/>
      <c r="FO40" s="207"/>
      <c r="FP40" s="296"/>
      <c r="FQ40" s="296"/>
      <c r="FR40" s="296"/>
      <c r="FS40" s="296"/>
      <c r="FT40" s="296"/>
      <c r="FU40" s="296"/>
      <c r="FV40" s="296"/>
      <c r="FW40" s="296"/>
      <c r="FX40" s="296"/>
      <c r="FY40" s="296"/>
      <c r="FZ40" s="296"/>
      <c r="GA40" s="207"/>
      <c r="GB40" s="207"/>
      <c r="GC40" s="296"/>
      <c r="GD40" s="296"/>
      <c r="GE40" s="296"/>
      <c r="GF40" s="296"/>
      <c r="GG40" s="296"/>
      <c r="GH40" s="296"/>
      <c r="GI40" s="296"/>
      <c r="GJ40" s="296"/>
      <c r="GK40" s="296"/>
      <c r="GL40" s="296"/>
      <c r="GM40" s="296"/>
      <c r="GN40" s="207"/>
      <c r="GO40" s="207"/>
      <c r="GP40" s="296"/>
      <c r="GQ40" s="296"/>
      <c r="GR40" s="296"/>
      <c r="GS40" s="296"/>
      <c r="GT40" s="296"/>
      <c r="GU40" s="296"/>
      <c r="GV40" s="296"/>
      <c r="GW40" s="296"/>
      <c r="GX40" s="296"/>
      <c r="GY40" s="296"/>
      <c r="GZ40" s="296"/>
      <c r="HA40" s="207"/>
      <c r="HB40" s="207"/>
      <c r="HC40" s="296"/>
      <c r="HD40" s="296"/>
      <c r="HE40" s="296"/>
      <c r="HF40" s="296"/>
      <c r="HG40" s="296"/>
      <c r="HH40" s="296"/>
      <c r="HI40" s="296"/>
      <c r="HJ40" s="296"/>
      <c r="HK40" s="296"/>
      <c r="HL40" s="296"/>
      <c r="HM40" s="296"/>
      <c r="HN40" s="207"/>
      <c r="HO40" s="207"/>
      <c r="HP40" s="296"/>
      <c r="HQ40" s="296"/>
      <c r="HR40" s="296"/>
      <c r="HS40" s="296"/>
      <c r="HT40" s="296"/>
      <c r="HU40" s="296"/>
      <c r="HV40" s="296"/>
      <c r="HW40" s="296"/>
      <c r="HX40" s="296"/>
      <c r="HY40" s="296"/>
      <c r="HZ40" s="296"/>
      <c r="IA40" s="207"/>
      <c r="IB40" s="207"/>
      <c r="IC40" s="296"/>
      <c r="ID40" s="296"/>
      <c r="IE40" s="296"/>
      <c r="IF40" s="296"/>
      <c r="IG40" s="296"/>
      <c r="IH40" s="296"/>
      <c r="II40" s="296"/>
      <c r="IJ40" s="296"/>
      <c r="IK40" s="296"/>
      <c r="IL40" s="296"/>
      <c r="IM40" s="296"/>
      <c r="IN40" s="207"/>
      <c r="IO40" s="207"/>
      <c r="IP40" s="296"/>
      <c r="IQ40" s="296"/>
      <c r="IR40" s="296"/>
      <c r="IS40" s="296"/>
      <c r="IT40" s="296"/>
      <c r="IU40" s="296"/>
      <c r="IV40" s="296"/>
    </row>
    <row r="41" spans="1:256" x14ac:dyDescent="0.2">
      <c r="A41" s="218"/>
      <c r="B41" s="219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8"/>
      <c r="B51" s="219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8"/>
      <c r="B52" s="219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8"/>
      <c r="B53" s="219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8"/>
      <c r="B54" s="219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8"/>
      <c r="B55" s="219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8"/>
      <c r="B56" s="219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8"/>
      <c r="B57" s="219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8"/>
      <c r="B58" s="219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8"/>
      <c r="B59" s="219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8"/>
      <c r="B60" s="219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8"/>
      <c r="B61" s="219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8"/>
      <c r="B62" s="219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8"/>
      <c r="B63" s="219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8"/>
      <c r="B64" s="219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8"/>
      <c r="B65" s="219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8"/>
      <c r="B66" s="219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8"/>
      <c r="B67" s="219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8"/>
      <c r="B68" s="219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8"/>
      <c r="B69" s="219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879</v>
      </c>
      <c r="B72" s="286"/>
      <c r="C72" s="286"/>
      <c r="D72" s="286"/>
      <c r="E72" s="286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10" t="s">
        <v>799</v>
      </c>
      <c r="B73" s="210" t="s">
        <v>800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2011-10-20T14:44:36Z</cp:lastPrinted>
  <dcterms:created xsi:type="dcterms:W3CDTF">1997-12-04T19:04:30Z</dcterms:created>
  <dcterms:modified xsi:type="dcterms:W3CDTF">2025-01-10T20:07:07Z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