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2C0C5B1-08CB-4956-B6E9-E4BFB62883C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1F3C19E-36D9-45C2-94BD-62331A20D12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41" i="1"/>
  <c r="G449" i="1"/>
  <c r="G433" i="1"/>
  <c r="J458" i="1"/>
  <c r="H627" i="1" s="1"/>
  <c r="K258" i="1"/>
  <c r="K262" i="1" s="1"/>
  <c r="L262" i="1" s="1"/>
  <c r="G392" i="1"/>
  <c r="G393" i="1" s="1"/>
  <c r="G400" i="1" s="1"/>
  <c r="H635" i="1" s="1"/>
  <c r="J171" i="1"/>
  <c r="J175" i="1" s="1"/>
  <c r="K592" i="1"/>
  <c r="K595" i="1" s="1"/>
  <c r="G638" i="1" s="1"/>
  <c r="K593" i="1"/>
  <c r="K594" i="1"/>
  <c r="J203" i="1"/>
  <c r="J221" i="1"/>
  <c r="J239" i="1"/>
  <c r="J248" i="1"/>
  <c r="J249" i="1"/>
  <c r="J282" i="1"/>
  <c r="J330" i="1" s="1"/>
  <c r="J344" i="1" s="1"/>
  <c r="J301" i="1"/>
  <c r="J320" i="1"/>
  <c r="J329" i="1"/>
  <c r="I43" i="1"/>
  <c r="G615" i="1"/>
  <c r="I460" i="1"/>
  <c r="I464" i="1"/>
  <c r="I466" i="1"/>
  <c r="H615" i="1"/>
  <c r="J615" i="1" s="1"/>
  <c r="I52" i="1"/>
  <c r="F48" i="2" s="1"/>
  <c r="F55" i="2" s="1"/>
  <c r="I103" i="1"/>
  <c r="I113" i="1"/>
  <c r="I132" i="1" s="1"/>
  <c r="I128" i="1"/>
  <c r="I139" i="1"/>
  <c r="I161" i="1" s="1"/>
  <c r="I154" i="1"/>
  <c r="I169" i="1"/>
  <c r="I175" i="1"/>
  <c r="I184" i="1" s="1"/>
  <c r="I180" i="1"/>
  <c r="H620" i="1"/>
  <c r="H52" i="1"/>
  <c r="H104" i="1" s="1"/>
  <c r="H71" i="1"/>
  <c r="H86" i="1"/>
  <c r="H103" i="1"/>
  <c r="H113" i="1"/>
  <c r="H128" i="1"/>
  <c r="H132" i="1"/>
  <c r="H139" i="1"/>
  <c r="H154" i="1"/>
  <c r="H161" i="1" s="1"/>
  <c r="H175" i="1"/>
  <c r="H184" i="1" s="1"/>
  <c r="H180" i="1"/>
  <c r="H619" i="1"/>
  <c r="F43" i="1"/>
  <c r="G612" i="1"/>
  <c r="F460" i="1"/>
  <c r="G43" i="1"/>
  <c r="G613" i="1" s="1"/>
  <c r="G460" i="1"/>
  <c r="G464" i="1"/>
  <c r="G466" i="1" s="1"/>
  <c r="H613" i="1" s="1"/>
  <c r="L350" i="1"/>
  <c r="L351" i="1"/>
  <c r="G651" i="1" s="1"/>
  <c r="L352" i="1"/>
  <c r="H651" i="1" s="1"/>
  <c r="L353" i="1"/>
  <c r="L354" i="1"/>
  <c r="C27" i="10" s="1"/>
  <c r="H625" i="1"/>
  <c r="G385" i="1"/>
  <c r="G399" i="1"/>
  <c r="H43" i="1"/>
  <c r="H44" i="1" s="1"/>
  <c r="H609" i="1" s="1"/>
  <c r="G614" i="1"/>
  <c r="H460" i="1"/>
  <c r="H466" i="1" s="1"/>
  <c r="H614" i="1" s="1"/>
  <c r="H464" i="1"/>
  <c r="I446" i="1"/>
  <c r="J37" i="1" s="1"/>
  <c r="I447" i="1"/>
  <c r="J38" i="1"/>
  <c r="I448" i="1"/>
  <c r="J40" i="1"/>
  <c r="I449" i="1"/>
  <c r="I450" i="1" s="1"/>
  <c r="J41" i="1"/>
  <c r="J460" i="1"/>
  <c r="J466" i="1" s="1"/>
  <c r="H616" i="1" s="1"/>
  <c r="J464" i="1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5" i="1"/>
  <c r="L399" i="1" s="1"/>
  <c r="C132" i="2" s="1"/>
  <c r="L396" i="1"/>
  <c r="L397" i="1"/>
  <c r="L398" i="1"/>
  <c r="L268" i="1"/>
  <c r="L269" i="1"/>
  <c r="L270" i="1"/>
  <c r="L282" i="1" s="1"/>
  <c r="L271" i="1"/>
  <c r="E104" i="2" s="1"/>
  <c r="L273" i="1"/>
  <c r="L274" i="1"/>
  <c r="E111" i="2" s="1"/>
  <c r="L275" i="1"/>
  <c r="L276" i="1"/>
  <c r="L277" i="1"/>
  <c r="L278" i="1"/>
  <c r="L279" i="1"/>
  <c r="L280" i="1"/>
  <c r="L287" i="1"/>
  <c r="E101" i="2" s="1"/>
  <c r="L288" i="1"/>
  <c r="C11" i="10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E102" i="2" s="1"/>
  <c r="L320" i="1"/>
  <c r="L308" i="1"/>
  <c r="L309" i="1"/>
  <c r="L311" i="1"/>
  <c r="L312" i="1"/>
  <c r="L313" i="1"/>
  <c r="L314" i="1"/>
  <c r="L315" i="1"/>
  <c r="L316" i="1"/>
  <c r="L317" i="1"/>
  <c r="E116" i="2" s="1"/>
  <c r="L318" i="1"/>
  <c r="F329" i="1"/>
  <c r="L329" i="1"/>
  <c r="G329" i="1"/>
  <c r="H329" i="1"/>
  <c r="I329" i="1"/>
  <c r="K329" i="1"/>
  <c r="L333" i="1"/>
  <c r="L343" i="1" s="1"/>
  <c r="L334" i="1"/>
  <c r="L336" i="1"/>
  <c r="L337" i="1"/>
  <c r="E127" i="2" s="1"/>
  <c r="L338" i="1"/>
  <c r="L339" i="1"/>
  <c r="L341" i="1"/>
  <c r="E134" i="2" s="1"/>
  <c r="L342" i="1"/>
  <c r="H623" i="1"/>
  <c r="L189" i="1"/>
  <c r="L190" i="1"/>
  <c r="L191" i="1"/>
  <c r="L192" i="1"/>
  <c r="L194" i="1"/>
  <c r="L195" i="1"/>
  <c r="L196" i="1"/>
  <c r="L203" i="1" s="1"/>
  <c r="L197" i="1"/>
  <c r="D12" i="13" s="1"/>
  <c r="C12" i="13" s="1"/>
  <c r="L198" i="1"/>
  <c r="E13" i="13" s="1"/>
  <c r="C13" i="13" s="1"/>
  <c r="L199" i="1"/>
  <c r="C115" i="2" s="1"/>
  <c r="L200" i="1"/>
  <c r="L201" i="1"/>
  <c r="E16" i="13" s="1"/>
  <c r="C16" i="13" s="1"/>
  <c r="L207" i="1"/>
  <c r="L208" i="1"/>
  <c r="L221" i="1" s="1"/>
  <c r="L209" i="1"/>
  <c r="L210" i="1"/>
  <c r="C13" i="10" s="1"/>
  <c r="L212" i="1"/>
  <c r="D6" i="13" s="1"/>
  <c r="C6" i="13" s="1"/>
  <c r="L213" i="1"/>
  <c r="C111" i="2" s="1"/>
  <c r="L214" i="1"/>
  <c r="L215" i="1"/>
  <c r="L216" i="1"/>
  <c r="L217" i="1"/>
  <c r="L218" i="1"/>
  <c r="L219" i="1"/>
  <c r="L225" i="1"/>
  <c r="L226" i="1"/>
  <c r="L227" i="1"/>
  <c r="L228" i="1"/>
  <c r="L239" i="1" s="1"/>
  <c r="H650" i="1" s="1"/>
  <c r="L230" i="1"/>
  <c r="L231" i="1"/>
  <c r="L232" i="1"/>
  <c r="L233" i="1"/>
  <c r="L234" i="1"/>
  <c r="L235" i="1"/>
  <c r="L236" i="1"/>
  <c r="L237" i="1"/>
  <c r="F248" i="1"/>
  <c r="G248" i="1"/>
  <c r="H248" i="1"/>
  <c r="I248" i="1"/>
  <c r="K248" i="1"/>
  <c r="K249" i="1" s="1"/>
  <c r="K263" i="1" s="1"/>
  <c r="L248" i="1"/>
  <c r="L511" i="1"/>
  <c r="F539" i="1" s="1"/>
  <c r="L516" i="1"/>
  <c r="G539" i="1" s="1"/>
  <c r="G542" i="1" s="1"/>
  <c r="L521" i="1"/>
  <c r="H539" i="1" s="1"/>
  <c r="H542" i="1" s="1"/>
  <c r="L526" i="1"/>
  <c r="I539" i="1"/>
  <c r="L531" i="1"/>
  <c r="L534" i="1" s="1"/>
  <c r="J539" i="1"/>
  <c r="J542" i="1" s="1"/>
  <c r="L512" i="1"/>
  <c r="F540" i="1" s="1"/>
  <c r="K540" i="1" s="1"/>
  <c r="L517" i="1"/>
  <c r="G540" i="1" s="1"/>
  <c r="L532" i="1"/>
  <c r="J540" i="1" s="1"/>
  <c r="L522" i="1"/>
  <c r="H540" i="1" s="1"/>
  <c r="L527" i="1"/>
  <c r="L529" i="1" s="1"/>
  <c r="I540" i="1"/>
  <c r="L513" i="1"/>
  <c r="F541" i="1"/>
  <c r="L518" i="1"/>
  <c r="G541" i="1"/>
  <c r="L523" i="1"/>
  <c r="H541" i="1"/>
  <c r="L528" i="1"/>
  <c r="I541" i="1" s="1"/>
  <c r="I542" i="1" s="1"/>
  <c r="L533" i="1"/>
  <c r="J541" i="1"/>
  <c r="H645" i="1"/>
  <c r="F438" i="1"/>
  <c r="G629" i="1" s="1"/>
  <c r="F444" i="1"/>
  <c r="F451" i="1" s="1"/>
  <c r="H629" i="1" s="1"/>
  <c r="F450" i="1"/>
  <c r="G633" i="1"/>
  <c r="F385" i="1"/>
  <c r="F393" i="1"/>
  <c r="F399" i="1"/>
  <c r="F400" i="1"/>
  <c r="H633" i="1"/>
  <c r="J633" i="1"/>
  <c r="I19" i="1"/>
  <c r="G610" i="1"/>
  <c r="J610" i="1" s="1"/>
  <c r="I33" i="1"/>
  <c r="I44" i="1" s="1"/>
  <c r="H610" i="1" s="1"/>
  <c r="F493" i="1"/>
  <c r="G493" i="1"/>
  <c r="H493" i="1"/>
  <c r="G643" i="1"/>
  <c r="H643" i="1"/>
  <c r="J643" i="1"/>
  <c r="L366" i="1"/>
  <c r="L367" i="1"/>
  <c r="C29" i="10" s="1"/>
  <c r="L368" i="1"/>
  <c r="L369" i="1"/>
  <c r="L370" i="1"/>
  <c r="L371" i="1"/>
  <c r="L372" i="1"/>
  <c r="L373" i="1"/>
  <c r="L374" i="1"/>
  <c r="G642" i="1"/>
  <c r="H642" i="1"/>
  <c r="J642" i="1"/>
  <c r="L524" i="1"/>
  <c r="F139" i="1"/>
  <c r="F161" i="1" s="1"/>
  <c r="C39" i="10" s="1"/>
  <c r="F154" i="1"/>
  <c r="G139" i="1"/>
  <c r="G161" i="1" s="1"/>
  <c r="G154" i="1"/>
  <c r="L260" i="1"/>
  <c r="C26" i="10" s="1"/>
  <c r="L261" i="1"/>
  <c r="C135" i="2" s="1"/>
  <c r="G644" i="1"/>
  <c r="J644" i="1" s="1"/>
  <c r="H64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F52" i="1"/>
  <c r="G52" i="1"/>
  <c r="J52" i="1"/>
  <c r="F71" i="1"/>
  <c r="F86" i="1"/>
  <c r="F103" i="1"/>
  <c r="F104" i="1"/>
  <c r="G103" i="1"/>
  <c r="G104" i="1"/>
  <c r="J103" i="1"/>
  <c r="J104" i="1" s="1"/>
  <c r="L252" i="1"/>
  <c r="H25" i="13" s="1"/>
  <c r="L253" i="1"/>
  <c r="L242" i="1"/>
  <c r="L324" i="1"/>
  <c r="L243" i="1"/>
  <c r="L244" i="1"/>
  <c r="L245" i="1"/>
  <c r="L246" i="1"/>
  <c r="C24" i="10" s="1"/>
  <c r="L325" i="1"/>
  <c r="E106" i="2" s="1"/>
  <c r="L326" i="1"/>
  <c r="L327" i="1"/>
  <c r="H438" i="1"/>
  <c r="G631" i="1" s="1"/>
  <c r="J631" i="1" s="1"/>
  <c r="H444" i="1"/>
  <c r="H450" i="1"/>
  <c r="H451" i="1"/>
  <c r="H631" i="1"/>
  <c r="G438" i="1"/>
  <c r="G630" i="1"/>
  <c r="J630" i="1" s="1"/>
  <c r="G444" i="1"/>
  <c r="G451" i="1" s="1"/>
  <c r="H630" i="1" s="1"/>
  <c r="G450" i="1"/>
  <c r="L247" i="1"/>
  <c r="L328" i="1"/>
  <c r="G634" i="1"/>
  <c r="H385" i="1"/>
  <c r="H393" i="1"/>
  <c r="H399" i="1"/>
  <c r="H400" i="1"/>
  <c r="H634" i="1"/>
  <c r="J634" i="1" s="1"/>
  <c r="G19" i="1"/>
  <c r="G608" i="1" s="1"/>
  <c r="G33" i="1"/>
  <c r="L405" i="1"/>
  <c r="L406" i="1"/>
  <c r="L411" i="1" s="1"/>
  <c r="L407" i="1"/>
  <c r="L408" i="1"/>
  <c r="L409" i="1"/>
  <c r="L410" i="1"/>
  <c r="L413" i="1"/>
  <c r="L419" i="1" s="1"/>
  <c r="L414" i="1"/>
  <c r="L415" i="1"/>
  <c r="L416" i="1"/>
  <c r="L417" i="1"/>
  <c r="L418" i="1"/>
  <c r="L421" i="1"/>
  <c r="L422" i="1"/>
  <c r="L423" i="1"/>
  <c r="L424" i="1"/>
  <c r="H628" i="1"/>
  <c r="I431" i="1"/>
  <c r="J9" i="1" s="1"/>
  <c r="I432" i="1"/>
  <c r="J10" i="1" s="1"/>
  <c r="G10" i="2" s="1"/>
  <c r="I433" i="1"/>
  <c r="J12" i="1" s="1"/>
  <c r="G12" i="2" s="1"/>
  <c r="I434" i="1"/>
  <c r="J13" i="1"/>
  <c r="G13" i="2" s="1"/>
  <c r="I435" i="1"/>
  <c r="J14" i="1" s="1"/>
  <c r="G14" i="2" s="1"/>
  <c r="I436" i="1"/>
  <c r="J17" i="1" s="1"/>
  <c r="G17" i="2" s="1"/>
  <c r="I437" i="1"/>
  <c r="J18" i="1" s="1"/>
  <c r="G18" i="2" s="1"/>
  <c r="I440" i="1"/>
  <c r="J23" i="1" s="1"/>
  <c r="I441" i="1"/>
  <c r="J24" i="1"/>
  <c r="G23" i="2" s="1"/>
  <c r="I442" i="1"/>
  <c r="I444" i="1" s="1"/>
  <c r="J25" i="1"/>
  <c r="G24" i="2" s="1"/>
  <c r="I443" i="1"/>
  <c r="J32" i="1"/>
  <c r="F33" i="1"/>
  <c r="H33" i="1"/>
  <c r="F19" i="1"/>
  <c r="H19" i="1"/>
  <c r="G609" i="1" s="1"/>
  <c r="J609" i="1" s="1"/>
  <c r="F113" i="1"/>
  <c r="F132" i="1" s="1"/>
  <c r="F128" i="1"/>
  <c r="G113" i="1"/>
  <c r="G132" i="1" s="1"/>
  <c r="G185" i="1" s="1"/>
  <c r="G618" i="1" s="1"/>
  <c r="J618" i="1" s="1"/>
  <c r="G128" i="1"/>
  <c r="J113" i="1"/>
  <c r="J132" i="1" s="1"/>
  <c r="J128" i="1"/>
  <c r="H621" i="1"/>
  <c r="G626" i="1"/>
  <c r="J626" i="1" s="1"/>
  <c r="H626" i="1"/>
  <c r="F44" i="1"/>
  <c r="H607" i="1" s="1"/>
  <c r="G175" i="1"/>
  <c r="G180" i="1"/>
  <c r="G184" i="1"/>
  <c r="H618" i="1"/>
  <c r="G641" i="1"/>
  <c r="J641" i="1" s="1"/>
  <c r="J588" i="1"/>
  <c r="H641" i="1"/>
  <c r="G640" i="1"/>
  <c r="I588" i="1"/>
  <c r="H640" i="1"/>
  <c r="J640" i="1"/>
  <c r="I354" i="1"/>
  <c r="G624" i="1" s="1"/>
  <c r="J624" i="1" s="1"/>
  <c r="I359" i="1"/>
  <c r="I361" i="1" s="1"/>
  <c r="H624" i="1" s="1"/>
  <c r="I360" i="1"/>
  <c r="G639" i="1"/>
  <c r="J639" i="1" s="1"/>
  <c r="H588" i="1"/>
  <c r="H639" i="1"/>
  <c r="G607" i="1"/>
  <c r="F169" i="1"/>
  <c r="F184" i="1" s="1"/>
  <c r="F175" i="1"/>
  <c r="F180" i="1"/>
  <c r="H617" i="1"/>
  <c r="K581" i="1"/>
  <c r="K582" i="1"/>
  <c r="K583" i="1"/>
  <c r="K584" i="1"/>
  <c r="K585" i="1"/>
  <c r="K586" i="1"/>
  <c r="K587" i="1"/>
  <c r="K588" i="1"/>
  <c r="G637" i="1"/>
  <c r="J637" i="1" s="1"/>
  <c r="H637" i="1"/>
  <c r="D39" i="13"/>
  <c r="C60" i="2"/>
  <c r="B2" i="13"/>
  <c r="C11" i="13"/>
  <c r="C10" i="13"/>
  <c r="C9" i="13"/>
  <c r="B4" i="12"/>
  <c r="B1" i="12"/>
  <c r="L258" i="1"/>
  <c r="G48" i="2"/>
  <c r="G51" i="2"/>
  <c r="G53" i="2"/>
  <c r="G54" i="2" s="1"/>
  <c r="F2" i="11"/>
  <c r="L603" i="1"/>
  <c r="L602" i="1"/>
  <c r="L601" i="1"/>
  <c r="C40" i="10"/>
  <c r="C134" i="2"/>
  <c r="I655" i="1"/>
  <c r="I660" i="1"/>
  <c r="I659" i="1"/>
  <c r="C42" i="10"/>
  <c r="B2" i="10"/>
  <c r="E124" i="2"/>
  <c r="E136" i="2" s="1"/>
  <c r="E123" i="2"/>
  <c r="J262" i="1"/>
  <c r="I262" i="1"/>
  <c r="H262" i="1"/>
  <c r="G262" i="1"/>
  <c r="F262" i="1"/>
  <c r="A1" i="2"/>
  <c r="A2" i="2"/>
  <c r="D9" i="2"/>
  <c r="D19" i="2" s="1"/>
  <c r="E9" i="2"/>
  <c r="E19" i="2" s="1"/>
  <c r="F9" i="2"/>
  <c r="C10" i="2"/>
  <c r="D10" i="2"/>
  <c r="E10" i="2"/>
  <c r="F10" i="2"/>
  <c r="C11" i="2"/>
  <c r="C12" i="2"/>
  <c r="D12" i="2"/>
  <c r="F12" i="2"/>
  <c r="C13" i="2"/>
  <c r="D13" i="2"/>
  <c r="E13" i="2"/>
  <c r="F13" i="2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C32" i="2" s="1"/>
  <c r="D22" i="2"/>
  <c r="D32" i="2" s="1"/>
  <c r="E22" i="2"/>
  <c r="E32" i="2" s="1"/>
  <c r="F22" i="2"/>
  <c r="C23" i="2"/>
  <c r="D23" i="2"/>
  <c r="E23" i="2"/>
  <c r="F23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1" i="2"/>
  <c r="C34" i="2"/>
  <c r="C42" i="2" s="1"/>
  <c r="C43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C37" i="2"/>
  <c r="D37" i="2"/>
  <c r="E37" i="2"/>
  <c r="F37" i="2"/>
  <c r="G37" i="2"/>
  <c r="C38" i="2"/>
  <c r="D38" i="2"/>
  <c r="E38" i="2"/>
  <c r="F38" i="2"/>
  <c r="G39" i="2"/>
  <c r="C40" i="2"/>
  <c r="D40" i="2"/>
  <c r="E40" i="2"/>
  <c r="F40" i="2"/>
  <c r="F42" i="2" s="1"/>
  <c r="F43" i="2" s="1"/>
  <c r="C41" i="2"/>
  <c r="D41" i="2"/>
  <c r="E41" i="2"/>
  <c r="F41" i="2"/>
  <c r="C48" i="2"/>
  <c r="C49" i="2"/>
  <c r="E49" i="2"/>
  <c r="C50" i="2"/>
  <c r="C54" i="2" s="1"/>
  <c r="C55" i="2" s="1"/>
  <c r="C51" i="2"/>
  <c r="D51" i="2"/>
  <c r="D54" i="2" s="1"/>
  <c r="D55" i="2" s="1"/>
  <c r="D96" i="2" s="1"/>
  <c r="E51" i="2"/>
  <c r="F51" i="2"/>
  <c r="D52" i="2"/>
  <c r="C53" i="2"/>
  <c r="D53" i="2"/>
  <c r="E53" i="2"/>
  <c r="F53" i="2"/>
  <c r="C58" i="2"/>
  <c r="C59" i="2"/>
  <c r="C61" i="2"/>
  <c r="C62" i="2" s="1"/>
  <c r="D61" i="2"/>
  <c r="D62" i="2"/>
  <c r="D73" i="2" s="1"/>
  <c r="E61" i="2"/>
  <c r="E62" i="2" s="1"/>
  <c r="F61" i="2"/>
  <c r="F62" i="2" s="1"/>
  <c r="F73" i="2" s="1"/>
  <c r="G61" i="2"/>
  <c r="G62" i="2"/>
  <c r="C64" i="2"/>
  <c r="F64" i="2"/>
  <c r="C65" i="2"/>
  <c r="F65" i="2"/>
  <c r="C66" i="2"/>
  <c r="C70" i="2" s="1"/>
  <c r="C73" i="2" s="1"/>
  <c r="C67" i="2"/>
  <c r="C68" i="2"/>
  <c r="E68" i="2"/>
  <c r="F68" i="2"/>
  <c r="C69" i="2"/>
  <c r="D69" i="2"/>
  <c r="D70" i="2"/>
  <c r="D71" i="2"/>
  <c r="E69" i="2"/>
  <c r="F69" i="2"/>
  <c r="G69" i="2"/>
  <c r="G70" i="2"/>
  <c r="G73" i="2"/>
  <c r="C71" i="2"/>
  <c r="E71" i="2"/>
  <c r="C72" i="2"/>
  <c r="E72" i="2"/>
  <c r="C77" i="2"/>
  <c r="D77" i="2"/>
  <c r="E77" i="2"/>
  <c r="C79" i="2"/>
  <c r="E79" i="2"/>
  <c r="F79" i="2"/>
  <c r="F83" i="2" s="1"/>
  <c r="C80" i="2"/>
  <c r="C83" i="2" s="1"/>
  <c r="D80" i="2"/>
  <c r="D83" i="2" s="1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F120" i="2"/>
  <c r="G120" i="2"/>
  <c r="D126" i="2"/>
  <c r="D136" i="2"/>
  <c r="F126" i="2"/>
  <c r="K411" i="1"/>
  <c r="K426" i="1" s="1"/>
  <c r="G126" i="2" s="1"/>
  <c r="G136" i="2" s="1"/>
  <c r="G137" i="2" s="1"/>
  <c r="K419" i="1"/>
  <c r="K425" i="1"/>
  <c r="L255" i="1"/>
  <c r="L256" i="1"/>
  <c r="L257" i="1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 s="1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C152" i="2"/>
  <c r="G152" i="2" s="1"/>
  <c r="D152" i="2"/>
  <c r="E152" i="2"/>
  <c r="F152" i="2"/>
  <c r="F490" i="1"/>
  <c r="G490" i="1"/>
  <c r="H490" i="1"/>
  <c r="I490" i="1"/>
  <c r="E153" i="2" s="1"/>
  <c r="J490" i="1"/>
  <c r="F153" i="2"/>
  <c r="B154" i="2"/>
  <c r="C154" i="2"/>
  <c r="G154" i="2" s="1"/>
  <c r="D154" i="2"/>
  <c r="E154" i="2"/>
  <c r="F154" i="2"/>
  <c r="B155" i="2"/>
  <c r="C155" i="2"/>
  <c r="D155" i="2"/>
  <c r="E155" i="2"/>
  <c r="F155" i="2"/>
  <c r="I493" i="1"/>
  <c r="E156" i="2"/>
  <c r="J493" i="1"/>
  <c r="F156" i="2"/>
  <c r="F374" i="1"/>
  <c r="G374" i="1"/>
  <c r="H374" i="1"/>
  <c r="I374" i="1"/>
  <c r="J374" i="1"/>
  <c r="K374" i="1"/>
  <c r="I385" i="1"/>
  <c r="I400" i="1" s="1"/>
  <c r="I393" i="1"/>
  <c r="I399" i="1"/>
  <c r="F411" i="1"/>
  <c r="G411" i="1"/>
  <c r="G426" i="1"/>
  <c r="H411" i="1"/>
  <c r="H426" i="1" s="1"/>
  <c r="I411" i="1"/>
  <c r="I426" i="1" s="1"/>
  <c r="J411" i="1"/>
  <c r="J426" i="1" s="1"/>
  <c r="F419" i="1"/>
  <c r="F426" i="1" s="1"/>
  <c r="G419" i="1"/>
  <c r="H419" i="1"/>
  <c r="I419" i="1"/>
  <c r="J419" i="1"/>
  <c r="F425" i="1"/>
  <c r="G425" i="1"/>
  <c r="H425" i="1"/>
  <c r="I425" i="1"/>
  <c r="J425" i="1"/>
  <c r="K485" i="1"/>
  <c r="K486" i="1"/>
  <c r="K487" i="1"/>
  <c r="K488" i="1"/>
  <c r="K489" i="1"/>
  <c r="K491" i="1"/>
  <c r="K492" i="1"/>
  <c r="F507" i="1"/>
  <c r="G507" i="1"/>
  <c r="H507" i="1"/>
  <c r="I507" i="1"/>
  <c r="F529" i="1"/>
  <c r="G529" i="1"/>
  <c r="H529" i="1"/>
  <c r="I529" i="1"/>
  <c r="J529" i="1"/>
  <c r="K529" i="1"/>
  <c r="F534" i="1"/>
  <c r="F535" i="1" s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I561" i="1"/>
  <c r="J550" i="1"/>
  <c r="K550" i="1"/>
  <c r="K561" i="1" s="1"/>
  <c r="L552" i="1"/>
  <c r="L553" i="1"/>
  <c r="L554" i="1"/>
  <c r="F555" i="1"/>
  <c r="G555" i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F604" i="1"/>
  <c r="G604" i="1"/>
  <c r="H604" i="1"/>
  <c r="I604" i="1"/>
  <c r="J604" i="1"/>
  <c r="K604" i="1"/>
  <c r="L604" i="1"/>
  <c r="H354" i="1"/>
  <c r="F361" i="1"/>
  <c r="E129" i="2"/>
  <c r="F77" i="2"/>
  <c r="C9" i="2"/>
  <c r="C19" i="2" s="1"/>
  <c r="C24" i="2"/>
  <c r="E50" i="2"/>
  <c r="E54" i="2" s="1"/>
  <c r="F54" i="2"/>
  <c r="D48" i="2"/>
  <c r="E12" i="2"/>
  <c r="K514" i="1"/>
  <c r="K535" i="1" s="1"/>
  <c r="H514" i="1"/>
  <c r="H535" i="1" s="1"/>
  <c r="G519" i="1"/>
  <c r="G535" i="1" s="1"/>
  <c r="F19" i="2"/>
  <c r="J524" i="1"/>
  <c r="J514" i="1"/>
  <c r="J535" i="1" s="1"/>
  <c r="I519" i="1"/>
  <c r="G151" i="2"/>
  <c r="C153" i="2"/>
  <c r="B153" i="2"/>
  <c r="D153" i="2"/>
  <c r="G155" i="2"/>
  <c r="C129" i="2"/>
  <c r="E83" i="2"/>
  <c r="F70" i="2"/>
  <c r="F32" i="2"/>
  <c r="K354" i="1"/>
  <c r="F354" i="1"/>
  <c r="H361" i="1"/>
  <c r="F514" i="1"/>
  <c r="F524" i="1"/>
  <c r="H524" i="1"/>
  <c r="K524" i="1"/>
  <c r="I514" i="1"/>
  <c r="I524" i="1"/>
  <c r="I535" i="1" s="1"/>
  <c r="J519" i="1"/>
  <c r="F519" i="1"/>
  <c r="G514" i="1"/>
  <c r="G524" i="1"/>
  <c r="H519" i="1"/>
  <c r="K519" i="1"/>
  <c r="F29" i="13"/>
  <c r="J354" i="1"/>
  <c r="G29" i="13"/>
  <c r="G361" i="1"/>
  <c r="C40" i="12"/>
  <c r="B40" i="12"/>
  <c r="C31" i="12"/>
  <c r="B22" i="12"/>
  <c r="C22" i="12"/>
  <c r="C37" i="10"/>
  <c r="G561" i="1"/>
  <c r="L555" i="1"/>
  <c r="D156" i="2"/>
  <c r="C156" i="2"/>
  <c r="B156" i="2"/>
  <c r="G156" i="2" s="1"/>
  <c r="C128" i="2"/>
  <c r="C127" i="2"/>
  <c r="B31" i="12"/>
  <c r="G17" i="13"/>
  <c r="C36" i="12"/>
  <c r="G18" i="13"/>
  <c r="F17" i="13"/>
  <c r="D17" i="13"/>
  <c r="C17" i="13" s="1"/>
  <c r="C13" i="12"/>
  <c r="G15" i="13"/>
  <c r="G7" i="13"/>
  <c r="B13" i="12"/>
  <c r="G282" i="1"/>
  <c r="G330" i="1" s="1"/>
  <c r="G344" i="1" s="1"/>
  <c r="G301" i="1"/>
  <c r="I301" i="1"/>
  <c r="K282" i="1"/>
  <c r="K301" i="1"/>
  <c r="I320" i="1"/>
  <c r="I330" i="1" s="1"/>
  <c r="I344" i="1" s="1"/>
  <c r="H301" i="1"/>
  <c r="K320" i="1"/>
  <c r="K330" i="1" s="1"/>
  <c r="K344" i="1" s="1"/>
  <c r="G320" i="1"/>
  <c r="H320" i="1"/>
  <c r="H282" i="1"/>
  <c r="I282" i="1"/>
  <c r="C27" i="12"/>
  <c r="A31" i="12" s="1"/>
  <c r="I221" i="1"/>
  <c r="G19" i="13"/>
  <c r="D19" i="13" s="1"/>
  <c r="C19" i="13" s="1"/>
  <c r="G14" i="13"/>
  <c r="F18" i="13"/>
  <c r="F16" i="13"/>
  <c r="F13" i="13"/>
  <c r="F14" i="13"/>
  <c r="H203" i="1"/>
  <c r="K221" i="1"/>
  <c r="I203" i="1"/>
  <c r="I249" i="1" s="1"/>
  <c r="I263" i="1" s="1"/>
  <c r="B9" i="12"/>
  <c r="A13" i="12" s="1"/>
  <c r="G221" i="1"/>
  <c r="I239" i="1"/>
  <c r="H239" i="1"/>
  <c r="H249" i="1" s="1"/>
  <c r="H263" i="1" s="1"/>
  <c r="G13" i="13"/>
  <c r="C123" i="2"/>
  <c r="H221" i="1"/>
  <c r="C18" i="12"/>
  <c r="G6" i="13"/>
  <c r="G12" i="13"/>
  <c r="G8" i="13"/>
  <c r="B18" i="12"/>
  <c r="A22" i="12" s="1"/>
  <c r="F5" i="13"/>
  <c r="F12" i="13"/>
  <c r="C25" i="10"/>
  <c r="C124" i="2"/>
  <c r="F221" i="1"/>
  <c r="F8" i="13"/>
  <c r="F239" i="1"/>
  <c r="F301" i="1"/>
  <c r="K343" i="1"/>
  <c r="E126" i="2"/>
  <c r="F320" i="1"/>
  <c r="F282" i="1"/>
  <c r="F330" i="1" s="1"/>
  <c r="F344" i="1" s="1"/>
  <c r="E117" i="2"/>
  <c r="C105" i="2"/>
  <c r="K203" i="1"/>
  <c r="B27" i="12"/>
  <c r="F203" i="1"/>
  <c r="F249" i="1"/>
  <c r="F263" i="1"/>
  <c r="C9" i="12"/>
  <c r="G239" i="1"/>
  <c r="C104" i="2"/>
  <c r="B36" i="12"/>
  <c r="A40" i="12" s="1"/>
  <c r="J595" i="1"/>
  <c r="C102" i="2"/>
  <c r="C122" i="2"/>
  <c r="F7" i="13"/>
  <c r="F15" i="13"/>
  <c r="G203" i="1"/>
  <c r="G249" i="1"/>
  <c r="G263" i="1"/>
  <c r="F6" i="13"/>
  <c r="G16" i="13"/>
  <c r="I595" i="1"/>
  <c r="G653" i="1"/>
  <c r="E105" i="2"/>
  <c r="C23" i="10"/>
  <c r="H652" i="1"/>
  <c r="H595" i="1"/>
  <c r="H653" i="1"/>
  <c r="C21" i="10"/>
  <c r="E114" i="2"/>
  <c r="G652" i="1"/>
  <c r="F651" i="1"/>
  <c r="G354" i="1"/>
  <c r="F19" i="13"/>
  <c r="D15" i="13"/>
  <c r="C15" i="13"/>
  <c r="F652" i="1"/>
  <c r="I652" i="1" s="1"/>
  <c r="D18" i="13"/>
  <c r="C18" i="13" s="1"/>
  <c r="C106" i="2"/>
  <c r="F653" i="1"/>
  <c r="I653" i="1" s="1"/>
  <c r="C101" i="2"/>
  <c r="K239" i="1"/>
  <c r="G5" i="13"/>
  <c r="G33" i="13" s="1"/>
  <c r="F561" i="1"/>
  <c r="K490" i="1"/>
  <c r="G40" i="2"/>
  <c r="C117" i="2"/>
  <c r="C110" i="2"/>
  <c r="E70" i="2"/>
  <c r="E73" i="2" s="1"/>
  <c r="C103" i="2"/>
  <c r="C107" i="2"/>
  <c r="C12" i="10"/>
  <c r="E110" i="2"/>
  <c r="E112" i="2"/>
  <c r="E113" i="2"/>
  <c r="E115" i="2"/>
  <c r="G31" i="13"/>
  <c r="J263" i="1"/>
  <c r="H330" i="1"/>
  <c r="H344" i="1"/>
  <c r="E103" i="2"/>
  <c r="E122" i="2"/>
  <c r="F22" i="13"/>
  <c r="C22" i="13" s="1"/>
  <c r="L425" i="1"/>
  <c r="K493" i="1"/>
  <c r="E120" i="2" l="1"/>
  <c r="L330" i="1"/>
  <c r="L344" i="1" s="1"/>
  <c r="G623" i="1" s="1"/>
  <c r="J623" i="1" s="1"/>
  <c r="D31" i="13"/>
  <c r="C31" i="13" s="1"/>
  <c r="C96" i="2"/>
  <c r="I651" i="1"/>
  <c r="G635" i="1"/>
  <c r="J635" i="1" s="1"/>
  <c r="J184" i="1"/>
  <c r="G153" i="2"/>
  <c r="C25" i="13"/>
  <c r="H33" i="13"/>
  <c r="K541" i="1"/>
  <c r="E107" i="2"/>
  <c r="E137" i="2" s="1"/>
  <c r="J43" i="1"/>
  <c r="G36" i="2"/>
  <c r="G42" i="2" s="1"/>
  <c r="G9" i="2"/>
  <c r="G19" i="2" s="1"/>
  <c r="J19" i="1"/>
  <c r="G611" i="1" s="1"/>
  <c r="J185" i="1"/>
  <c r="I451" i="1"/>
  <c r="H632" i="1" s="1"/>
  <c r="F542" i="1"/>
  <c r="K539" i="1"/>
  <c r="L249" i="1"/>
  <c r="L263" i="1" s="1"/>
  <c r="F650" i="1"/>
  <c r="G55" i="2"/>
  <c r="J607" i="1"/>
  <c r="J629" i="1"/>
  <c r="C130" i="2"/>
  <c r="J614" i="1"/>
  <c r="J613" i="1"/>
  <c r="H638" i="1"/>
  <c r="J638" i="1" s="1"/>
  <c r="F185" i="1"/>
  <c r="G617" i="1" s="1"/>
  <c r="J617" i="1" s="1"/>
  <c r="F96" i="2"/>
  <c r="G22" i="2"/>
  <c r="G32" i="2" s="1"/>
  <c r="J33" i="1"/>
  <c r="L426" i="1"/>
  <c r="G628" i="1" s="1"/>
  <c r="J628" i="1" s="1"/>
  <c r="H654" i="1"/>
  <c r="L561" i="1"/>
  <c r="C38" i="10"/>
  <c r="H185" i="1"/>
  <c r="G619" i="1" s="1"/>
  <c r="J619" i="1" s="1"/>
  <c r="C10" i="10"/>
  <c r="C112" i="2"/>
  <c r="C120" i="2" s="1"/>
  <c r="C113" i="2"/>
  <c r="L514" i="1"/>
  <c r="I104" i="1"/>
  <c r="I185" i="1" s="1"/>
  <c r="G620" i="1" s="1"/>
  <c r="J620" i="1" s="1"/>
  <c r="I438" i="1"/>
  <c r="G632" i="1" s="1"/>
  <c r="J632" i="1" s="1"/>
  <c r="E8" i="13"/>
  <c r="C15" i="10"/>
  <c r="L519" i="1"/>
  <c r="L392" i="1"/>
  <c r="L393" i="1" s="1"/>
  <c r="G625" i="1"/>
  <c r="J625" i="1" s="1"/>
  <c r="C35" i="10"/>
  <c r="D7" i="13"/>
  <c r="C7" i="13" s="1"/>
  <c r="C18" i="10"/>
  <c r="F122" i="2"/>
  <c r="F136" i="2" s="1"/>
  <c r="F137" i="2" s="1"/>
  <c r="C20" i="10"/>
  <c r="G645" i="1"/>
  <c r="J645" i="1" s="1"/>
  <c r="L301" i="1"/>
  <c r="G650" i="1" s="1"/>
  <c r="G654" i="1" s="1"/>
  <c r="D14" i="13"/>
  <c r="C14" i="13" s="1"/>
  <c r="D5" i="13"/>
  <c r="D119" i="2"/>
  <c r="D120" i="2" s="1"/>
  <c r="D137" i="2" s="1"/>
  <c r="C116" i="2"/>
  <c r="E48" i="2"/>
  <c r="E55" i="2" s="1"/>
  <c r="E96" i="2" s="1"/>
  <c r="C19" i="10"/>
  <c r="D29" i="13"/>
  <c r="C29" i="13" s="1"/>
  <c r="C16" i="10"/>
  <c r="C32" i="10"/>
  <c r="G44" i="1"/>
  <c r="H608" i="1" s="1"/>
  <c r="J608" i="1" s="1"/>
  <c r="F31" i="13"/>
  <c r="F33" i="13" s="1"/>
  <c r="C114" i="2"/>
  <c r="G88" i="2"/>
  <c r="G95" i="2" s="1"/>
  <c r="C17" i="10"/>
  <c r="C131" i="2" l="1"/>
  <c r="L400" i="1"/>
  <c r="G657" i="1"/>
  <c r="G662" i="1"/>
  <c r="C5" i="10" s="1"/>
  <c r="I650" i="1"/>
  <c r="I654" i="1" s="1"/>
  <c r="F654" i="1"/>
  <c r="G616" i="1"/>
  <c r="J44" i="1"/>
  <c r="H611" i="1" s="1"/>
  <c r="J611" i="1" s="1"/>
  <c r="L535" i="1"/>
  <c r="G96" i="2"/>
  <c r="C36" i="10"/>
  <c r="C41" i="10"/>
  <c r="C28" i="10"/>
  <c r="D20" i="10" s="1"/>
  <c r="D10" i="10"/>
  <c r="K542" i="1"/>
  <c r="F462" i="1"/>
  <c r="G622" i="1"/>
  <c r="D38" i="10"/>
  <c r="G621" i="1"/>
  <c r="J621" i="1" s="1"/>
  <c r="G636" i="1"/>
  <c r="D17" i="10"/>
  <c r="D33" i="13"/>
  <c r="D36" i="13" s="1"/>
  <c r="C5" i="13"/>
  <c r="D15" i="10"/>
  <c r="D18" i="10"/>
  <c r="E33" i="13"/>
  <c r="D35" i="13" s="1"/>
  <c r="C8" i="13"/>
  <c r="C133" i="2"/>
  <c r="C136" i="2" s="1"/>
  <c r="C137" i="2" s="1"/>
  <c r="H662" i="1"/>
  <c r="C6" i="10" s="1"/>
  <c r="H657" i="1"/>
  <c r="G43" i="2"/>
  <c r="J616" i="1" l="1"/>
  <c r="H622" i="1"/>
  <c r="F464" i="1"/>
  <c r="F466" i="1" s="1"/>
  <c r="H612" i="1" s="1"/>
  <c r="J612" i="1" s="1"/>
  <c r="J622" i="1"/>
  <c r="F657" i="1"/>
  <c r="F662" i="1"/>
  <c r="C4" i="10" s="1"/>
  <c r="I657" i="1"/>
  <c r="I662" i="1"/>
  <c r="C7" i="10" s="1"/>
  <c r="D22" i="10"/>
  <c r="C30" i="10"/>
  <c r="D25" i="10"/>
  <c r="D23" i="10"/>
  <c r="D26" i="10"/>
  <c r="D24" i="10"/>
  <c r="D11" i="10"/>
  <c r="D13" i="10"/>
  <c r="D21" i="10"/>
  <c r="D27" i="10"/>
  <c r="D12" i="10"/>
  <c r="D28" i="10" s="1"/>
  <c r="D40" i="10"/>
  <c r="D37" i="10"/>
  <c r="D39" i="10"/>
  <c r="D35" i="10"/>
  <c r="D36" i="10"/>
  <c r="G627" i="1"/>
  <c r="J627" i="1" s="1"/>
  <c r="H636" i="1"/>
  <c r="J636" i="1" s="1"/>
  <c r="D16" i="10"/>
  <c r="D19" i="10"/>
  <c r="H646" i="1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A53" authorId="0" shapeId="0" xr:uid="{54790083-2AC2-47DD-A362-E5F6621D859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30F34EE-CD76-4152-8E39-26A90B7CF95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45EC938-02B4-4B33-BBF5-F58C7FE5D9B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16BE92E-D97D-468C-A2A3-12A7E556BF42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A481" authorId="0" shapeId="0" xr:uid="{1C0F44A8-1C51-41F2-AFFE-BEA36A64B72C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10D8275-B1F1-4F2B-86EC-49996816774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BF5E178D-A8F7-449B-BBE9-DA754A4C9D88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72EC900-0021-4E14-9888-44087261C85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<sst xmlns="http://schemas.openxmlformats.org/spreadsheetml/2006/main" count="3876" uniqueCount="908">
  <si>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</si>
  <si>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</si>
  <si>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</si>
  <si>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</si>
  <si>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</si>
  <si>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</si>
  <si>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</si>
  <si>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</si>
  <si>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</si>
  <si>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</si>
  <si>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</si>
  <si>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</si>
  <si>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</si>
  <si>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</si>
  <si>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</si>
  <si>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</si>
  <si>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</si>
  <si>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</si>
  <si>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</si>
  <si>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</si>
  <si>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</si>
  <si>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</si>
  <si>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</si>
  <si>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</si>
  <si>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</si>
  <si>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</si>
  <si>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</si>
  <si>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</si>
  <si>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</si>
  <si>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</si>
  <si>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</si>
  <si>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</si>
  <si>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</si>
  <si>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</si>
  <si>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</si>
  <si>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</si>
  <si>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</si>
  <si>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</si>
  <si>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</si>
  <si>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</si>
  <si>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</si>
  <si>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</si>
  <si>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</si>
  <si>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</si>
  <si>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</si>
  <si>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</si>
  <si>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</si>
  <si>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</si>
  <si>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</si>
  <si>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</si>
  <si>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</si>
  <si>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</si>
  <si>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</si>
  <si>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</si>
  <si>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</si>
  <si>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</si>
  <si>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</si>
  <si>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</si>
  <si>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</si>
  <si>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</si>
  <si>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</si>
  <si>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</si>
  <si>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</si>
  <si>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</si>
  <si>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</si>
  <si>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</si>
  <si>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</si>
  <si>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</si>
  <si>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</si>
  <si>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</si>
  <si>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</si>
  <si>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</si>
  <si>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</si>
  <si>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</si>
  <si>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</si>
  <si>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</si>
  <si>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</si>
  <si>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</si>
  <si>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</si>
  <si>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</si>
  <si>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</si>
  <si>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</si>
  <si>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</si>
  <si>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</si>
  <si>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</si>
  <si>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</si>
  <si>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</si>
  <si>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</si>
  <si>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</si>
  <si>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</si>
  <si>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</si>
  <si>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</si>
  <si>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</si>
  <si>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</si>
  <si>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</si>
  <si>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</si>
  <si>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</si>
  <si>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</si>
  <si>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</si>
  <si>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</si>
  <si>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</si>
  <si>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</si>
  <si>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</si>
  <si>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</si>
  <si>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</si>
  <si>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</si>
  <si>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</si>
  <si>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</si>
  <si>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</si>
  <si>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</si>
  <si>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</si>
  <si>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</si>
  <si>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</si>
  <si>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</si>
  <si>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</si>
  <si>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</si>
  <si>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</si>
  <si>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</si>
  <si>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</si>
  <si>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</si>
  <si>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</si>
  <si>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</si>
  <si>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</si>
  <si>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</si>
  <si>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</si>
  <si>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</si>
  <si>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</si>
  <si>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</si>
  <si>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</si>
  <si>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</si>
  <si>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</si>
  <si>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</si>
  <si>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</si>
  <si>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</si>
  <si>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</si>
  <si>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</si>
  <si>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</si>
  <si>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</si>
  <si>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</si>
  <si>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</si>
  <si>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</si>
  <si>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</si>
  <si>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</si>
  <si>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</si>
  <si>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</si>
  <si>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</si>
  <si>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</si>
  <si>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</si>
  <si>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</si>
  <si>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</si>
  <si>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</si>
  <si>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</si>
  <si>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</si>
  <si>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</si>
  <si>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</si>
  <si>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</si>
  <si>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</si>
  <si>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</si>
  <si>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</si>
  <si>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</si>
  <si>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</si>
  <si>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</si>
  <si>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</si>
  <si>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</si>
  <si>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</si>
  <si>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</si>
  <si>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</si>
  <si>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</si>
  <si>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</si>
  <si>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</si>
  <si>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</si>
  <si>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</si>
  <si>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</si>
  <si>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</si>
  <si>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</si>
  <si>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</si>
  <si>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</si>
  <si>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</si>
  <si>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</si>
  <si>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</si>
  <si>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</si>
  <si>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</si>
  <si>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</si>
  <si>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</si>
  <si>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</si>
  <si>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</si>
  <si>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</si>
  <si>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</si>
  <si>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</si>
  <si>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</si>
  <si>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</si>
  <si>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</si>
  <si>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</si>
  <si>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</si>
  <si>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</si>
  <si>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</si>
  <si>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</si>
  <si>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</si>
  <si>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</si>
  <si>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</si>
  <si>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</si>
  <si>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</si>
  <si>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</si>
  <si>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</si>
  <si>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</si>
  <si>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</si>
  <si>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</si>
  <si>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</si>
  <si>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</si>
  <si>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</si>
  <si>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</si>
  <si>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</si>
  <si>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</si>
  <si>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</si>
  <si>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</si>
  <si>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</si>
  <si>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</si>
  <si>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</si>
  <si>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</si>
  <si>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</si>
  <si>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</si>
  <si>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</si>
  <si>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</si>
  <si>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</si>
  <si>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</si>
  <si>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</si>
  <si>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</si>
  <si>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</si>
  <si>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</si>
  <si>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</si>
  <si>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</si>
  <si>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</si>
  <si>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</si>
  <si>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</si>
  <si>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</si>
  <si>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</si>
  <si>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</si>
  <si>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</si>
  <si>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</si>
  <si>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</si>
  <si>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</si>
  <si>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</si>
  <si>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</si>
  <si>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</si>
  <si>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</si>
  <si>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</si>
  <si>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</si>
  <si>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</si>
  <si>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</si>
  <si>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</si>
  <si>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</si>
  <si>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</si>
  <si>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</si>
  <si>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</si>
  <si>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</si>
  <si>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</si>
  <si>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</si>
  <si>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</si>
  <si>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</si>
  <si>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</si>
  <si>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</si>
  <si>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</si>
  <si>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</si>
  <si>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</si>
  <si>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</si>
  <si>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</si>
  <si>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</si>
  <si>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</si>
  <si>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</si>
  <si>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</si>
  <si>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</si>
  <si>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</si>
  <si>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</si>
  <si>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</si>
  <si>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</si>
  <si>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</si>
  <si>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</si>
  <si>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</si>
  <si>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</si>
  <si>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</si>
  <si>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</si>
  <si>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</si>
  <si>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</si>
  <si>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</si>
  <si>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</si>
  <si>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</si>
  <si>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</si>
  <si>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</si>
  <si>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</si>
  <si>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</si>
  <si>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</si>
  <si>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</si>
  <si>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</si>
  <si>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</si>
  <si>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</si>
  <si>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</si>
  <si>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</si>
  <si>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</si>
  <si>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</si>
  <si>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</si>
  <si>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</si>
  <si>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</si>
  <si>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</si>
  <si>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</si>
  <si>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</si>
  <si>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</si>
  <si>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</si>
  <si>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</si>
  <si>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</si>
  <si>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</si>
  <si>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</si>
  <si>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</si>
  <si>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</si>
  <si>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</si>
  <si>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</si>
  <si>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</si>
  <si>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</si>
  <si>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</si>
  <si>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</si>
  <si>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</si>
  <si>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</si>
  <si>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</si>
  <si>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</si>
  <si>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</si>
  <si>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</si>
  <si>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</si>
  <si>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</si>
  <si>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</si>
  <si>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</si>
  <si>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</si>
  <si>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</si>
  <si>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</si>
  <si>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</si>
  <si>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</si>
  <si>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</si>
  <si>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</si>
  <si>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</si>
  <si>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</si>
  <si>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</si>
  <si>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</si>
  <si>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</si>
  <si>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</si>
  <si>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</si>
  <si>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</si>
  <si>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</si>
  <si>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</si>
  <si>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</si>
  <si>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</si>
  <si>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</si>
  <si>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</si>
  <si>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</si>
  <si>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</si>
  <si>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</si>
  <si>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</si>
  <si>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</si>
  <si>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</si>
  <si>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</si>
  <si>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</si>
  <si>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</si>
  <si>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</si>
  <si>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</si>
  <si>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</si>
  <si>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</si>
  <si>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</si>
  <si>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</si>
  <si>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</si>
  <si>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</si>
  <si>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</si>
  <si>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</si>
  <si>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</si>
  <si>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</si>
  <si>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</si>
  <si>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</si>
  <si>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</si>
  <si>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</si>
  <si>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</si>
  <si>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</si>
  <si>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</si>
  <si>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</si>
  <si>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</si>
  <si>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</si>
  <si>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</si>
  <si>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</si>
  <si>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</si>
  <si>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</si>
  <si>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</si>
  <si>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</si>
  <si>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</si>
  <si>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</si>
  <si>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</si>
  <si>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</si>
  <si>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</si>
  <si>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</si>
  <si>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</si>
  <si>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</si>
  <si>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</si>
  <si>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</si>
  <si>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</si>
  <si>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</si>
  <si>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</si>
  <si>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</si>
  <si>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</si>
  <si>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</si>
  <si>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</si>
  <si>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</si>
  <si>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</si>
  <si>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</si>
  <si>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</si>
  <si>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</si>
  <si>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</si>
  <si>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</si>
  <si>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</si>
  <si>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</si>
  <si>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</si>
  <si>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</si>
  <si>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</si>
  <si>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</si>
  <si>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</si>
  <si>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</si>
  <si>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</si>
  <si>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</si>
  <si>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</si>
  <si>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</si>
  <si>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</si>
  <si>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</si>
  <si>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</si>
  <si>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</si>
  <si>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</si>
  <si>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</si>
  <si>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</si>
  <si>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</si>
  <si>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</si>
  <si>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</si>
  <si>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</si>
  <si>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</si>
  <si>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</si>
  <si>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</si>
  <si>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</si>
  <si>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</si>
  <si>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</si>
  <si>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</si>
  <si>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</si>
  <si>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</si>
  <si>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</si>
  <si>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</si>
  <si>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</si>
  <si>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</si>
  <si>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</si>
  <si>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</si>
  <si>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</si>
  <si>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</si>
  <si>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</si>
  <si>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</si>
  <si>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</si>
  <si>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</si>
  <si>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</si>
  <si>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</si>
  <si>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</si>
  <si>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</si>
  <si>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</si>
  <si>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</si>
  <si>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</si>
  <si>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</si>
  <si>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</si>
  <si>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</si>
  <si>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</si>
  <si>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</si>
  <si>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</si>
  <si>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</si>
  <si>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</si>
  <si>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</si>
  <si>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</si>
  <si>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</si>
  <si>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</si>
  <si>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</si>
  <si>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</si>
  <si>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</si>
  <si>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</si>
  <si>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</si>
  <si>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</si>
  <si>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</si>
  <si>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</si>
  <si>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</si>
  <si>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</si>
  <si>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</si>
  <si>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</si>
  <si>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</si>
  <si>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</si>
  <si>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</si>
  <si>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</si>
  <si>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</si>
  <si>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</si>
  <si>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</si>
  <si>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</si>
  <si>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</si>
  <si>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</si>
  <si>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</si>
  <si>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</si>
  <si>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</si>
  <si>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</si>
  <si>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</si>
  <si>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</si>
  <si>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</si>
  <si>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</si>
  <si>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</si>
  <si>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</si>
  <si>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</si>
  <si>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</si>
  <si>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</si>
  <si>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</si>
  <si>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</si>
  <si>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</si>
  <si>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</si>
  <si>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</si>
  <si>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</si>
  <si>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</si>
  <si>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</si>
  <si>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</si>
  <si>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</si>
  <si>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</si>
  <si>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</si>
  <si>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</si>
  <si>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</si>
  <si>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</si>
  <si>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</si>
  <si>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</si>
  <si>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</si>
  <si>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</si>
  <si>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</si>
  <si>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</si>
  <si>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</si>
  <si>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</si>
  <si>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</si>
  <si>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</si>
  <si>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</si>
  <si>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</si>
  <si>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</si>
  <si>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</si>
  <si>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</si>
  <si>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</si>
  <si>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</si>
  <si>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</si>
  <si>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</si>
  <si>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</si>
  <si>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</si>
  <si>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</si>
  <si>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</si>
  <si>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</si>
  <si>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</si>
  <si>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</si>
  <si>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</si>
  <si>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</si>
  <si>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</si>
  <si>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</si>
  <si>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</si>
  <si>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</si>
  <si>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</si>
  <si>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</si>
  <si>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</si>
  <si>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</si>
  <si>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</si>
  <si>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</si>
  <si>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</si>
  <si>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</si>
  <si>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</si>
  <si>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</si>
  <si>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</si>
  <si>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</si>
  <si>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</si>
  <si>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</si>
  <si>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</si>
  <si>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</si>
  <si>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</si>
  <si>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</si>
  <si>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</si>
  <si>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</si>
  <si>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</si>
  <si>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</si>
  <si>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</si>
  <si>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</si>
  <si>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</si>
  <si>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</si>
  <si>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</si>
  <si>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</si>
  <si>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</si>
  <si>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</si>
  <si>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</si>
  <si>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</si>
  <si>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</si>
  <si>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</si>
  <si>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</si>
  <si>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</si>
  <si>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</si>
  <si>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</si>
  <si>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</si>
  <si>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</si>
  <si>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</si>
  <si>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</si>
  <si>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</si>
  <si>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</si>
  <si>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</si>
  <si>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</si>
  <si>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</si>
  <si>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</si>
  <si>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</si>
  <si>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</si>
  <si>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</si>
  <si>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</si>
  <si>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</si>
  <si>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</si>
  <si>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</si>
  <si>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</si>
  <si>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</si>
  <si>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</si>
  <si>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</si>
  <si>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</si>
  <si>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</si>
  <si>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</si>
  <si>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</si>
  <si>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</si>
  <si>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</si>
  <si>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</si>
  <si>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</si>
  <si>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</si>
  <si>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</si>
  <si>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</si>
  <si>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</si>
  <si>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</si>
  <si>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</si>
  <si>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</si>
  <si>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</si>
  <si>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</si>
  <si>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</si>
  <si>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</si>
  <si>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</si>
  <si>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</si>
  <si>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</si>
  <si>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</si>
  <si>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</si>
  <si>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</si>
  <si>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</si>
  <si>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</si>
  <si>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</si>
  <si>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</si>
  <si>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</si>
  <si>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</si>
  <si>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</si>
  <si>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</si>
  <si>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</si>
  <si>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</si>
  <si>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</si>
  <si>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</si>
  <si>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</si>
  <si>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</si>
  <si>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</si>
  <si>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</si>
  <si>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</si>
  <si>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</si>
  <si>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</si>
  <si>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</si>
  <si>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</si>
  <si>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</si>
  <si>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</si>
  <si>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</si>
  <si>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</si>
  <si>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</si>
  <si>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</si>
  <si>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</si>
  <si>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</si>
  <si>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</si>
  <si>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</si>
  <si>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</si>
  <si>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</si>
  <si>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</si>
  <si>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</si>
  <si>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</si>
  <si>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</si>
  <si>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</si>
  <si>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</si>
  <si>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</si>
  <si>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</si>
  <si>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</si>
  <si>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</si>
  <si>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</si>
  <si>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</si>
  <si>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</si>
  <si>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</si>
  <si>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</si>
  <si>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</si>
  <si>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</si>
  <si>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</si>
  <si>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</si>
  <si>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</si>
  <si>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</si>
  <si>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</si>
  <si>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</si>
  <si>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</si>
  <si>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</si>
  <si>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</si>
  <si>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</si>
  <si>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</si>
  <si>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</si>
  <si>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</si>
  <si>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</si>
  <si>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</si>
  <si>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</si>
  <si>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</si>
  <si>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</si>
  <si>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</si>
  <si>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</si>
  <si>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</si>
  <si>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</si>
  <si>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</si>
  <si>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</si>
  <si>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</si>
  <si>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</si>
  <si>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</si>
  <si>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</si>
  <si>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</si>
  <si>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</si>
  <si>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</si>
  <si>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</si>
  <si>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</si>
  <si>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</si>
  <si>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</si>
  <si>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</si>
  <si>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</si>
  <si>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</si>
  <si>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</si>
  <si>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</si>
  <si>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</si>
  <si>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</si>
  <si>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</si>
  <si>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</si>
  <si>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</si>
  <si>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</si>
  <si>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</si>
  <si>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</si>
  <si>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</si>
  <si>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</si>
  <si>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</si>
  <si>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</si>
  <si>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</si>
  <si>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</si>
  <si>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</si>
  <si>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</si>
  <si>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</si>
  <si>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</si>
  <si>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</si>
  <si>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</si>
  <si>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</si>
  <si>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</si>
  <si>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</si>
  <si>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</si>
  <si>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</si>
  <si>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</si>
  <si>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</si>
  <si>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</si>
  <si>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</si>
  <si>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</si>
  <si>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</si>
  <si>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</si>
  <si>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</si>
  <si>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</si>
  <si>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</si>
  <si>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</si>
  <si>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</si>
  <si>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</si>
  <si>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</si>
  <si>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</si>
  <si>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</si>
  <si>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</si>
  <si>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</si>
  <si>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</si>
  <si>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</si>
  <si>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</si>
  <si>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</si>
  <si>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</si>
  <si>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</si>
  <si>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</si>
  <si>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</si>
  <si>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</si>
  <si>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</si>
  <si>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</si>
  <si>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</si>
  <si>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</si>
  <si>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</si>
  <si>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</si>
  <si>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</si>
  <si>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</si>
  <si>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</si>
  <si>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</si>
  <si>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</si>
  <si>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</si>
  <si>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</si>
  <si>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</si>
  <si>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</si>
  <si>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</si>
  <si>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</si>
  <si>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</si>
  <si>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</si>
  <si>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</si>
  <si>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</si>
  <si>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</si>
  <si>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</si>
  <si>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</si>
  <si>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</si>
  <si>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</si>
  <si>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</si>
  <si>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</si>
  <si>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</si>
  <si>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</si>
  <si>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</si>
  <si>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</si>
  <si>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</si>
  <si>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</si>
  <si>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</si>
  <si>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</si>
  <si>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</si>
  <si>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</si>
  <si>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</si>
  <si>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</si>
  <si>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</si>
  <si>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</si>
  <si>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</si>
  <si>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</si>
  <si>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</si>
  <si>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</si>
  <si>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</si>
  <si>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</si>
  <si>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</si>
  <si>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</si>
  <si>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</si>
  <si>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</si>
  <si>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</si>
  <si>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</si>
  <si>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</si>
  <si>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</si>
  <si>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</si>
  <si>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</si>
  <si>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</si>
  <si>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</si>
  <si>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</si>
  <si>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</si>
  <si>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</si>
  <si>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</si>
  <si>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</si>
  <si>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</si>
  <si>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</si>
  <si>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</si>
  <si>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</si>
  <si>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</si>
  <si>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</si>
  <si>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</si>
  <si>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</si>
  <si>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</si>
  <si>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</si>
  <si>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</si>
  <si>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</si>
  <si>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</si>
  <si>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</si>
  <si>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</si>
  <si>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</si>
  <si>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</si>
  <si>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</si>
  <si>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</si>
  <si>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</si>
  <si>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</si>
  <si>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</si>
  <si>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</si>
  <si>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</si>
  <si>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</si>
  <si>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</si>
  <si>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</si>
  <si>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</si>
  <si>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</si>
  <si>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</si>
  <si>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</si>
  <si>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</si>
  <si>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</si>
  <si>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</si>
  <si>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</si>
  <si>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</si>
  <si>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</si>
  <si>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</si>
  <si>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</si>
  <si>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</si>
  <si>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</si>
  <si>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</si>
  <si>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</si>
  <si>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</si>
  <si>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</si>
  <si>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</si>
  <si>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</si>
  <si>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08/02</t>
  </si>
  <si>
    <t>06/10</t>
  </si>
  <si>
    <t>08/22</t>
  </si>
  <si>
    <t>03/27</t>
  </si>
  <si>
    <t>before Fed reimbursement</t>
  </si>
  <si>
    <t>gross</t>
  </si>
  <si>
    <t>x</t>
  </si>
  <si>
    <t>Post close transfer to CRFs</t>
  </si>
  <si>
    <t>16/14/2</t>
  </si>
  <si>
    <t>10/14/6</t>
  </si>
  <si>
    <t>18/3/2</t>
  </si>
  <si>
    <t>18/7/2</t>
  </si>
  <si>
    <t>1/12/1</t>
  </si>
  <si>
    <t>Littleton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</si>
</sst>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9045-6CCE-4B23-8A89-31CE4DF44F50}">
  <sheetPr transitionEvaluation="1" transitionEntry="1" codeName="Sheet1">
    <tabColor indexed="56"/>
  </sheetPr>
  <dimension ref="A1:AQ666"/>
  <sheetViews>
    <sheetView tabSelected="1" zoomScale="75" zoomScaleNormal="8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4" t="s">
        <v>907</v>
      </c>
      <c r="B2" s="21">
        <v>317</v>
      </c>
      <c r="C2" s="21">
        <v>317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4" t="s">
        <v>304</v>
      </c>
      <c r="G6" s="224" t="s">
        <v>305</v>
      </c>
      <c r="H6" s="224" t="s">
        <v>306</v>
      </c>
      <c r="I6" s="224" t="s">
        <v>307</v>
      </c>
      <c r="J6" s="224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4"/>
      <c r="G7" s="225"/>
      <c r="H7" s="224" t="s">
        <v>803</v>
      </c>
      <c r="I7" s="225"/>
      <c r="J7" s="225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2159494.59</v>
      </c>
      <c r="G9" s="18">
        <v>0</v>
      </c>
      <c r="H9" s="18">
        <v>0</v>
      </c>
      <c r="I9" s="18">
        <v>12654.47</v>
      </c>
      <c r="J9" s="66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SUM(I432)</f>
        <v>382210.18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30363.47</v>
      </c>
      <c r="I12" s="18">
        <v>1306778.55</v>
      </c>
      <c r="J12" s="66">
        <f>SUM(I433)</f>
        <v>72216.34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35384.019999999997</v>
      </c>
      <c r="H13" s="18">
        <v>0</v>
      </c>
      <c r="I13" s="18">
        <v>0</v>
      </c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91933.88</v>
      </c>
      <c r="G14" s="18">
        <v>639</v>
      </c>
      <c r="H14" s="18">
        <v>0</v>
      </c>
      <c r="I14" s="18">
        <v>0</v>
      </c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9178.31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2251428.4699999997</v>
      </c>
      <c r="G19" s="41">
        <f>SUM(G9:G18)</f>
        <v>45201.329999999994</v>
      </c>
      <c r="H19" s="41">
        <f>SUM(H9:H18)</f>
        <v>30363.47</v>
      </c>
      <c r="I19" s="41">
        <f>SUM(I9:I18)</f>
        <v>1319433.02</v>
      </c>
      <c r="J19" s="41">
        <f>SUM(J9:J18)</f>
        <v>454426.52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7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7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990019.37+50000+22216.34</f>
        <v>1062235.71</v>
      </c>
      <c r="G23" s="18">
        <v>21311.06</v>
      </c>
      <c r="H23" s="18">
        <v>0</v>
      </c>
      <c r="I23" s="18">
        <v>0</v>
      </c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176080.31</v>
      </c>
      <c r="G25" s="18">
        <v>158.16</v>
      </c>
      <c r="H25" s="18">
        <v>13291.38</v>
      </c>
      <c r="I25" s="18">
        <v>787429.88</v>
      </c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 t="s">
        <v>312</v>
      </c>
      <c r="H29" s="18" t="s">
        <v>312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-10384.700000000001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3741.47</v>
      </c>
      <c r="H31" s="18">
        <v>-638.98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1227931.32</v>
      </c>
      <c r="G33" s="41">
        <f>SUM(G23:G32)</f>
        <v>25210.690000000002</v>
      </c>
      <c r="H33" s="41">
        <f>SUM(H23:H32)</f>
        <v>12652.4</v>
      </c>
      <c r="I33" s="41">
        <f>SUM(I23:I32)</f>
        <v>787429.88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9178.31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45394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6050.96</v>
      </c>
      <c r="I38" s="18">
        <v>532003.14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55000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f>412331.31-50000-22216.34</f>
        <v>340114.97</v>
      </c>
      <c r="G41" s="18">
        <v>10812.33</v>
      </c>
      <c r="H41" s="18">
        <v>11660.110000000299</v>
      </c>
      <c r="I41" s="18">
        <v>0</v>
      </c>
      <c r="J41" s="13">
        <f>SUM(I449)</f>
        <v>454426.52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v>582988.18000000005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1023497.15</v>
      </c>
      <c r="G43" s="41">
        <f>SUM(G35:G42)</f>
        <v>19990.64</v>
      </c>
      <c r="H43" s="41">
        <f>SUM(H35:H42)</f>
        <v>17711.070000000298</v>
      </c>
      <c r="I43" s="41">
        <f>SUM(I35:I42)</f>
        <v>532003.14</v>
      </c>
      <c r="J43" s="41">
        <f>SUM(J35:J42)</f>
        <v>454426.52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2251428.4700000002</v>
      </c>
      <c r="G44" s="41">
        <f>G43+G33</f>
        <v>45201.33</v>
      </c>
      <c r="H44" s="41">
        <f>H43+H33</f>
        <v>30363.470000000299</v>
      </c>
      <c r="I44" s="41">
        <f>I43+I33</f>
        <v>1319433.02</v>
      </c>
      <c r="J44" s="41">
        <f>J43+J33</f>
        <v>454426.52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8388747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8388747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17030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105771.94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17900.599999999999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140702.54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8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2999.86</v>
      </c>
      <c r="G88" s="18">
        <v>0</v>
      </c>
      <c r="H88" s="18">
        <v>0</v>
      </c>
      <c r="I88" s="18">
        <v>3662.26</v>
      </c>
      <c r="J88" s="18">
        <v>1013.19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212320.38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999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46734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45804.37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49803.23</v>
      </c>
      <c r="G103" s="41">
        <f>SUM(G88:G102)</f>
        <v>212320.38</v>
      </c>
      <c r="H103" s="41">
        <f>SUM(H88:H102)</f>
        <v>46734</v>
      </c>
      <c r="I103" s="41">
        <f>SUM(I88:I102)</f>
        <v>3662.26</v>
      </c>
      <c r="J103" s="41">
        <f>SUM(J88:J102)</f>
        <v>1013.19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8579252.7699999996</v>
      </c>
      <c r="G104" s="41">
        <f>G52+G103</f>
        <v>212320.38</v>
      </c>
      <c r="H104" s="41">
        <f>H52+H71+H86+H103</f>
        <v>46734</v>
      </c>
      <c r="I104" s="41">
        <f>I52+I103</f>
        <v>3662.26</v>
      </c>
      <c r="J104" s="41">
        <f>J52+J103</f>
        <v>1013.19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3727804.58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1298798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135206.42000000001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5161809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91806.96</v>
      </c>
      <c r="G115" s="24" t="s">
        <v>312</v>
      </c>
      <c r="H115" s="24" t="s">
        <v>312</v>
      </c>
      <c r="I115" s="18">
        <v>4228246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57704.39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217633.16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19961.060000000001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4072.09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1800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388905.57</v>
      </c>
      <c r="G128" s="41">
        <f>SUM(G115:G127)</f>
        <v>4072.09</v>
      </c>
      <c r="H128" s="41">
        <f>SUM(H115:H127)</f>
        <v>0</v>
      </c>
      <c r="I128" s="41">
        <f>SUM(I115:I127)</f>
        <v>4228246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5550714.5700000003</v>
      </c>
      <c r="G132" s="41">
        <f>G113+SUM(G128:G129)</f>
        <v>4072.09</v>
      </c>
      <c r="H132" s="41">
        <f>H113+SUM(H128:H131)</f>
        <v>0</v>
      </c>
      <c r="I132" s="41">
        <f>I113+I128</f>
        <v>4228246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3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159472.71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159472.71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412973.02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155505.13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58339.89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32254.81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220374.25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294618.11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150000.75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515.70000000000005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150000.75</v>
      </c>
      <c r="G154" s="41">
        <f>SUM(G142:G153)</f>
        <v>220374.25</v>
      </c>
      <c r="H154" s="41">
        <f>SUM(H142:H153)</f>
        <v>954206.66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2091.14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311564.59999999998</v>
      </c>
      <c r="G161" s="41">
        <f>G139+G154+SUM(G155:G160)</f>
        <v>220374.25</v>
      </c>
      <c r="H161" s="41">
        <f>H139+H154+SUM(H155:H160)</f>
        <v>954206.66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3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f>50000+22216.34</f>
        <v>72216.34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72216.34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4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72216.34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5" t="s">
        <v>454</v>
      </c>
      <c r="E185" s="44"/>
      <c r="F185" s="47">
        <f>F104+F132+F161+F184</f>
        <v>14441531.939999999</v>
      </c>
      <c r="G185" s="47">
        <f>G104+G132+G161+G184</f>
        <v>436766.71999999997</v>
      </c>
      <c r="H185" s="47">
        <f>H104+H132+H161+H184</f>
        <v>1000940.66</v>
      </c>
      <c r="I185" s="47">
        <f>I104+I132+I161+I184</f>
        <v>4231908.26</v>
      </c>
      <c r="J185" s="47">
        <f>J104+J132+J184</f>
        <v>73229.53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5" t="s">
        <v>724</v>
      </c>
      <c r="G186" s="175" t="s">
        <v>725</v>
      </c>
      <c r="H186" s="175" t="s">
        <v>726</v>
      </c>
      <c r="I186" s="175" t="s">
        <v>727</v>
      </c>
      <c r="J186" s="175" t="s">
        <v>728</v>
      </c>
      <c r="K186" s="175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2014612.64</v>
      </c>
      <c r="G189" s="18">
        <v>851199.13</v>
      </c>
      <c r="H189" s="18">
        <v>175</v>
      </c>
      <c r="I189" s="18">
        <v>62379.54</v>
      </c>
      <c r="J189" s="18">
        <v>4380.3100000000004</v>
      </c>
      <c r="K189" s="18">
        <v>0</v>
      </c>
      <c r="L189" s="19">
        <f>SUM(F189:K189)</f>
        <v>2932746.62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711146.82</v>
      </c>
      <c r="G190" s="18">
        <v>292852.78999999998</v>
      </c>
      <c r="H190" s="18">
        <v>22636.09</v>
      </c>
      <c r="I190" s="18">
        <v>3935.28</v>
      </c>
      <c r="J190" s="18">
        <v>1298.1400000000001</v>
      </c>
      <c r="K190" s="18">
        <v>767.38</v>
      </c>
      <c r="L190" s="19">
        <f>SUM(F190:K190)</f>
        <v>1032636.4999999999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2231</v>
      </c>
      <c r="G192" s="18">
        <v>353.69</v>
      </c>
      <c r="H192" s="18">
        <v>0</v>
      </c>
      <c r="I192" s="18">
        <v>0</v>
      </c>
      <c r="J192" s="18">
        <v>0</v>
      </c>
      <c r="K192" s="18">
        <v>160</v>
      </c>
      <c r="L192" s="19">
        <f>SUM(F192:K192)</f>
        <v>2744.69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247619.3</v>
      </c>
      <c r="G194" s="18">
        <v>94672.19</v>
      </c>
      <c r="H194" s="18">
        <v>62781.5</v>
      </c>
      <c r="I194" s="18">
        <v>4176.0200000000004</v>
      </c>
      <c r="J194" s="18">
        <v>1263.1099999999999</v>
      </c>
      <c r="K194" s="18">
        <v>548</v>
      </c>
      <c r="L194" s="19">
        <f t="shared" ref="L194:L200" si="0">SUM(F194:K194)</f>
        <v>411060.12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24404.21</v>
      </c>
      <c r="G195" s="18">
        <v>10257.93</v>
      </c>
      <c r="H195" s="18">
        <v>2886.56</v>
      </c>
      <c r="I195" s="18">
        <v>592.54999999999995</v>
      </c>
      <c r="J195" s="18">
        <v>0</v>
      </c>
      <c r="K195" s="18">
        <v>4224.8500000000004</v>
      </c>
      <c r="L195" s="19">
        <f t="shared" si="0"/>
        <v>42366.1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142119</v>
      </c>
      <c r="G196" s="18">
        <v>44744.83</v>
      </c>
      <c r="H196" s="18">
        <v>89764.41</v>
      </c>
      <c r="I196" s="18">
        <v>4110.97</v>
      </c>
      <c r="J196" s="18">
        <v>162.5</v>
      </c>
      <c r="K196" s="18">
        <v>4910.99</v>
      </c>
      <c r="L196" s="19">
        <f t="shared" si="0"/>
        <v>285812.69999999995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244932.24</v>
      </c>
      <c r="G197" s="18">
        <v>81863.47</v>
      </c>
      <c r="H197" s="18">
        <v>4764.99</v>
      </c>
      <c r="I197" s="18">
        <v>21050.52</v>
      </c>
      <c r="J197" s="18">
        <v>4359.1099999999997</v>
      </c>
      <c r="K197" s="18">
        <v>7995.74</v>
      </c>
      <c r="L197" s="19">
        <f t="shared" si="0"/>
        <v>364966.06999999995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61476.99</v>
      </c>
      <c r="G198" s="18">
        <v>24342.240000000002</v>
      </c>
      <c r="H198" s="18">
        <v>3584.18</v>
      </c>
      <c r="I198" s="18">
        <v>422.89</v>
      </c>
      <c r="J198" s="18">
        <v>0</v>
      </c>
      <c r="K198" s="18">
        <v>165</v>
      </c>
      <c r="L198" s="19">
        <f t="shared" si="0"/>
        <v>89991.299999999988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170288.37</v>
      </c>
      <c r="G199" s="18">
        <v>109278.98</v>
      </c>
      <c r="H199" s="18">
        <v>132867.6</v>
      </c>
      <c r="I199" s="18">
        <v>129251.82</v>
      </c>
      <c r="J199" s="18">
        <v>-1675.6</v>
      </c>
      <c r="K199" s="18">
        <v>0</v>
      </c>
      <c r="L199" s="19">
        <f t="shared" si="0"/>
        <v>540011.17000000004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18559.8</v>
      </c>
      <c r="G200" s="18">
        <v>12955.03</v>
      </c>
      <c r="H200" s="18">
        <v>119332.59</v>
      </c>
      <c r="I200" s="18">
        <v>4132.34</v>
      </c>
      <c r="J200" s="18">
        <v>0</v>
      </c>
      <c r="K200" s="18">
        <v>0</v>
      </c>
      <c r="L200" s="19">
        <f t="shared" si="0"/>
        <v>154979.75999999998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58711.9</v>
      </c>
      <c r="G201" s="18">
        <v>14108.55</v>
      </c>
      <c r="H201" s="18">
        <v>57192.27</v>
      </c>
      <c r="I201" s="18">
        <v>8384.61</v>
      </c>
      <c r="J201" s="18">
        <v>17726.060000000001</v>
      </c>
      <c r="K201" s="18">
        <v>10</v>
      </c>
      <c r="L201" s="19">
        <f>SUM(F201:K201)</f>
        <v>156133.39000000001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3696102.27</v>
      </c>
      <c r="G203" s="41">
        <f t="shared" si="1"/>
        <v>1536628.8299999998</v>
      </c>
      <c r="H203" s="41">
        <f t="shared" si="1"/>
        <v>495985.18999999994</v>
      </c>
      <c r="I203" s="41">
        <f t="shared" si="1"/>
        <v>238436.54000000004</v>
      </c>
      <c r="J203" s="41">
        <f t="shared" si="1"/>
        <v>27513.63</v>
      </c>
      <c r="K203" s="41">
        <f t="shared" si="1"/>
        <v>18781.96</v>
      </c>
      <c r="L203" s="41">
        <f t="shared" si="1"/>
        <v>6013448.419999999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5" t="s">
        <v>724</v>
      </c>
      <c r="G204" s="175" t="s">
        <v>725</v>
      </c>
      <c r="H204" s="175" t="s">
        <v>726</v>
      </c>
      <c r="I204" s="175" t="s">
        <v>727</v>
      </c>
      <c r="J204" s="175" t="s">
        <v>728</v>
      </c>
      <c r="K204" s="175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508053.3</v>
      </c>
      <c r="G207" s="18">
        <v>228163.37</v>
      </c>
      <c r="H207" s="18">
        <v>255</v>
      </c>
      <c r="I207" s="18">
        <v>21849.85</v>
      </c>
      <c r="J207" s="18">
        <v>10510.58</v>
      </c>
      <c r="K207" s="18">
        <v>0</v>
      </c>
      <c r="L207" s="19">
        <f>SUM(F207:K207)</f>
        <v>768832.09999999986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230786.93</v>
      </c>
      <c r="G208" s="18">
        <v>119070.31</v>
      </c>
      <c r="H208" s="18">
        <v>36998.28</v>
      </c>
      <c r="I208" s="18">
        <v>3547.87</v>
      </c>
      <c r="J208" s="18">
        <v>862.79</v>
      </c>
      <c r="K208" s="18">
        <v>50</v>
      </c>
      <c r="L208" s="19">
        <f>SUM(F208:K208)</f>
        <v>391316.18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71697.84</v>
      </c>
      <c r="G209" s="18">
        <v>23828.32</v>
      </c>
      <c r="H209" s="18">
        <v>0</v>
      </c>
      <c r="I209" s="18">
        <v>1690.79</v>
      </c>
      <c r="J209" s="18">
        <v>0</v>
      </c>
      <c r="K209" s="18">
        <v>0</v>
      </c>
      <c r="L209" s="19">
        <f>SUM(F209:K209)</f>
        <v>97216.95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18595</v>
      </c>
      <c r="G210" s="18">
        <v>1901.62</v>
      </c>
      <c r="H210" s="18">
        <v>7145.16</v>
      </c>
      <c r="I210" s="18">
        <v>1445.66</v>
      </c>
      <c r="J210" s="18">
        <v>1653.29</v>
      </c>
      <c r="K210" s="18">
        <v>668.5</v>
      </c>
      <c r="L210" s="19">
        <f>SUM(F210:K210)</f>
        <v>31409.23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137614.26</v>
      </c>
      <c r="G212" s="18">
        <v>36735.800000000003</v>
      </c>
      <c r="H212" s="18">
        <v>15687.5</v>
      </c>
      <c r="I212" s="18">
        <v>2429.7800000000002</v>
      </c>
      <c r="J212" s="18">
        <v>438.27</v>
      </c>
      <c r="K212" s="18">
        <v>579</v>
      </c>
      <c r="L212" s="19">
        <f t="shared" ref="L212:L218" si="2">SUM(F212:K212)</f>
        <v>193484.61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1611.49</v>
      </c>
      <c r="J213" s="18">
        <v>0</v>
      </c>
      <c r="K213" s="18">
        <v>4328.82</v>
      </c>
      <c r="L213" s="19">
        <f t="shared" si="2"/>
        <v>5940.3099999999995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56847.6</v>
      </c>
      <c r="G214" s="18">
        <v>17897.93</v>
      </c>
      <c r="H214" s="18">
        <v>35905.74</v>
      </c>
      <c r="I214" s="18">
        <v>1644.38</v>
      </c>
      <c r="J214" s="18">
        <v>65</v>
      </c>
      <c r="K214" s="18">
        <v>1964.4</v>
      </c>
      <c r="L214" s="19">
        <f t="shared" si="2"/>
        <v>114325.04999999999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70661.05</v>
      </c>
      <c r="G215" s="18">
        <v>28556.93</v>
      </c>
      <c r="H215" s="18">
        <v>805.2</v>
      </c>
      <c r="I215" s="18">
        <v>5666.45</v>
      </c>
      <c r="J215" s="18">
        <v>0</v>
      </c>
      <c r="K215" s="18">
        <v>1213.25</v>
      </c>
      <c r="L215" s="19">
        <f t="shared" si="2"/>
        <v>106902.88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24590.799999999999</v>
      </c>
      <c r="G216" s="18">
        <v>9736.89</v>
      </c>
      <c r="H216" s="18">
        <v>1433.67</v>
      </c>
      <c r="I216" s="18">
        <v>169.15</v>
      </c>
      <c r="J216" s="18">
        <v>0</v>
      </c>
      <c r="K216" s="18">
        <v>66</v>
      </c>
      <c r="L216" s="19">
        <f t="shared" si="2"/>
        <v>35996.51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41686.879999999997</v>
      </c>
      <c r="G217" s="18">
        <v>24496.080000000002</v>
      </c>
      <c r="H217" s="18">
        <v>11683.8</v>
      </c>
      <c r="I217" s="18">
        <v>48397.38</v>
      </c>
      <c r="J217" s="18">
        <v>4121.3999999999996</v>
      </c>
      <c r="K217" s="18">
        <v>191.53</v>
      </c>
      <c r="L217" s="19">
        <f t="shared" si="2"/>
        <v>130577.06999999998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74780.95</v>
      </c>
      <c r="I218" s="18">
        <v>0</v>
      </c>
      <c r="J218" s="18">
        <v>0</v>
      </c>
      <c r="K218" s="18">
        <v>0</v>
      </c>
      <c r="L218" s="19">
        <f t="shared" si="2"/>
        <v>74780.95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23484.76</v>
      </c>
      <c r="G219" s="18">
        <v>5643.42</v>
      </c>
      <c r="H219" s="18">
        <v>22876.9</v>
      </c>
      <c r="I219" s="18">
        <v>3353.84</v>
      </c>
      <c r="J219" s="18">
        <v>7090.42</v>
      </c>
      <c r="K219" s="18">
        <v>4</v>
      </c>
      <c r="L219" s="19">
        <f>SUM(F219:K219)</f>
        <v>62453.34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1184018.42</v>
      </c>
      <c r="G221" s="41">
        <f>SUM(G207:G220)</f>
        <v>496030.67</v>
      </c>
      <c r="H221" s="41">
        <f>SUM(H207:H220)</f>
        <v>207572.19999999998</v>
      </c>
      <c r="I221" s="41">
        <f>SUM(I207:I220)</f>
        <v>91806.639999999985</v>
      </c>
      <c r="J221" s="41">
        <f>SUM(J207:J220)</f>
        <v>24741.75</v>
      </c>
      <c r="K221" s="41">
        <f t="shared" si="3"/>
        <v>9065.5</v>
      </c>
      <c r="L221" s="41">
        <f t="shared" si="3"/>
        <v>2013235.1800000002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5" t="s">
        <v>724</v>
      </c>
      <c r="G222" s="175" t="s">
        <v>725</v>
      </c>
      <c r="H222" s="175" t="s">
        <v>726</v>
      </c>
      <c r="I222" s="175" t="s">
        <v>727</v>
      </c>
      <c r="J222" s="175" t="s">
        <v>728</v>
      </c>
      <c r="K222" s="175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998380.87</v>
      </c>
      <c r="G225" s="18">
        <v>412681.34</v>
      </c>
      <c r="H225" s="18">
        <v>27630.22</v>
      </c>
      <c r="I225" s="18">
        <v>29332.18</v>
      </c>
      <c r="J225" s="18">
        <v>7026.25</v>
      </c>
      <c r="K225" s="18">
        <v>0</v>
      </c>
      <c r="L225" s="19">
        <f>SUM(F225:K225)</f>
        <v>1475050.8599999999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421628.54</v>
      </c>
      <c r="G226" s="18">
        <v>216527.62</v>
      </c>
      <c r="H226" s="18">
        <v>336016.36</v>
      </c>
      <c r="I226" s="18">
        <v>10808.34</v>
      </c>
      <c r="J226" s="18">
        <v>0</v>
      </c>
      <c r="K226" s="18">
        <v>775</v>
      </c>
      <c r="L226" s="19">
        <f>SUM(F226:K226)</f>
        <v>985755.85999999987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654467.87</v>
      </c>
      <c r="G227" s="18">
        <v>229725.19</v>
      </c>
      <c r="H227" s="18">
        <v>26900.62</v>
      </c>
      <c r="I227" s="18">
        <v>37601.519999999997</v>
      </c>
      <c r="J227" s="18">
        <v>12386.57</v>
      </c>
      <c r="K227" s="18">
        <v>7601.31</v>
      </c>
      <c r="L227" s="19">
        <f>SUM(F227:K227)</f>
        <v>968683.08000000007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119963</v>
      </c>
      <c r="G228" s="18">
        <v>16147.09</v>
      </c>
      <c r="H228" s="18">
        <v>19314.439999999999</v>
      </c>
      <c r="I228" s="18">
        <v>4002.74</v>
      </c>
      <c r="J228" s="18">
        <v>12012.13</v>
      </c>
      <c r="K228" s="18">
        <v>10922.23</v>
      </c>
      <c r="L228" s="19">
        <f>SUM(F228:K228)</f>
        <v>182361.63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124621.21</v>
      </c>
      <c r="G230" s="18">
        <v>54408.63</v>
      </c>
      <c r="H230" s="18">
        <v>23231.200000000001</v>
      </c>
      <c r="I230" s="18">
        <v>5052.25</v>
      </c>
      <c r="J230" s="18">
        <v>159.85</v>
      </c>
      <c r="K230" s="18">
        <v>951.5</v>
      </c>
      <c r="L230" s="19">
        <f t="shared" ref="L230:L236" si="4">SUM(F230:K230)</f>
        <v>208424.64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74305</v>
      </c>
      <c r="G231" s="18">
        <v>30006.79</v>
      </c>
      <c r="H231" s="18">
        <v>140</v>
      </c>
      <c r="I231" s="18">
        <v>4400.6000000000004</v>
      </c>
      <c r="J231" s="18">
        <v>1199.3499999999999</v>
      </c>
      <c r="K231" s="18">
        <v>10801.44</v>
      </c>
      <c r="L231" s="19">
        <f t="shared" si="4"/>
        <v>120853.18000000002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85271.38</v>
      </c>
      <c r="G232" s="18">
        <v>26846.86</v>
      </c>
      <c r="H232" s="18">
        <v>53858.6</v>
      </c>
      <c r="I232" s="18">
        <v>2466.5700000000002</v>
      </c>
      <c r="J232" s="18">
        <v>97.5</v>
      </c>
      <c r="K232" s="18">
        <v>2946.58</v>
      </c>
      <c r="L232" s="19">
        <f t="shared" si="4"/>
        <v>171487.49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273906.15999999997</v>
      </c>
      <c r="G233" s="18">
        <v>85262.92</v>
      </c>
      <c r="H233" s="18">
        <v>11191.8</v>
      </c>
      <c r="I233" s="18">
        <v>13883.58</v>
      </c>
      <c r="J233" s="18">
        <v>182.6</v>
      </c>
      <c r="K233" s="18">
        <v>4814.38</v>
      </c>
      <c r="L233" s="19">
        <f t="shared" si="4"/>
        <v>389241.43999999994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36886.19</v>
      </c>
      <c r="G234" s="18">
        <v>14605.33</v>
      </c>
      <c r="H234" s="18">
        <v>2150.5</v>
      </c>
      <c r="I234" s="18">
        <v>253.73</v>
      </c>
      <c r="J234" s="18">
        <v>0</v>
      </c>
      <c r="K234" s="18">
        <v>99</v>
      </c>
      <c r="L234" s="19">
        <f t="shared" si="4"/>
        <v>53994.750000000007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199162.42</v>
      </c>
      <c r="G235" s="18">
        <v>83025.97</v>
      </c>
      <c r="H235" s="18">
        <v>106672.38</v>
      </c>
      <c r="I235" s="18">
        <v>239674.67</v>
      </c>
      <c r="J235" s="18">
        <v>6536.62</v>
      </c>
      <c r="K235" s="18">
        <v>1867.14</v>
      </c>
      <c r="L235" s="19">
        <f t="shared" si="4"/>
        <v>636939.20000000007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131770.18</v>
      </c>
      <c r="I236" s="18">
        <v>0</v>
      </c>
      <c r="J236" s="18">
        <v>0</v>
      </c>
      <c r="K236" s="18">
        <v>0</v>
      </c>
      <c r="L236" s="19">
        <f t="shared" si="4"/>
        <v>131770.18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35227.14</v>
      </c>
      <c r="G237" s="18">
        <v>8465.11</v>
      </c>
      <c r="H237" s="18">
        <v>34315.35</v>
      </c>
      <c r="I237" s="18">
        <v>5030.7700000000004</v>
      </c>
      <c r="J237" s="18">
        <v>10635.64</v>
      </c>
      <c r="K237" s="18">
        <v>6</v>
      </c>
      <c r="L237" s="19">
        <f>SUM(F237:K237)</f>
        <v>93680.010000000009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3023819.78</v>
      </c>
      <c r="G239" s="41">
        <f t="shared" si="5"/>
        <v>1177702.8500000001</v>
      </c>
      <c r="H239" s="41">
        <f t="shared" si="5"/>
        <v>773191.64999999979</v>
      </c>
      <c r="I239" s="41">
        <f t="shared" si="5"/>
        <v>352506.95000000007</v>
      </c>
      <c r="J239" s="41">
        <f t="shared" si="5"/>
        <v>50236.509999999995</v>
      </c>
      <c r="K239" s="41">
        <f t="shared" si="5"/>
        <v>40784.58</v>
      </c>
      <c r="L239" s="41">
        <f t="shared" si="5"/>
        <v>5418242.3199999994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5" t="s">
        <v>724</v>
      </c>
      <c r="G240" s="175" t="s">
        <v>725</v>
      </c>
      <c r="H240" s="175" t="s">
        <v>726</v>
      </c>
      <c r="I240" s="175" t="s">
        <v>727</v>
      </c>
      <c r="J240" s="175" t="s">
        <v>728</v>
      </c>
      <c r="K240" s="175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7903940.4699999988</v>
      </c>
      <c r="G249" s="41">
        <f t="shared" si="8"/>
        <v>3210362.3499999996</v>
      </c>
      <c r="H249" s="41">
        <f t="shared" si="8"/>
        <v>1476749.0399999996</v>
      </c>
      <c r="I249" s="41">
        <f t="shared" si="8"/>
        <v>682750.13000000012</v>
      </c>
      <c r="J249" s="41">
        <f t="shared" si="8"/>
        <v>102491.89</v>
      </c>
      <c r="K249" s="41">
        <f t="shared" si="8"/>
        <v>68632.040000000008</v>
      </c>
      <c r="L249" s="41">
        <f t="shared" si="8"/>
        <v>13444925.919999998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300000</v>
      </c>
      <c r="L252" s="19">
        <f>SUM(F252:K252)</f>
        <v>300000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317872.71000000002</v>
      </c>
      <c r="L253" s="19">
        <f>SUM(F253:K253)</f>
        <v>317872.71000000002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50000+22216.34</f>
        <v>72216.34</v>
      </c>
      <c r="L258" s="19">
        <f t="shared" si="9"/>
        <v>72216.34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690089.04999999993</v>
      </c>
      <c r="L262" s="41">
        <f t="shared" si="9"/>
        <v>690089.04999999993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7903940.4699999988</v>
      </c>
      <c r="G263" s="42">
        <f t="shared" si="11"/>
        <v>3210362.3499999996</v>
      </c>
      <c r="H263" s="42">
        <f t="shared" si="11"/>
        <v>1476749.0399999996</v>
      </c>
      <c r="I263" s="42">
        <f t="shared" si="11"/>
        <v>682750.13000000012</v>
      </c>
      <c r="J263" s="42">
        <f t="shared" si="11"/>
        <v>102491.89</v>
      </c>
      <c r="K263" s="42">
        <f t="shared" si="11"/>
        <v>758721.09</v>
      </c>
      <c r="L263" s="42">
        <f t="shared" si="11"/>
        <v>14135014.969999999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5" t="s">
        <v>724</v>
      </c>
      <c r="G265" s="175" t="s">
        <v>725</v>
      </c>
      <c r="H265" s="175" t="s">
        <v>726</v>
      </c>
      <c r="I265" s="175" t="s">
        <v>727</v>
      </c>
      <c r="J265" s="175" t="s">
        <v>728</v>
      </c>
      <c r="K265" s="175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268362.23999999999</v>
      </c>
      <c r="G268" s="18">
        <v>95432.26</v>
      </c>
      <c r="H268" s="18">
        <v>57864.04</v>
      </c>
      <c r="I268" s="18">
        <v>22914.41</v>
      </c>
      <c r="J268" s="18">
        <v>86646.12</v>
      </c>
      <c r="K268" s="18">
        <v>1114.79</v>
      </c>
      <c r="L268" s="19">
        <f>SUM(F268:K268)</f>
        <v>532333.86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204077.21</v>
      </c>
      <c r="G269" s="18">
        <v>45118.559999999998</v>
      </c>
      <c r="H269" s="18">
        <v>11296.5</v>
      </c>
      <c r="I269" s="18">
        <v>9891.9599999999991</v>
      </c>
      <c r="J269" s="18">
        <v>12355</v>
      </c>
      <c r="K269" s="18">
        <v>0</v>
      </c>
      <c r="L269" s="19">
        <f>SUM(F269:K269)</f>
        <v>282739.23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515.70000000000005</v>
      </c>
      <c r="J271" s="18">
        <v>0</v>
      </c>
      <c r="K271" s="18">
        <v>0</v>
      </c>
      <c r="L271" s="19">
        <f>SUM(F271:K271)</f>
        <v>515.70000000000005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8836.19</v>
      </c>
      <c r="I274" s="18">
        <v>0</v>
      </c>
      <c r="J274" s="18">
        <v>0</v>
      </c>
      <c r="K274" s="18">
        <v>0</v>
      </c>
      <c r="L274" s="19">
        <f t="shared" si="12"/>
        <v>8836.19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13468.1</v>
      </c>
      <c r="L275" s="19">
        <f t="shared" si="12"/>
        <v>13468.1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472439.44999999995</v>
      </c>
      <c r="G282" s="42">
        <f t="shared" si="13"/>
        <v>140550.82</v>
      </c>
      <c r="H282" s="42">
        <f t="shared" si="13"/>
        <v>77996.73000000001</v>
      </c>
      <c r="I282" s="42">
        <f t="shared" si="13"/>
        <v>33322.069999999992</v>
      </c>
      <c r="J282" s="42">
        <f t="shared" si="13"/>
        <v>99001.12</v>
      </c>
      <c r="K282" s="42">
        <f t="shared" si="13"/>
        <v>14582.89</v>
      </c>
      <c r="L282" s="41">
        <f t="shared" si="13"/>
        <v>837893.07999999984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5" t="s">
        <v>724</v>
      </c>
      <c r="G284" s="175" t="s">
        <v>725</v>
      </c>
      <c r="H284" s="175" t="s">
        <v>726</v>
      </c>
      <c r="I284" s="175" t="s">
        <v>727</v>
      </c>
      <c r="J284" s="175" t="s">
        <v>728</v>
      </c>
      <c r="K284" s="175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4740</v>
      </c>
      <c r="I288" s="18">
        <v>0</v>
      </c>
      <c r="J288" s="18">
        <v>0</v>
      </c>
      <c r="K288" s="18">
        <v>0</v>
      </c>
      <c r="L288" s="19">
        <f>SUM(F288:K288)</f>
        <v>4740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4740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4740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5" t="s">
        <v>724</v>
      </c>
      <c r="G303" s="175" t="s">
        <v>725</v>
      </c>
      <c r="H303" s="175" t="s">
        <v>726</v>
      </c>
      <c r="I303" s="175" t="s">
        <v>727</v>
      </c>
      <c r="J303" s="175" t="s">
        <v>728</v>
      </c>
      <c r="K303" s="175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32495.95</v>
      </c>
      <c r="G306" s="18">
        <v>2485.9299999999998</v>
      </c>
      <c r="H306" s="18">
        <v>1250</v>
      </c>
      <c r="I306" s="18">
        <v>3427.69</v>
      </c>
      <c r="J306" s="18">
        <v>0</v>
      </c>
      <c r="K306" s="18">
        <v>79.650000000000006</v>
      </c>
      <c r="L306" s="19">
        <f>SUM(F306:K306)</f>
        <v>39739.22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1438.79</v>
      </c>
      <c r="J308" s="18">
        <v>16932.060000000001</v>
      </c>
      <c r="K308" s="18">
        <v>2400</v>
      </c>
      <c r="L308" s="19">
        <f>SUM(F308:K308)</f>
        <v>20770.850000000002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809.87</v>
      </c>
      <c r="I309" s="18">
        <v>0</v>
      </c>
      <c r="J309" s="18">
        <v>0</v>
      </c>
      <c r="K309" s="18">
        <v>0</v>
      </c>
      <c r="L309" s="19">
        <f>SUM(F309:K309)</f>
        <v>809.87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22626.65</v>
      </c>
      <c r="G312" s="18">
        <v>463.62</v>
      </c>
      <c r="H312" s="18">
        <v>4074.74</v>
      </c>
      <c r="I312" s="18">
        <v>0</v>
      </c>
      <c r="J312" s="18">
        <v>0</v>
      </c>
      <c r="K312" s="18">
        <v>10948.03</v>
      </c>
      <c r="L312" s="19">
        <f t="shared" si="16"/>
        <v>38113.040000000001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1611.74</v>
      </c>
      <c r="J313" s="18">
        <v>0</v>
      </c>
      <c r="K313" s="18">
        <v>0</v>
      </c>
      <c r="L313" s="19">
        <f t="shared" si="16"/>
        <v>1611.74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55122.600000000006</v>
      </c>
      <c r="G320" s="42">
        <f t="shared" si="17"/>
        <v>2949.5499999999997</v>
      </c>
      <c r="H320" s="42">
        <f t="shared" si="17"/>
        <v>6134.61</v>
      </c>
      <c r="I320" s="42">
        <f t="shared" si="17"/>
        <v>6478.2199999999993</v>
      </c>
      <c r="J320" s="42">
        <f t="shared" si="17"/>
        <v>16932.060000000001</v>
      </c>
      <c r="K320" s="42">
        <f t="shared" si="17"/>
        <v>13427.68</v>
      </c>
      <c r="L320" s="41">
        <f t="shared" si="17"/>
        <v>101044.72000000002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5" t="s">
        <v>724</v>
      </c>
      <c r="G322" s="175" t="s">
        <v>725</v>
      </c>
      <c r="H322" s="175" t="s">
        <v>726</v>
      </c>
      <c r="I322" s="175" t="s">
        <v>727</v>
      </c>
      <c r="J322" s="175" t="s">
        <v>728</v>
      </c>
      <c r="K322" s="175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23770</v>
      </c>
      <c r="G325" s="18">
        <v>2987.46</v>
      </c>
      <c r="H325" s="18">
        <v>4190.66</v>
      </c>
      <c r="I325" s="18">
        <v>95.95</v>
      </c>
      <c r="J325" s="18">
        <v>0</v>
      </c>
      <c r="K325" s="18">
        <v>0</v>
      </c>
      <c r="L325" s="19">
        <f t="shared" si="18"/>
        <v>31044.07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23770</v>
      </c>
      <c r="G329" s="41">
        <f t="shared" si="19"/>
        <v>2987.46</v>
      </c>
      <c r="H329" s="41">
        <f t="shared" si="19"/>
        <v>4190.66</v>
      </c>
      <c r="I329" s="41">
        <f t="shared" si="19"/>
        <v>95.95</v>
      </c>
      <c r="J329" s="41">
        <f t="shared" si="19"/>
        <v>0</v>
      </c>
      <c r="K329" s="41">
        <f t="shared" si="19"/>
        <v>0</v>
      </c>
      <c r="L329" s="41">
        <f t="shared" si="18"/>
        <v>31044.07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551332.04999999993</v>
      </c>
      <c r="G330" s="41">
        <f t="shared" si="20"/>
        <v>146487.82999999999</v>
      </c>
      <c r="H330" s="41">
        <f t="shared" si="20"/>
        <v>93062.000000000015</v>
      </c>
      <c r="I330" s="41">
        <f t="shared" si="20"/>
        <v>39896.239999999991</v>
      </c>
      <c r="J330" s="41">
        <f t="shared" si="20"/>
        <v>115933.18</v>
      </c>
      <c r="K330" s="41">
        <f t="shared" si="20"/>
        <v>28010.57</v>
      </c>
      <c r="L330" s="41">
        <f t="shared" si="20"/>
        <v>974721.86999999976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8507.57</v>
      </c>
      <c r="L336" s="19">
        <f t="shared" ref="L336:L342" si="21">SUM(F336:K336)</f>
        <v>8507.57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8507.57</v>
      </c>
      <c r="L343" s="41">
        <f>SUM(L333:L342)</f>
        <v>8507.57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551332.04999999993</v>
      </c>
      <c r="G344" s="41">
        <f>G330</f>
        <v>146487.82999999999</v>
      </c>
      <c r="H344" s="41">
        <f>H330</f>
        <v>93062.000000000015</v>
      </c>
      <c r="I344" s="41">
        <f>I330</f>
        <v>39896.239999999991</v>
      </c>
      <c r="J344" s="41">
        <f>J330</f>
        <v>115933.18</v>
      </c>
      <c r="K344" s="47">
        <f>K330+K343</f>
        <v>36518.14</v>
      </c>
      <c r="L344" s="41">
        <f>L330+L343</f>
        <v>983229.43999999971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5" t="s">
        <v>724</v>
      </c>
      <c r="G346" s="175" t="s">
        <v>725</v>
      </c>
      <c r="H346" s="175" t="s">
        <v>726</v>
      </c>
      <c r="I346" s="175" t="s">
        <v>727</v>
      </c>
      <c r="J346" s="175" t="s">
        <v>728</v>
      </c>
      <c r="K346" s="175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76742.34</v>
      </c>
      <c r="G350" s="18">
        <v>81700.13</v>
      </c>
      <c r="H350" s="18">
        <v>2880.01</v>
      </c>
      <c r="I350" s="18">
        <v>69187.289999999994</v>
      </c>
      <c r="J350" s="18">
        <v>10089.75</v>
      </c>
      <c r="K350" s="18">
        <v>0</v>
      </c>
      <c r="L350" s="13">
        <f>SUM(F350:K350)</f>
        <v>240599.52000000002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75268.429999999993</v>
      </c>
      <c r="G352" s="18">
        <v>51745.64</v>
      </c>
      <c r="H352" s="18">
        <v>2330.31</v>
      </c>
      <c r="I352" s="18">
        <v>94276.47</v>
      </c>
      <c r="J352" s="18">
        <v>0</v>
      </c>
      <c r="K352" s="18">
        <v>141.01</v>
      </c>
      <c r="L352" s="19">
        <f>SUM(F352:K352)</f>
        <v>223761.86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152010.76999999999</v>
      </c>
      <c r="G354" s="47">
        <f t="shared" si="22"/>
        <v>133445.77000000002</v>
      </c>
      <c r="H354" s="47">
        <f t="shared" si="22"/>
        <v>5210.32</v>
      </c>
      <c r="I354" s="47">
        <f t="shared" si="22"/>
        <v>163463.76</v>
      </c>
      <c r="J354" s="47">
        <f t="shared" si="22"/>
        <v>10089.75</v>
      </c>
      <c r="K354" s="47">
        <f t="shared" si="22"/>
        <v>141.01</v>
      </c>
      <c r="L354" s="47">
        <f t="shared" si="22"/>
        <v>464361.38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42230.86</v>
      </c>
      <c r="G359" s="18">
        <v>0</v>
      </c>
      <c r="H359" s="18">
        <v>89970.880000000005</v>
      </c>
      <c r="I359" s="56">
        <f>SUM(F359:H359)</f>
        <v>132201.74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18">
        <v>26956.43</v>
      </c>
      <c r="G360" s="18">
        <v>0</v>
      </c>
      <c r="H360" s="18">
        <v>4305.59</v>
      </c>
      <c r="I360" s="56">
        <f>SUM(F360:H360)</f>
        <v>31262.02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69187.290000000008</v>
      </c>
      <c r="G361" s="47">
        <f>SUM(G359:G360)</f>
        <v>0</v>
      </c>
      <c r="H361" s="47">
        <f>SUM(H359:H360)</f>
        <v>94276.47</v>
      </c>
      <c r="I361" s="47">
        <f>SUM(I359:I360)</f>
        <v>163463.75999999998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5" t="s">
        <v>724</v>
      </c>
      <c r="G363" s="175" t="s">
        <v>725</v>
      </c>
      <c r="H363" s="175" t="s">
        <v>726</v>
      </c>
      <c r="I363" s="175" t="s">
        <v>727</v>
      </c>
      <c r="J363" s="175" t="s">
        <v>728</v>
      </c>
      <c r="K363" s="175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60217.43</v>
      </c>
      <c r="G370" s="18">
        <v>4798.63</v>
      </c>
      <c r="H370" s="18">
        <v>7209272.8700000001</v>
      </c>
      <c r="I370" s="18">
        <v>0</v>
      </c>
      <c r="J370" s="18">
        <v>50534.47</v>
      </c>
      <c r="K370" s="18">
        <v>0</v>
      </c>
      <c r="L370" s="13">
        <f t="shared" si="23"/>
        <v>7324823.3999999994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60217.43</v>
      </c>
      <c r="G374" s="138">
        <f t="shared" ref="G374:L374" si="24">SUM(G366:G373)</f>
        <v>4798.63</v>
      </c>
      <c r="H374" s="138">
        <f t="shared" si="24"/>
        <v>7209272.8700000001</v>
      </c>
      <c r="I374" s="41">
        <f t="shared" si="24"/>
        <v>0</v>
      </c>
      <c r="J374" s="47">
        <f t="shared" si="24"/>
        <v>50534.47</v>
      </c>
      <c r="K374" s="47">
        <f t="shared" si="24"/>
        <v>0</v>
      </c>
      <c r="L374" s="47">
        <f t="shared" si="24"/>
        <v>7324823.3999999994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8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0</v>
      </c>
      <c r="H385" s="138">
        <f>SUM(H379:H384)</f>
        <v>0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10000</v>
      </c>
      <c r="H388" s="18">
        <v>240.58</v>
      </c>
      <c r="I388" s="18">
        <v>0</v>
      </c>
      <c r="J388" s="24" t="s">
        <v>312</v>
      </c>
      <c r="K388" s="24" t="s">
        <v>312</v>
      </c>
      <c r="L388" s="56">
        <f t="shared" si="26"/>
        <v>10240.58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10000</v>
      </c>
      <c r="H389" s="18">
        <v>207.57</v>
      </c>
      <c r="I389" s="18">
        <v>0</v>
      </c>
      <c r="J389" s="24" t="s">
        <v>312</v>
      </c>
      <c r="K389" s="24" t="s">
        <v>312</v>
      </c>
      <c r="L389" s="56">
        <f t="shared" si="26"/>
        <v>10207.57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10000</v>
      </c>
      <c r="H391" s="18">
        <v>418.98</v>
      </c>
      <c r="I391" s="18">
        <v>0</v>
      </c>
      <c r="J391" s="24" t="s">
        <v>312</v>
      </c>
      <c r="K391" s="24" t="s">
        <v>312</v>
      </c>
      <c r="L391" s="56">
        <f t="shared" si="26"/>
        <v>10418.98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f>20000+22216.34</f>
        <v>42216.34</v>
      </c>
      <c r="H392" s="18">
        <v>146.06</v>
      </c>
      <c r="I392" s="18">
        <v>0</v>
      </c>
      <c r="J392" s="24" t="s">
        <v>312</v>
      </c>
      <c r="K392" s="24" t="s">
        <v>312</v>
      </c>
      <c r="L392" s="56">
        <f t="shared" si="26"/>
        <v>42362.399999999994</v>
      </c>
      <c r="M392" s="8"/>
    </row>
    <row r="393" spans="1:13" s="3" customFormat="1" ht="12" customHeight="1" thickTop="1" x14ac:dyDescent="0.15">
      <c r="A393" s="158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72216.34</v>
      </c>
      <c r="H393" s="47">
        <f>SUM(H387:H392)</f>
        <v>1013.19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73229.53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8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72216.34</v>
      </c>
      <c r="H400" s="47">
        <f>H385+H393+H399</f>
        <v>1013.19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73229.53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5" t="s">
        <v>724</v>
      </c>
      <c r="G401" s="175" t="s">
        <v>725</v>
      </c>
      <c r="H401" s="175" t="s">
        <v>726</v>
      </c>
      <c r="I401" s="175" t="s">
        <v>727</v>
      </c>
      <c r="J401" s="175" t="s">
        <v>728</v>
      </c>
      <c r="K401" s="175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8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0</v>
      </c>
      <c r="J411" s="138">
        <f t="shared" si="28"/>
        <v>0</v>
      </c>
      <c r="K411" s="138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8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7"/>
    </row>
    <row r="425" spans="1:21" ht="12" customHeight="1" thickTop="1" thickBot="1" x14ac:dyDescent="0.25">
      <c r="A425" s="158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382210.18</v>
      </c>
      <c r="H432" s="18">
        <v>0</v>
      </c>
      <c r="I432" s="56">
        <f t="shared" si="33"/>
        <v>382210.18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f>50000+22216.34</f>
        <v>72216.34</v>
      </c>
      <c r="H433" s="18">
        <v>0</v>
      </c>
      <c r="I433" s="56">
        <f t="shared" si="33"/>
        <v>72216.34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454426.52</v>
      </c>
      <c r="H438" s="13">
        <f>SUM(H431:H437)</f>
        <v>0</v>
      </c>
      <c r="I438" s="13">
        <f>SUM(I431:I437)</f>
        <v>454426.52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0</v>
      </c>
      <c r="G449" s="18">
        <f>382210.18+50000+22216.34</f>
        <v>454426.52</v>
      </c>
      <c r="H449" s="18">
        <v>0</v>
      </c>
      <c r="I449" s="56">
        <f>SUM(F449:H449)</f>
        <v>454426.52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0</v>
      </c>
      <c r="G450" s="82">
        <f>SUM(G446:G449)</f>
        <v>454426.52</v>
      </c>
      <c r="H450" s="82">
        <f>SUM(H446:H449)</f>
        <v>0</v>
      </c>
      <c r="I450" s="82">
        <f>SUM(I446:I449)</f>
        <v>454426.52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5" t="s">
        <v>456</v>
      </c>
      <c r="E451" s="81"/>
      <c r="F451" s="42">
        <f>F444+F450</f>
        <v>0</v>
      </c>
      <c r="G451" s="42">
        <f>G444+G450</f>
        <v>454426.52</v>
      </c>
      <c r="H451" s="42">
        <f>H444+H450</f>
        <v>0</v>
      </c>
      <c r="I451" s="42">
        <f>I444+I450</f>
        <v>454426.52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7" t="s">
        <v>883</v>
      </c>
      <c r="B455" s="104">
        <v>19</v>
      </c>
      <c r="C455" s="110">
        <v>1</v>
      </c>
      <c r="D455" s="2" t="s">
        <v>456</v>
      </c>
      <c r="E455" s="110"/>
      <c r="F455" s="18">
        <v>716980.18</v>
      </c>
      <c r="G455" s="18">
        <v>47585.3</v>
      </c>
      <c r="H455" s="18">
        <v>-0.15</v>
      </c>
      <c r="I455" s="18">
        <v>3624918.28</v>
      </c>
      <c r="J455" s="18">
        <v>381196.99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v>14441531.939999999</v>
      </c>
      <c r="G458" s="18">
        <v>436766.71999999997</v>
      </c>
      <c r="H458" s="18">
        <v>1000940.66</v>
      </c>
      <c r="I458" s="18">
        <v>4231908.26</v>
      </c>
      <c r="J458" s="18">
        <f>1013.19+50000+22216.34</f>
        <v>73229.53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14441531.939999999</v>
      </c>
      <c r="G460" s="53">
        <f>SUM(G458:G459)</f>
        <v>436766.71999999997</v>
      </c>
      <c r="H460" s="53">
        <f>SUM(H458:H459)</f>
        <v>1000940.66</v>
      </c>
      <c r="I460" s="53">
        <f>SUM(I458:I459)</f>
        <v>4231908.26</v>
      </c>
      <c r="J460" s="53">
        <f>SUM(J458:J459)</f>
        <v>73229.53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f>$L$263</f>
        <v>14135014.969999999</v>
      </c>
      <c r="G462" s="18">
        <v>464361.38</v>
      </c>
      <c r="H462" s="18">
        <v>983229.43999999994</v>
      </c>
      <c r="I462" s="18">
        <v>7324823.3999999994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14135014.969999999</v>
      </c>
      <c r="G464" s="53">
        <f>SUM(G462:G463)</f>
        <v>464361.38</v>
      </c>
      <c r="H464" s="53">
        <f>SUM(H462:H463)</f>
        <v>983229.43999999994</v>
      </c>
      <c r="I464" s="53">
        <f>SUM(I462:I463)</f>
        <v>7324823.3999999994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8" t="s">
        <v>884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1023497.1500000004</v>
      </c>
      <c r="G466" s="53">
        <f>(G455+G460)- G464</f>
        <v>19990.639999999956</v>
      </c>
      <c r="H466" s="53">
        <f>(H455+H460)- H464</f>
        <v>17711.070000000065</v>
      </c>
      <c r="I466" s="53">
        <f>(I455+I460)- I464</f>
        <v>532003.13999999966</v>
      </c>
      <c r="J466" s="53">
        <f>(J455+J460)- J464</f>
        <v>454426.52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/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3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2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2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2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89" t="s">
        <v>885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8">
        <v>20</v>
      </c>
      <c r="G480" s="18">
        <v>17</v>
      </c>
      <c r="H480" s="18">
        <v>0</v>
      </c>
      <c r="I480" s="152"/>
      <c r="J480" s="152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18" t="s">
        <v>894</v>
      </c>
      <c r="G481" s="18" t="s">
        <v>895</v>
      </c>
      <c r="H481" s="18">
        <v>0</v>
      </c>
      <c r="I481" s="153"/>
      <c r="J481" s="153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18" t="s">
        <v>896</v>
      </c>
      <c r="G482" s="18" t="s">
        <v>897</v>
      </c>
      <c r="H482" s="18">
        <v>0</v>
      </c>
      <c r="I482" s="153"/>
      <c r="J482" s="153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8">
        <v>6000000</v>
      </c>
      <c r="G483" s="18">
        <v>4160640</v>
      </c>
      <c r="H483" s="18">
        <v>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8">
        <v>4.1900000000000004</v>
      </c>
      <c r="G484" s="18">
        <v>5.39</v>
      </c>
      <c r="H484" s="18" t="s">
        <v>898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8">
        <v>3900000</v>
      </c>
      <c r="G485" s="18">
        <v>4160640</v>
      </c>
      <c r="H485" s="18">
        <v>0</v>
      </c>
      <c r="I485" s="18"/>
      <c r="J485" s="18"/>
      <c r="K485" s="53">
        <f>SUM(F485:J485)</f>
        <v>8060640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8">
        <v>300000</v>
      </c>
      <c r="G487" s="18">
        <v>0</v>
      </c>
      <c r="H487" s="18">
        <v>0</v>
      </c>
      <c r="I487" s="18"/>
      <c r="J487" s="18"/>
      <c r="K487" s="53">
        <f t="shared" si="34"/>
        <v>300000</v>
      </c>
      <c r="L487" s="24" t="s">
        <v>312</v>
      </c>
    </row>
    <row r="488" spans="1:12" s="52" customFormat="1" ht="12" customHeight="1" x14ac:dyDescent="0.2">
      <c r="A488" s="199" t="s">
        <v>656</v>
      </c>
      <c r="B488" s="200">
        <v>20</v>
      </c>
      <c r="C488" s="201">
        <v>9</v>
      </c>
      <c r="D488" s="202" t="s">
        <v>456</v>
      </c>
      <c r="E488" s="201"/>
      <c r="F488" s="18">
        <v>3600000</v>
      </c>
      <c r="G488" s="18">
        <v>4160640</v>
      </c>
      <c r="H488" s="18">
        <v>0</v>
      </c>
      <c r="I488" s="203"/>
      <c r="J488" s="203"/>
      <c r="K488" s="204">
        <f t="shared" si="34"/>
        <v>7760640</v>
      </c>
      <c r="L488" s="205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18">
        <v>807115</v>
      </c>
      <c r="G489" s="18">
        <v>1953281.96</v>
      </c>
      <c r="H489" s="18">
        <v>0</v>
      </c>
      <c r="I489" s="18"/>
      <c r="J489" s="18"/>
      <c r="K489" s="53">
        <f t="shared" si="34"/>
        <v>2760396.96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4">
        <v>11</v>
      </c>
      <c r="D490" s="39" t="s">
        <v>456</v>
      </c>
      <c r="E490" s="194"/>
      <c r="F490" s="42">
        <f>SUM(F488:F489)</f>
        <v>4407115</v>
      </c>
      <c r="G490" s="42">
        <f>SUM(G488:G489)</f>
        <v>6113921.96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10521036.960000001</v>
      </c>
      <c r="L490" s="45" t="s">
        <v>312</v>
      </c>
    </row>
    <row r="491" spans="1:12" s="52" customFormat="1" ht="12" customHeight="1" x14ac:dyDescent="0.2">
      <c r="A491" s="199" t="s">
        <v>685</v>
      </c>
      <c r="B491" s="200">
        <v>20</v>
      </c>
      <c r="C491" s="201">
        <v>12</v>
      </c>
      <c r="D491" s="202" t="s">
        <v>456</v>
      </c>
      <c r="E491" s="201"/>
      <c r="F491" s="18">
        <v>300000</v>
      </c>
      <c r="G491" s="18">
        <v>260640</v>
      </c>
      <c r="H491" s="18">
        <v>0</v>
      </c>
      <c r="I491" s="203"/>
      <c r="J491" s="203"/>
      <c r="K491" s="204">
        <f t="shared" si="34"/>
        <v>560640</v>
      </c>
      <c r="L491" s="205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18">
        <v>138958</v>
      </c>
      <c r="G492" s="18">
        <v>217234.25</v>
      </c>
      <c r="H492" s="18" t="s">
        <v>899</v>
      </c>
      <c r="I492" s="18"/>
      <c r="J492" s="18"/>
      <c r="K492" s="53">
        <f t="shared" si="34"/>
        <v>356192.25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4">
        <v>14</v>
      </c>
      <c r="D493" s="39" t="s">
        <v>456</v>
      </c>
      <c r="E493" s="194"/>
      <c r="F493" s="42">
        <f>SUM(F491:F492)</f>
        <v>438958</v>
      </c>
      <c r="G493" s="42">
        <f>SUM(G491:G492)</f>
        <v>477874.25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916832.25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 t="e">
        <v>#REF!</v>
      </c>
      <c r="G497" s="143" t="e">
        <v>#REF!</v>
      </c>
      <c r="H497" s="143" t="e">
        <v>#REF!</v>
      </c>
      <c r="I497" s="143" t="e">
        <v>#REF!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5" t="s">
        <v>886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>
        <v>0</v>
      </c>
      <c r="H506" s="24" t="s">
        <v>312</v>
      </c>
      <c r="I506" s="18">
        <v>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5" t="s">
        <v>724</v>
      </c>
      <c r="G508" s="175" t="s">
        <v>725</v>
      </c>
      <c r="H508" s="175" t="s">
        <v>726</v>
      </c>
      <c r="I508" s="175" t="s">
        <v>727</v>
      </c>
      <c r="J508" s="175" t="s">
        <v>728</v>
      </c>
      <c r="K508" s="175" t="s">
        <v>729</v>
      </c>
      <c r="L508" s="105"/>
    </row>
    <row r="509" spans="1:12" s="52" customFormat="1" ht="12" customHeight="1" x14ac:dyDescent="0.2">
      <c r="A509" s="176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8">
        <v>726280.91</v>
      </c>
      <c r="G511" s="18">
        <v>289661.03000000003</v>
      </c>
      <c r="H511" s="18">
        <v>26136.09</v>
      </c>
      <c r="I511" s="18">
        <v>8984.2800000000007</v>
      </c>
      <c r="J511" s="18">
        <v>12599.14</v>
      </c>
      <c r="K511" s="18">
        <v>767.38</v>
      </c>
      <c r="L511" s="87">
        <f>SUM(F511:K511)</f>
        <v>1064428.8299999998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8">
        <v>205078.05</v>
      </c>
      <c r="G512" s="18">
        <v>110243.08</v>
      </c>
      <c r="H512" s="18">
        <v>41738.28</v>
      </c>
      <c r="I512" s="18">
        <v>3547.87</v>
      </c>
      <c r="J512" s="18">
        <v>862.79</v>
      </c>
      <c r="K512" s="18">
        <v>50</v>
      </c>
      <c r="L512" s="87">
        <f>SUM(F512:K512)</f>
        <v>361520.07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8">
        <v>421628.54</v>
      </c>
      <c r="G513" s="18">
        <v>216527.62</v>
      </c>
      <c r="H513" s="18">
        <v>336016.36</v>
      </c>
      <c r="I513" s="18">
        <v>10808.34</v>
      </c>
      <c r="J513" s="18">
        <v>0</v>
      </c>
      <c r="K513" s="18">
        <v>775</v>
      </c>
      <c r="L513" s="87">
        <f>SUM(F513:K513)</f>
        <v>985755.85999999987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4">
        <v>4</v>
      </c>
      <c r="D514" s="195" t="s">
        <v>456</v>
      </c>
      <c r="E514" s="194"/>
      <c r="F514" s="107">
        <f>SUM(F511:F513)</f>
        <v>1352987.5</v>
      </c>
      <c r="G514" s="107">
        <f t="shared" ref="G514:L514" si="35">SUM(G511:G513)</f>
        <v>616431.73</v>
      </c>
      <c r="H514" s="107">
        <f t="shared" si="35"/>
        <v>403890.73</v>
      </c>
      <c r="I514" s="107">
        <f t="shared" si="35"/>
        <v>23340.49</v>
      </c>
      <c r="J514" s="107">
        <f t="shared" si="35"/>
        <v>13461.93</v>
      </c>
      <c r="K514" s="107">
        <f t="shared" si="35"/>
        <v>1592.38</v>
      </c>
      <c r="L514" s="88">
        <f t="shared" si="35"/>
        <v>2411704.7599999998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8">
        <v>134019.54999999999</v>
      </c>
      <c r="G516" s="18">
        <v>51562.25</v>
      </c>
      <c r="H516" s="18">
        <v>62522.5</v>
      </c>
      <c r="I516" s="18">
        <v>934.19</v>
      </c>
      <c r="J516" s="18">
        <v>657.2</v>
      </c>
      <c r="K516" s="18">
        <v>548</v>
      </c>
      <c r="L516" s="87">
        <f>SUM(F516:K516)</f>
        <v>250243.69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8">
        <v>24666.2</v>
      </c>
      <c r="G517" s="18">
        <v>9063.2999999999993</v>
      </c>
      <c r="H517" s="18">
        <v>15687.5</v>
      </c>
      <c r="I517" s="18">
        <v>186.7</v>
      </c>
      <c r="J517" s="18">
        <v>168.3</v>
      </c>
      <c r="K517" s="18">
        <v>0</v>
      </c>
      <c r="L517" s="87">
        <f>SUM(F517:K517)</f>
        <v>49772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8">
        <v>36999.800000000003</v>
      </c>
      <c r="G518" s="18">
        <v>13650.47</v>
      </c>
      <c r="H518" s="18">
        <v>22131</v>
      </c>
      <c r="I518" s="18">
        <v>152.54</v>
      </c>
      <c r="J518" s="18">
        <v>159.85</v>
      </c>
      <c r="K518" s="18">
        <v>225</v>
      </c>
      <c r="L518" s="87">
        <f>SUM(F518:K518)</f>
        <v>73318.66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6" t="s">
        <v>456</v>
      </c>
      <c r="E519" s="106"/>
      <c r="F519" s="88">
        <f>SUM(F516:F518)</f>
        <v>195685.55</v>
      </c>
      <c r="G519" s="88">
        <f t="shared" ref="G519:L519" si="36">SUM(G516:G518)</f>
        <v>74276.02</v>
      </c>
      <c r="H519" s="88">
        <f t="shared" si="36"/>
        <v>100341</v>
      </c>
      <c r="I519" s="88">
        <f t="shared" si="36"/>
        <v>1273.43</v>
      </c>
      <c r="J519" s="88">
        <f t="shared" si="36"/>
        <v>985.35</v>
      </c>
      <c r="K519" s="88">
        <f t="shared" si="36"/>
        <v>773</v>
      </c>
      <c r="L519" s="88">
        <f t="shared" si="36"/>
        <v>373334.35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8">
        <v>38563.120000000003</v>
      </c>
      <c r="G521" s="18">
        <v>13370.54</v>
      </c>
      <c r="H521" s="18">
        <v>0</v>
      </c>
      <c r="I521" s="18">
        <v>0</v>
      </c>
      <c r="J521" s="18">
        <v>0</v>
      </c>
      <c r="K521" s="18">
        <v>0</v>
      </c>
      <c r="L521" s="87">
        <f>SUM(F521:K521)</f>
        <v>51933.66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8">
        <v>25708.880000000001</v>
      </c>
      <c r="G522" s="18">
        <v>8827.23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34536.11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87">
        <f>SUM(F523:K523)</f>
        <v>0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6" t="s">
        <v>456</v>
      </c>
      <c r="E524" s="106"/>
      <c r="F524" s="88">
        <f>SUM(F521:F523)</f>
        <v>64272</v>
      </c>
      <c r="G524" s="88">
        <f t="shared" ref="G524:L524" si="37">SUM(G521:G523)</f>
        <v>22197.77</v>
      </c>
      <c r="H524" s="88">
        <f t="shared" si="37"/>
        <v>0</v>
      </c>
      <c r="I524" s="88">
        <f t="shared" si="37"/>
        <v>0</v>
      </c>
      <c r="J524" s="88">
        <f t="shared" si="37"/>
        <v>0</v>
      </c>
      <c r="K524" s="88">
        <f t="shared" si="37"/>
        <v>0</v>
      </c>
      <c r="L524" s="88">
        <f t="shared" si="37"/>
        <v>86469.77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3" t="s">
        <v>312</v>
      </c>
      <c r="G525" s="193" t="s">
        <v>312</v>
      </c>
      <c r="H525" s="193" t="s">
        <v>312</v>
      </c>
      <c r="I525" s="193" t="s">
        <v>312</v>
      </c>
      <c r="J525" s="193" t="s">
        <v>312</v>
      </c>
      <c r="K525" s="193" t="s">
        <v>312</v>
      </c>
      <c r="L525" s="193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7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6" t="s">
        <v>456</v>
      </c>
      <c r="E529" s="106"/>
      <c r="F529" s="88">
        <f>SUM(F526:F528)</f>
        <v>0</v>
      </c>
      <c r="G529" s="88">
        <f t="shared" ref="G529:L529" si="38">SUM(G526:G528)</f>
        <v>0</v>
      </c>
      <c r="H529" s="88">
        <f t="shared" si="38"/>
        <v>0</v>
      </c>
      <c r="I529" s="88">
        <f t="shared" si="38"/>
        <v>0</v>
      </c>
      <c r="J529" s="88">
        <f t="shared" si="38"/>
        <v>0</v>
      </c>
      <c r="K529" s="88">
        <f t="shared" si="38"/>
        <v>0</v>
      </c>
      <c r="L529" s="88">
        <f t="shared" si="38"/>
        <v>0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8">
        <v>18559.8</v>
      </c>
      <c r="G531" s="18">
        <v>12955.03</v>
      </c>
      <c r="H531" s="18">
        <v>6325.6</v>
      </c>
      <c r="I531" s="18">
        <v>4132.34</v>
      </c>
      <c r="J531" s="18">
        <v>0</v>
      </c>
      <c r="K531" s="18">
        <v>0</v>
      </c>
      <c r="L531" s="87">
        <f>SUM(F531:K531)</f>
        <v>41972.770000000004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8">
        <v>0</v>
      </c>
      <c r="G532" s="18">
        <v>0</v>
      </c>
      <c r="H532" s="18">
        <v>492.16</v>
      </c>
      <c r="I532" s="18">
        <v>0</v>
      </c>
      <c r="J532" s="18">
        <v>0</v>
      </c>
      <c r="K532" s="18">
        <v>0</v>
      </c>
      <c r="L532" s="87">
        <f>SUM(F532:K532)</f>
        <v>492.16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8">
        <v>0</v>
      </c>
      <c r="G533" s="18">
        <v>0</v>
      </c>
      <c r="H533" s="18">
        <v>738.26</v>
      </c>
      <c r="I533" s="18">
        <v>0</v>
      </c>
      <c r="J533" s="18">
        <v>0</v>
      </c>
      <c r="K533" s="18">
        <v>0</v>
      </c>
      <c r="L533" s="87">
        <f>SUM(F533:K533)</f>
        <v>738.26</v>
      </c>
      <c r="M533" s="8"/>
    </row>
    <row r="534" spans="1:13" s="3" customFormat="1" ht="12" customHeight="1" thickTop="1" thickBot="1" x14ac:dyDescent="0.2">
      <c r="A534" s="129" t="s">
        <v>71</v>
      </c>
      <c r="B534" s="190">
        <v>21</v>
      </c>
      <c r="C534" s="190">
        <v>20</v>
      </c>
      <c r="D534" s="191" t="s">
        <v>456</v>
      </c>
      <c r="E534" s="190"/>
      <c r="F534" s="192">
        <f>SUM(F531:F533)</f>
        <v>18559.8</v>
      </c>
      <c r="G534" s="192">
        <f t="shared" ref="G534:L534" si="39">SUM(G531:G533)</f>
        <v>12955.03</v>
      </c>
      <c r="H534" s="192">
        <f t="shared" si="39"/>
        <v>7556.02</v>
      </c>
      <c r="I534" s="192">
        <f t="shared" si="39"/>
        <v>4132.34</v>
      </c>
      <c r="J534" s="192">
        <f t="shared" si="39"/>
        <v>0</v>
      </c>
      <c r="K534" s="192">
        <f t="shared" si="39"/>
        <v>0</v>
      </c>
      <c r="L534" s="192">
        <f t="shared" si="39"/>
        <v>43203.19000000001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6" t="s">
        <v>456</v>
      </c>
      <c r="E535" s="106"/>
      <c r="F535" s="88">
        <f>F514+F519+F524+F529+F534</f>
        <v>1631504.85</v>
      </c>
      <c r="G535" s="88">
        <f t="shared" ref="G535:L535" si="40">G514+G519+G524+G529+G534</f>
        <v>725860.55</v>
      </c>
      <c r="H535" s="88">
        <f t="shared" si="40"/>
        <v>511787.75</v>
      </c>
      <c r="I535" s="88">
        <f t="shared" si="40"/>
        <v>28746.260000000002</v>
      </c>
      <c r="J535" s="88">
        <f t="shared" si="40"/>
        <v>14447.28</v>
      </c>
      <c r="K535" s="88">
        <f t="shared" si="40"/>
        <v>2365.38</v>
      </c>
      <c r="L535" s="88">
        <f t="shared" si="40"/>
        <v>2914712.07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1064428.8299999998</v>
      </c>
      <c r="G539" s="86">
        <f>L516</f>
        <v>250243.69</v>
      </c>
      <c r="H539" s="86">
        <f>L521</f>
        <v>51933.66</v>
      </c>
      <c r="I539" s="86">
        <f>L526</f>
        <v>0</v>
      </c>
      <c r="J539" s="86">
        <f>L531</f>
        <v>41972.770000000004</v>
      </c>
      <c r="K539" s="86">
        <f>SUM(F539:J539)</f>
        <v>1408578.9499999997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361520.07</v>
      </c>
      <c r="G540" s="86">
        <f>L517</f>
        <v>49772</v>
      </c>
      <c r="H540" s="86">
        <f>L522</f>
        <v>34536.11</v>
      </c>
      <c r="I540" s="86">
        <f>L527</f>
        <v>0</v>
      </c>
      <c r="J540" s="86">
        <f>L532</f>
        <v>492.16</v>
      </c>
      <c r="K540" s="86">
        <f>SUM(F540:J540)</f>
        <v>446320.33999999997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985755.85999999987</v>
      </c>
      <c r="G541" s="86">
        <f>L518</f>
        <v>73318.66</v>
      </c>
      <c r="H541" s="86">
        <f>L523</f>
        <v>0</v>
      </c>
      <c r="I541" s="86">
        <f>L528</f>
        <v>0</v>
      </c>
      <c r="J541" s="86">
        <f>L533</f>
        <v>738.26</v>
      </c>
      <c r="K541" s="86">
        <f>SUM(F541:J541)</f>
        <v>1059812.7799999998</v>
      </c>
      <c r="L541" s="24" t="s">
        <v>312</v>
      </c>
      <c r="M541" s="8"/>
    </row>
    <row r="542" spans="1:13" s="3" customFormat="1" ht="12" customHeight="1" thickTop="1" x14ac:dyDescent="0.15">
      <c r="A542" s="170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1">SUM(F539:F541)</f>
        <v>2411704.7599999998</v>
      </c>
      <c r="G542" s="88">
        <f t="shared" si="41"/>
        <v>373334.35</v>
      </c>
      <c r="H542" s="88">
        <f t="shared" si="41"/>
        <v>86469.77</v>
      </c>
      <c r="I542" s="88">
        <f t="shared" si="41"/>
        <v>0</v>
      </c>
      <c r="J542" s="88">
        <f t="shared" si="41"/>
        <v>43203.19000000001</v>
      </c>
      <c r="K542" s="88">
        <f t="shared" si="41"/>
        <v>2914712.0699999994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5" t="s">
        <v>724</v>
      </c>
      <c r="G544" s="175" t="s">
        <v>725</v>
      </c>
      <c r="H544" s="175" t="s">
        <v>726</v>
      </c>
      <c r="I544" s="175" t="s">
        <v>727</v>
      </c>
      <c r="J544" s="175" t="s">
        <v>728</v>
      </c>
      <c r="K544" s="175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4">
        <v>4</v>
      </c>
      <c r="D550" s="195" t="s">
        <v>456</v>
      </c>
      <c r="E550" s="194"/>
      <c r="F550" s="107">
        <f t="shared" ref="F550:L550" si="42">SUM(F547:F549)</f>
        <v>0</v>
      </c>
      <c r="G550" s="107">
        <f t="shared" si="42"/>
        <v>0</v>
      </c>
      <c r="H550" s="107">
        <f t="shared" si="42"/>
        <v>0</v>
      </c>
      <c r="I550" s="107">
        <f t="shared" si="42"/>
        <v>0</v>
      </c>
      <c r="J550" s="107">
        <f t="shared" si="42"/>
        <v>0</v>
      </c>
      <c r="K550" s="107">
        <f t="shared" si="42"/>
        <v>0</v>
      </c>
      <c r="L550" s="88">
        <f t="shared" si="42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5" t="s">
        <v>456</v>
      </c>
      <c r="E555" s="106"/>
      <c r="F555" s="88">
        <f t="shared" ref="F555:L555" si="43">SUM(F552:F554)</f>
        <v>0</v>
      </c>
      <c r="G555" s="88">
        <f t="shared" si="43"/>
        <v>0</v>
      </c>
      <c r="H555" s="88">
        <f t="shared" si="43"/>
        <v>0</v>
      </c>
      <c r="I555" s="88">
        <f t="shared" si="43"/>
        <v>0</v>
      </c>
      <c r="J555" s="88">
        <f t="shared" si="43"/>
        <v>0</v>
      </c>
      <c r="K555" s="88">
        <f t="shared" si="43"/>
        <v>0</v>
      </c>
      <c r="L555" s="88">
        <f t="shared" si="43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90">
        <v>22</v>
      </c>
      <c r="C560" s="190">
        <v>12</v>
      </c>
      <c r="D560" s="196" t="s">
        <v>456</v>
      </c>
      <c r="E560" s="190"/>
      <c r="F560" s="192">
        <f>SUM(F557:F559)</f>
        <v>0</v>
      </c>
      <c r="G560" s="192">
        <f t="shared" ref="G560:L560" si="44">SUM(G557:G559)</f>
        <v>0</v>
      </c>
      <c r="H560" s="192">
        <f t="shared" si="44"/>
        <v>0</v>
      </c>
      <c r="I560" s="192">
        <f t="shared" si="44"/>
        <v>0</v>
      </c>
      <c r="J560" s="192">
        <f t="shared" si="44"/>
        <v>0</v>
      </c>
      <c r="K560" s="192">
        <f t="shared" si="44"/>
        <v>0</v>
      </c>
      <c r="L560" s="192">
        <f t="shared" si="44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6" t="s">
        <v>456</v>
      </c>
      <c r="E561" s="106"/>
      <c r="F561" s="88">
        <f>F550+F555+F560</f>
        <v>0</v>
      </c>
      <c r="G561" s="88">
        <f t="shared" ref="G561:L561" si="45">G550+G555+G560</f>
        <v>0</v>
      </c>
      <c r="H561" s="88">
        <f t="shared" si="45"/>
        <v>0</v>
      </c>
      <c r="I561" s="88">
        <f t="shared" si="45"/>
        <v>0</v>
      </c>
      <c r="J561" s="88">
        <f t="shared" si="45"/>
        <v>0</v>
      </c>
      <c r="K561" s="88">
        <f t="shared" si="45"/>
        <v>0</v>
      </c>
      <c r="L561" s="88">
        <f t="shared" si="45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806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>
        <v>0</v>
      </c>
      <c r="G565" s="18">
        <v>0</v>
      </c>
      <c r="H565" s="18">
        <v>24786.41</v>
      </c>
      <c r="I565" s="86">
        <f>SUM(F565:H565)</f>
        <v>24786.41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>
        <v>0</v>
      </c>
      <c r="G566" s="18">
        <v>0</v>
      </c>
      <c r="H566" s="18">
        <v>0</v>
      </c>
      <c r="I566" s="86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775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>
        <v>0</v>
      </c>
      <c r="I567" s="86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>
        <v>0</v>
      </c>
      <c r="G568" s="18">
        <v>0</v>
      </c>
      <c r="H568" s="18">
        <v>0</v>
      </c>
      <c r="I568" s="86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>
        <v>2749</v>
      </c>
      <c r="G569" s="18">
        <v>5208</v>
      </c>
      <c r="H569" s="18">
        <v>236.25</v>
      </c>
      <c r="I569" s="86">
        <f t="shared" si="46"/>
        <v>8193.25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>
        <v>0</v>
      </c>
      <c r="G570" s="18">
        <v>0</v>
      </c>
      <c r="H570" s="18">
        <v>0</v>
      </c>
      <c r="I570" s="86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4" t="s">
        <v>776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>
        <v>0</v>
      </c>
      <c r="I571" s="86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4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18">
        <v>5767</v>
      </c>
      <c r="G572" s="18">
        <v>27065.01</v>
      </c>
      <c r="H572" s="18">
        <v>314566.55</v>
      </c>
      <c r="I572" s="86">
        <f t="shared" si="46"/>
        <v>347398.56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4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>
        <v>0</v>
      </c>
      <c r="G573" s="18">
        <v>0</v>
      </c>
      <c r="H573" s="18">
        <v>0</v>
      </c>
      <c r="I573" s="86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>
        <v>0</v>
      </c>
      <c r="G574" s="18">
        <v>0</v>
      </c>
      <c r="H574" s="18">
        <v>11783.95</v>
      </c>
      <c r="I574" s="86">
        <f t="shared" si="46"/>
        <v>11783.95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>
        <v>0</v>
      </c>
      <c r="I576" s="86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1" t="s">
        <v>778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5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8">
        <v>105751.49</v>
      </c>
      <c r="I581" s="18">
        <v>42300.59</v>
      </c>
      <c r="J581" s="18">
        <v>63450.89</v>
      </c>
      <c r="K581" s="103">
        <f t="shared" ref="K581:K587" si="47">SUM(H581:J581)</f>
        <v>211502.97000000003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8">
        <v>41972.77</v>
      </c>
      <c r="I582" s="18">
        <v>492.16</v>
      </c>
      <c r="J582" s="18">
        <v>738.26</v>
      </c>
      <c r="K582" s="103">
        <f t="shared" si="47"/>
        <v>43203.19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>
        <v>0</v>
      </c>
      <c r="I583" s="18">
        <v>0</v>
      </c>
      <c r="J583" s="18">
        <v>26526.9</v>
      </c>
      <c r="K583" s="103">
        <f t="shared" si="47"/>
        <v>26526.9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>
        <v>0</v>
      </c>
      <c r="I584" s="18">
        <v>18819.150000000001</v>
      </c>
      <c r="J584" s="18">
        <v>40345.480000000003</v>
      </c>
      <c r="K584" s="103">
        <f t="shared" si="47"/>
        <v>59164.630000000005</v>
      </c>
      <c r="L584" s="24" t="s">
        <v>312</v>
      </c>
      <c r="M584" s="8"/>
    </row>
    <row r="585" spans="1:13" s="3" customFormat="1" ht="12" customHeight="1" x14ac:dyDescent="0.15">
      <c r="A585" s="169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18">
        <v>7255.5</v>
      </c>
      <c r="I585" s="18">
        <v>13169.05</v>
      </c>
      <c r="J585" s="18">
        <v>708.65</v>
      </c>
      <c r="K585" s="103">
        <f t="shared" si="47"/>
        <v>21133.200000000001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>
        <v>0</v>
      </c>
      <c r="I586" s="18">
        <v>0</v>
      </c>
      <c r="J586" s="18">
        <v>0</v>
      </c>
      <c r="K586" s="103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>
        <v>0</v>
      </c>
      <c r="I587" s="18">
        <v>0</v>
      </c>
      <c r="J587" s="18">
        <v>0</v>
      </c>
      <c r="K587" s="103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6">
        <v>2700</v>
      </c>
      <c r="G588" s="147" t="s">
        <v>97</v>
      </c>
      <c r="H588" s="107">
        <f>SUM(H581:H587)</f>
        <v>154979.76</v>
      </c>
      <c r="I588" s="107">
        <f>SUM(I581:I587)</f>
        <v>74780.95</v>
      </c>
      <c r="J588" s="107">
        <f>SUM(J581:J587)</f>
        <v>131770.18</v>
      </c>
      <c r="K588" s="107">
        <f>SUM(K581:K587)</f>
        <v>361530.89000000007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>
        <v>0</v>
      </c>
      <c r="I592" s="18">
        <v>0</v>
      </c>
      <c r="J592" s="18">
        <v>0</v>
      </c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>
        <v>0</v>
      </c>
      <c r="I593" s="18">
        <v>0</v>
      </c>
      <c r="J593" s="18">
        <v>0</v>
      </c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v>126514.75</v>
      </c>
      <c r="I594" s="18">
        <v>24741.75</v>
      </c>
      <c r="J594" s="18">
        <v>67168.570000000007</v>
      </c>
      <c r="K594" s="103">
        <f>SUM(H594:J594)</f>
        <v>218425.07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7" t="s">
        <v>500</v>
      </c>
      <c r="G595" s="146">
        <v>700</v>
      </c>
      <c r="H595" s="107">
        <f>SUM(H592:H594)</f>
        <v>126514.75</v>
      </c>
      <c r="I595" s="107">
        <f>SUM(I592:I594)</f>
        <v>24741.75</v>
      </c>
      <c r="J595" s="107">
        <f>SUM(J592:J594)</f>
        <v>67168.570000000007</v>
      </c>
      <c r="K595" s="107">
        <f>SUM(K592:K594)</f>
        <v>218425.07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5" t="s">
        <v>724</v>
      </c>
      <c r="G599" s="175" t="s">
        <v>725</v>
      </c>
      <c r="H599" s="175" t="s">
        <v>726</v>
      </c>
      <c r="I599" s="175" t="s">
        <v>727</v>
      </c>
      <c r="J599" s="175" t="s">
        <v>728</v>
      </c>
      <c r="K599" s="175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7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7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7">
        <f>SUM(F603:K603)</f>
        <v>0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48">SUM(F601:F603)</f>
        <v>0</v>
      </c>
      <c r="G604" s="107">
        <f t="shared" si="48"/>
        <v>0</v>
      </c>
      <c r="H604" s="107">
        <f t="shared" si="48"/>
        <v>0</v>
      </c>
      <c r="I604" s="107">
        <f t="shared" si="48"/>
        <v>0</v>
      </c>
      <c r="J604" s="107">
        <f t="shared" si="48"/>
        <v>0</v>
      </c>
      <c r="K604" s="107">
        <f t="shared" si="48"/>
        <v>0</v>
      </c>
      <c r="L604" s="88">
        <f t="shared" si="48"/>
        <v>0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8" t="s">
        <v>53</v>
      </c>
      <c r="G606" s="149"/>
      <c r="H606" s="149"/>
      <c r="I606" s="148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2251428.4699999997</v>
      </c>
      <c r="H607" s="108">
        <f>SUM(F44)</f>
        <v>2251428.4700000002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45201.329999999994</v>
      </c>
      <c r="H608" s="108">
        <f>SUM(G44)</f>
        <v>45201.33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30363.47</v>
      </c>
      <c r="H609" s="108">
        <f>SUM(H44)</f>
        <v>30363.470000000299</v>
      </c>
      <c r="I609" s="120" t="s">
        <v>103</v>
      </c>
      <c r="J609" s="108">
        <f>G609-H609</f>
        <v>-2.9831426218152046E-10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1319433.02</v>
      </c>
      <c r="H610" s="108">
        <f>SUM(I44)</f>
        <v>1319433.02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454426.52</v>
      </c>
      <c r="H611" s="108">
        <f>SUM(J44)</f>
        <v>454426.52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1023497.15</v>
      </c>
      <c r="H612" s="108">
        <f>F466</f>
        <v>1023497.1500000004</v>
      </c>
      <c r="I612" s="120" t="s">
        <v>106</v>
      </c>
      <c r="J612" s="108">
        <f t="shared" ref="J612:J645" si="49">G612-H612</f>
        <v>0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19990.64</v>
      </c>
      <c r="H613" s="108">
        <f>G466</f>
        <v>19990.639999999956</v>
      </c>
      <c r="I613" s="120" t="s">
        <v>108</v>
      </c>
      <c r="J613" s="108">
        <f t="shared" si="49"/>
        <v>4.3655745685100555E-11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17711.070000000298</v>
      </c>
      <c r="H614" s="108">
        <f>H466</f>
        <v>17711.070000000065</v>
      </c>
      <c r="I614" s="120" t="s">
        <v>110</v>
      </c>
      <c r="J614" s="108">
        <f t="shared" si="49"/>
        <v>2.3283064365386963E-10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532003.14</v>
      </c>
      <c r="H615" s="108">
        <f>I466</f>
        <v>532003.13999999966</v>
      </c>
      <c r="I615" s="120" t="s">
        <v>112</v>
      </c>
      <c r="J615" s="108">
        <f t="shared" si="49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454426.52</v>
      </c>
      <c r="H616" s="108">
        <f>J466</f>
        <v>454426.52</v>
      </c>
      <c r="I616" s="139" t="s">
        <v>114</v>
      </c>
      <c r="J616" s="108">
        <f t="shared" si="49"/>
        <v>0</v>
      </c>
      <c r="K616" s="84" t="s">
        <v>900</v>
      </c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14441531.939999999</v>
      </c>
      <c r="H617" s="103">
        <f>SUM(F458)</f>
        <v>14441531.939999999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436766.71999999997</v>
      </c>
      <c r="H618" s="103">
        <f>SUM(G458)</f>
        <v>436766.71999999997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1000940.66</v>
      </c>
      <c r="H619" s="103">
        <f>SUM(H458)</f>
        <v>1000940.66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4231908.26</v>
      </c>
      <c r="H620" s="103">
        <f>SUM(I458)</f>
        <v>4231908.26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73229.53</v>
      </c>
      <c r="H621" s="103">
        <f>SUM(J458)</f>
        <v>73229.53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14135014.969999999</v>
      </c>
      <c r="H622" s="103">
        <f>SUM(F462)</f>
        <v>14135014.969999999</v>
      </c>
      <c r="I622" s="139" t="s">
        <v>120</v>
      </c>
      <c r="J622" s="108">
        <f t="shared" si="49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983229.43999999971</v>
      </c>
      <c r="H623" s="103">
        <f>SUM(H462)</f>
        <v>983229.43999999994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163463.76</v>
      </c>
      <c r="H624" s="103">
        <f>I361</f>
        <v>163463.75999999998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464361.38</v>
      </c>
      <c r="H625" s="103">
        <f>SUM(G462)</f>
        <v>464361.38</v>
      </c>
      <c r="I625" s="139" t="s">
        <v>123</v>
      </c>
      <c r="J625" s="108">
        <f t="shared" si="49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7324823.3999999994</v>
      </c>
      <c r="H626" s="103">
        <f>SUM(I462)</f>
        <v>7324823.3999999994</v>
      </c>
      <c r="I626" s="139" t="s">
        <v>125</v>
      </c>
      <c r="J626" s="108">
        <f t="shared" si="49"/>
        <v>0</v>
      </c>
      <c r="K626" s="84"/>
      <c r="L626" s="87"/>
      <c r="M626" s="8"/>
    </row>
    <row r="627" spans="1:13" s="167" customFormat="1" ht="12" customHeight="1" x14ac:dyDescent="0.15">
      <c r="A627" s="159"/>
      <c r="B627" s="160"/>
      <c r="C627" s="160"/>
      <c r="D627" s="160"/>
      <c r="E627" s="160"/>
      <c r="F627" s="161" t="s">
        <v>501</v>
      </c>
      <c r="G627" s="149">
        <f>SUM(L400)</f>
        <v>73229.53</v>
      </c>
      <c r="H627" s="162">
        <f>SUM(J458)</f>
        <v>73229.53</v>
      </c>
      <c r="I627" s="163" t="s">
        <v>119</v>
      </c>
      <c r="J627" s="149">
        <f t="shared" si="49"/>
        <v>0</v>
      </c>
      <c r="K627" s="164"/>
      <c r="L627" s="165"/>
      <c r="M627" s="166"/>
    </row>
    <row r="628" spans="1:13" s="167" customFormat="1" ht="12" customHeight="1" x14ac:dyDescent="0.15">
      <c r="A628" s="159"/>
      <c r="B628" s="160"/>
      <c r="C628" s="160"/>
      <c r="D628" s="160"/>
      <c r="E628" s="160"/>
      <c r="F628" s="161" t="s">
        <v>502</v>
      </c>
      <c r="G628" s="149">
        <f>SUM(L426)</f>
        <v>0</v>
      </c>
      <c r="H628" s="162">
        <f>SUM(J462)</f>
        <v>0</v>
      </c>
      <c r="I628" s="163" t="s">
        <v>126</v>
      </c>
      <c r="J628" s="149">
        <f t="shared" si="49"/>
        <v>0</v>
      </c>
      <c r="K628" s="164"/>
      <c r="L628" s="165"/>
      <c r="M628" s="166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0</v>
      </c>
      <c r="H629" s="103">
        <f>SUM(F451)</f>
        <v>0</v>
      </c>
      <c r="I629" s="139" t="s">
        <v>128</v>
      </c>
      <c r="J629" s="108">
        <f t="shared" si="49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454426.52</v>
      </c>
      <c r="H630" s="103">
        <f>SUM(G451)</f>
        <v>454426.52</v>
      </c>
      <c r="I630" s="139" t="s">
        <v>130</v>
      </c>
      <c r="J630" s="108">
        <f t="shared" si="49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49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454426.52</v>
      </c>
      <c r="H632" s="103">
        <f>SUM(I451)</f>
        <v>454426.52</v>
      </c>
      <c r="I632" s="139" t="s">
        <v>134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49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1013.19</v>
      </c>
      <c r="H634" s="103">
        <f>H400</f>
        <v>1013.19</v>
      </c>
      <c r="I634" s="139" t="s">
        <v>504</v>
      </c>
      <c r="J634" s="108">
        <f t="shared" si="49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72216.34</v>
      </c>
      <c r="H635" s="103">
        <f>G400</f>
        <v>72216.34</v>
      </c>
      <c r="I635" s="139" t="s">
        <v>505</v>
      </c>
      <c r="J635" s="108">
        <f t="shared" si="49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73229.53</v>
      </c>
      <c r="H636" s="103">
        <f>L400</f>
        <v>73229.53</v>
      </c>
      <c r="I636" s="139" t="s">
        <v>501</v>
      </c>
      <c r="J636" s="108">
        <f t="shared" si="49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361530.89000000007</v>
      </c>
      <c r="H637" s="103">
        <f>L200+L218+L236</f>
        <v>361530.88999999996</v>
      </c>
      <c r="I637" s="139" t="s">
        <v>420</v>
      </c>
      <c r="J637" s="108">
        <f t="shared" si="49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218425.07</v>
      </c>
      <c r="H638" s="103">
        <f>(J249+J330)-(J247+J328)</f>
        <v>218425.07</v>
      </c>
      <c r="I638" s="139" t="s">
        <v>734</v>
      </c>
      <c r="J638" s="108">
        <f t="shared" si="49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154979.75999999998</v>
      </c>
      <c r="H639" s="103">
        <f>H588</f>
        <v>154979.76</v>
      </c>
      <c r="I639" s="139" t="s">
        <v>412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74780.95</v>
      </c>
      <c r="H640" s="103">
        <f>I588</f>
        <v>74780.95</v>
      </c>
      <c r="I640" s="139" t="s">
        <v>413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131770.18</v>
      </c>
      <c r="H641" s="103">
        <f>J588</f>
        <v>131770.18</v>
      </c>
      <c r="I641" s="139" t="s">
        <v>414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0</v>
      </c>
      <c r="H642" s="103">
        <f>K255+K337</f>
        <v>0</v>
      </c>
      <c r="I642" s="139" t="s">
        <v>421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72216.34</v>
      </c>
      <c r="H645" s="103">
        <f>K258+K339</f>
        <v>72216.34</v>
      </c>
      <c r="I645" s="139" t="s">
        <v>424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7091941.0199999996</v>
      </c>
      <c r="G650" s="19">
        <f>(L221+L301+L351)</f>
        <v>2017975.1800000002</v>
      </c>
      <c r="H650" s="19">
        <f>(L239+L320+L352)</f>
        <v>5743048.8999999994</v>
      </c>
      <c r="I650" s="19">
        <f>SUM(F650:H650)</f>
        <v>14852965.099999998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110009.53936827737</v>
      </c>
      <c r="G651" s="19">
        <f>(L351/IF(SUM(L350:L352)=0,1,SUM(L350:L352))*(SUM(G89:G102)))</f>
        <v>0</v>
      </c>
      <c r="H651" s="19">
        <f>(L352/IF(SUM(L350:L352)=0,1,SUM(L350:L352))*(SUM(G89:G102)))</f>
        <v>102310.84063172265</v>
      </c>
      <c r="I651" s="19">
        <f>SUM(F651:H651)</f>
        <v>212320.38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154979.75999999998</v>
      </c>
      <c r="G652" s="19">
        <f>(L218+L298)-(J218+J298)</f>
        <v>74780.95</v>
      </c>
      <c r="H652" s="19">
        <f>(L236+L317)-(J236+J317)</f>
        <v>131770.18</v>
      </c>
      <c r="I652" s="19">
        <f>SUM(F652:H652)</f>
        <v>361530.88999999996</v>
      </c>
      <c r="J652"/>
      <c r="K652" s="13"/>
      <c r="L652" s="13"/>
      <c r="M652" s="9"/>
    </row>
    <row r="653" spans="1:13" s="3" customFormat="1" ht="12" customHeight="1" x14ac:dyDescent="0.15">
      <c r="A653" s="197" t="s">
        <v>142</v>
      </c>
      <c r="B653" s="167"/>
      <c r="C653" s="167"/>
      <c r="D653" s="167"/>
      <c r="E653" s="167"/>
      <c r="F653" s="198">
        <f>SUM(F565:F577)+SUM(H592:H594)+SUM(L601)</f>
        <v>135030.75</v>
      </c>
      <c r="G653" s="198">
        <f>SUM(G565:G577)+SUM(I592:I594)+L602</f>
        <v>57014.759999999995</v>
      </c>
      <c r="H653" s="198">
        <f>SUM(H565:H577)+SUM(J592:J594)+L603</f>
        <v>418541.73</v>
      </c>
      <c r="I653" s="19">
        <f>SUM(F653:H653)</f>
        <v>610587.24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6691920.9706317224</v>
      </c>
      <c r="G654" s="19">
        <f>G650-SUM(G651:G653)</f>
        <v>1886179.4700000002</v>
      </c>
      <c r="H654" s="19">
        <f>H650-SUM(H651:H653)</f>
        <v>5090426.1493682768</v>
      </c>
      <c r="I654" s="19">
        <f>I650-SUM(I651:I653)</f>
        <v>13668526.589999998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6">
        <v>418.02</v>
      </c>
      <c r="G655" s="247">
        <v>125.09</v>
      </c>
      <c r="H655" s="247">
        <v>257.56</v>
      </c>
      <c r="I655" s="19">
        <f>SUM(F655:H655)</f>
        <v>800.67000000000007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16008.61</v>
      </c>
      <c r="G657" s="19">
        <f>ROUND(G654/G655,2)</f>
        <v>15078.58</v>
      </c>
      <c r="H657" s="19">
        <f>ROUND(H654/H655,2)</f>
        <v>19764.04</v>
      </c>
      <c r="I657" s="19">
        <f>ROUND(I654/I655,2)</f>
        <v>17071.36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16.62</v>
      </c>
      <c r="I660" s="19">
        <f>SUM(F660:H660)</f>
        <v>16.62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16008.61</v>
      </c>
      <c r="G662" s="19">
        <f>ROUND((G654+G659)/(G655+G660),2)</f>
        <v>15078.58</v>
      </c>
      <c r="H662" s="19">
        <f>ROUND((H654+H659)/(H655+H660),2)</f>
        <v>18566</v>
      </c>
      <c r="I662" s="19">
        <f>ROUND((I654+I659)/(I655+I660),2)</f>
        <v>16724.21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346F-66A7-4363-8A9B-073B301B47AF}">
  <sheetPr>
    <tabColor indexed="20"/>
  </sheetPr>
  <dimension ref="A1:C52"/>
  <sheetViews>
    <sheetView topLeftCell="A7" workbookViewId="0">
      <selection activeCell="B27" sqref="B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816</v>
      </c>
      <c r="B1" s="231" t="str">
        <f>'DOE25'!A2</f>
        <v>Littleton SD</v>
      </c>
      <c r="C1" s="237" t="s">
        <v>870</v>
      </c>
    </row>
    <row r="2" spans="1:3" x14ac:dyDescent="0.2">
      <c r="A2" s="232"/>
      <c r="B2" s="231"/>
    </row>
    <row r="3" spans="1:3" x14ac:dyDescent="0.2">
      <c r="A3" s="274" t="s">
        <v>815</v>
      </c>
      <c r="B3" s="274"/>
      <c r="C3" s="274"/>
    </row>
    <row r="4" spans="1:3" x14ac:dyDescent="0.2">
      <c r="A4" s="235"/>
      <c r="B4" s="236" t="str">
        <f>'DOE25'!H1</f>
        <v>DOE 25  2010-2011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814</v>
      </c>
      <c r="C6" s="273"/>
    </row>
    <row r="7" spans="1:3" x14ac:dyDescent="0.2">
      <c r="A7" s="238" t="s">
        <v>817</v>
      </c>
      <c r="B7" s="271" t="s">
        <v>813</v>
      </c>
      <c r="C7" s="272"/>
    </row>
    <row r="8" spans="1:3" x14ac:dyDescent="0.2">
      <c r="B8" s="227" t="s">
        <v>54</v>
      </c>
      <c r="C8" s="227" t="s">
        <v>807</v>
      </c>
    </row>
    <row r="9" spans="1:3" x14ac:dyDescent="0.2">
      <c r="A9" s="33" t="s">
        <v>808</v>
      </c>
      <c r="B9" s="228">
        <f>'DOE25'!F189+'DOE25'!F207+'DOE25'!F225+'DOE25'!F268+'DOE25'!F287+'DOE25'!F306</f>
        <v>3821905</v>
      </c>
      <c r="C9" s="228">
        <f>'DOE25'!G189+'DOE25'!G207+'DOE25'!G225+'DOE25'!G268+'DOE25'!G287+'DOE25'!G306</f>
        <v>1589962.03</v>
      </c>
    </row>
    <row r="10" spans="1:3" x14ac:dyDescent="0.2">
      <c r="A10" t="s">
        <v>810</v>
      </c>
      <c r="B10" s="239">
        <v>3758137.06</v>
      </c>
      <c r="C10" s="239">
        <v>1564781.13</v>
      </c>
    </row>
    <row r="11" spans="1:3" x14ac:dyDescent="0.2">
      <c r="A11" t="s">
        <v>811</v>
      </c>
      <c r="B11" s="239">
        <v>63767.94</v>
      </c>
      <c r="C11" s="239">
        <v>25180.9</v>
      </c>
    </row>
    <row r="12" spans="1:3" x14ac:dyDescent="0.2">
      <c r="A12" t="s">
        <v>812</v>
      </c>
      <c r="B12" s="239">
        <v>0</v>
      </c>
      <c r="C12" s="239">
        <v>0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3821905</v>
      </c>
      <c r="C13" s="230">
        <f>SUM(C10:C12)</f>
        <v>1589962.0299999998</v>
      </c>
    </row>
    <row r="14" spans="1:3" x14ac:dyDescent="0.2">
      <c r="B14" s="229"/>
      <c r="C14" s="229"/>
    </row>
    <row r="15" spans="1:3" x14ac:dyDescent="0.2">
      <c r="B15" s="273" t="s">
        <v>814</v>
      </c>
      <c r="C15" s="273"/>
    </row>
    <row r="16" spans="1:3" x14ac:dyDescent="0.2">
      <c r="A16" s="238" t="s">
        <v>818</v>
      </c>
      <c r="B16" s="271" t="s">
        <v>738</v>
      </c>
      <c r="C16" s="272"/>
    </row>
    <row r="17" spans="1:3" x14ac:dyDescent="0.2">
      <c r="B17" s="227" t="s">
        <v>54</v>
      </c>
      <c r="C17" s="227" t="s">
        <v>807</v>
      </c>
    </row>
    <row r="18" spans="1:3" x14ac:dyDescent="0.2">
      <c r="A18" s="33" t="s">
        <v>808</v>
      </c>
      <c r="B18" s="228">
        <f>'DOE25'!F190+'DOE25'!F208+'DOE25'!F226+'DOE25'!F269+'DOE25'!F288+'DOE25'!F307</f>
        <v>1567639.5</v>
      </c>
      <c r="C18" s="228">
        <f>'DOE25'!G190+'DOE25'!G208+'DOE25'!G226+'DOE25'!G269+'DOE25'!G288+'DOE25'!G307</f>
        <v>673569.28000000003</v>
      </c>
    </row>
    <row r="19" spans="1:3" x14ac:dyDescent="0.2">
      <c r="A19" t="s">
        <v>810</v>
      </c>
      <c r="B19" s="239">
        <v>886361.01</v>
      </c>
      <c r="C19" s="239">
        <v>380843.65</v>
      </c>
    </row>
    <row r="20" spans="1:3" x14ac:dyDescent="0.2">
      <c r="A20" t="s">
        <v>811</v>
      </c>
      <c r="B20" s="239">
        <v>617006.49</v>
      </c>
      <c r="C20" s="239">
        <v>265109.81</v>
      </c>
    </row>
    <row r="21" spans="1:3" x14ac:dyDescent="0.2">
      <c r="A21" t="s">
        <v>812</v>
      </c>
      <c r="B21" s="239">
        <v>64272</v>
      </c>
      <c r="C21" s="239">
        <v>27615.82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1567639.5</v>
      </c>
      <c r="C22" s="230">
        <f>SUM(C19:C21)</f>
        <v>673569.27999999991</v>
      </c>
    </row>
    <row r="23" spans="1:3" x14ac:dyDescent="0.2">
      <c r="B23" s="229"/>
      <c r="C23" s="229"/>
    </row>
    <row r="24" spans="1:3" x14ac:dyDescent="0.2">
      <c r="B24" s="273" t="s">
        <v>814</v>
      </c>
      <c r="C24" s="273"/>
    </row>
    <row r="25" spans="1:3" x14ac:dyDescent="0.2">
      <c r="A25" s="238" t="s">
        <v>819</v>
      </c>
      <c r="B25" s="271" t="s">
        <v>739</v>
      </c>
      <c r="C25" s="272"/>
    </row>
    <row r="26" spans="1:3" x14ac:dyDescent="0.2">
      <c r="B26" s="227" t="s">
        <v>54</v>
      </c>
      <c r="C26" s="227" t="s">
        <v>807</v>
      </c>
    </row>
    <row r="27" spans="1:3" x14ac:dyDescent="0.2">
      <c r="A27" s="33" t="s">
        <v>808</v>
      </c>
      <c r="B27" s="233">
        <f>'DOE25'!F191+'DOE25'!F209+'DOE25'!F227+'DOE25'!F270+'DOE25'!F289+'DOE25'!F308</f>
        <v>726165.71</v>
      </c>
      <c r="C27" s="233">
        <f>'DOE25'!G191+'DOE25'!G209+'DOE25'!G227+'DOE25'!G270+'DOE25'!G289+'DOE25'!G308</f>
        <v>253553.51</v>
      </c>
    </row>
    <row r="28" spans="1:3" x14ac:dyDescent="0.2">
      <c r="A28" t="s">
        <v>810</v>
      </c>
      <c r="B28" s="239">
        <v>672353.12</v>
      </c>
      <c r="C28" s="239">
        <v>234763.9</v>
      </c>
    </row>
    <row r="29" spans="1:3" x14ac:dyDescent="0.2">
      <c r="A29" t="s">
        <v>811</v>
      </c>
      <c r="B29" s="239">
        <v>53812.59</v>
      </c>
      <c r="C29" s="239">
        <v>18789.61</v>
      </c>
    </row>
    <row r="30" spans="1:3" x14ac:dyDescent="0.2">
      <c r="A30" t="s">
        <v>812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726165.71</v>
      </c>
      <c r="C31" s="230">
        <f>SUM(C28:C30)</f>
        <v>253553.51</v>
      </c>
    </row>
    <row r="33" spans="1:3" x14ac:dyDescent="0.2">
      <c r="B33" s="273" t="s">
        <v>814</v>
      </c>
      <c r="C33" s="273"/>
    </row>
    <row r="34" spans="1:3" x14ac:dyDescent="0.2">
      <c r="A34" s="238" t="s">
        <v>820</v>
      </c>
      <c r="B34" s="271" t="s">
        <v>740</v>
      </c>
      <c r="C34" s="272"/>
    </row>
    <row r="35" spans="1:3" x14ac:dyDescent="0.2">
      <c r="B35" s="227" t="s">
        <v>54</v>
      </c>
      <c r="C35" s="227" t="s">
        <v>807</v>
      </c>
    </row>
    <row r="36" spans="1:3" x14ac:dyDescent="0.2">
      <c r="A36" s="33" t="s">
        <v>808</v>
      </c>
      <c r="B36" s="234">
        <f>'DOE25'!F192+'DOE25'!F210+'DOE25'!F228+'DOE25'!F271+'DOE25'!F290+'DOE25'!F309</f>
        <v>140789</v>
      </c>
      <c r="C36" s="234">
        <f>'DOE25'!G192+'DOE25'!G210+'DOE25'!G228+'DOE25'!G271+'DOE25'!G290+'DOE25'!G309</f>
        <v>18402.400000000001</v>
      </c>
    </row>
    <row r="37" spans="1:3" x14ac:dyDescent="0.2">
      <c r="A37" t="s">
        <v>810</v>
      </c>
      <c r="B37" s="239">
        <v>140789</v>
      </c>
      <c r="C37" s="239">
        <v>18402.400000000001</v>
      </c>
    </row>
    <row r="38" spans="1:3" x14ac:dyDescent="0.2">
      <c r="A38" t="s">
        <v>811</v>
      </c>
      <c r="B38" s="239">
        <v>0</v>
      </c>
      <c r="C38" s="239">
        <v>0</v>
      </c>
    </row>
    <row r="39" spans="1:3" x14ac:dyDescent="0.2">
      <c r="A39" t="s">
        <v>812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140789</v>
      </c>
      <c r="C40" s="230">
        <f>SUM(C37:C39)</f>
        <v>18402.400000000001</v>
      </c>
    </row>
    <row r="41" spans="1:3" x14ac:dyDescent="0.2">
      <c r="B41" s="229"/>
      <c r="C41" s="229"/>
    </row>
    <row r="42" spans="1:3" x14ac:dyDescent="0.2">
      <c r="A42" s="33" t="s">
        <v>868</v>
      </c>
      <c r="B42" s="229"/>
      <c r="C42" s="229"/>
    </row>
    <row r="43" spans="1:3" x14ac:dyDescent="0.2">
      <c r="A43" t="s">
        <v>872</v>
      </c>
      <c r="B43" s="229"/>
      <c r="C43" s="229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3" t="s">
        <v>809</v>
      </c>
    </row>
    <row r="49" spans="1:1" x14ac:dyDescent="0.2">
      <c r="A49" s="267" t="s">
        <v>875</v>
      </c>
    </row>
    <row r="50" spans="1:1" x14ac:dyDescent="0.2">
      <c r="A50" s="267" t="s">
        <v>869</v>
      </c>
    </row>
    <row r="51" spans="1:1" x14ac:dyDescent="0.2">
      <c r="A51" s="267" t="s">
        <v>876</v>
      </c>
    </row>
    <row r="52" spans="1:1" x14ac:dyDescent="0.2">
      <c r="A52" s="268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4D19-968E-4916-95B7-7D02FBEC8FC6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79"/>
    </row>
    <row r="2" spans="1:9" x14ac:dyDescent="0.2">
      <c r="A2" s="33" t="s">
        <v>748</v>
      </c>
      <c r="B2" s="264" t="str">
        <f>'DOE25'!A2</f>
        <v>Littleton SD</v>
      </c>
      <c r="C2" s="179"/>
      <c r="D2" s="179" t="s">
        <v>823</v>
      </c>
      <c r="E2" s="179" t="s">
        <v>825</v>
      </c>
      <c r="F2" s="275" t="s">
        <v>852</v>
      </c>
      <c r="G2" s="276"/>
      <c r="H2" s="277"/>
      <c r="I2" s="179"/>
    </row>
    <row r="3" spans="1:9" x14ac:dyDescent="0.2">
      <c r="A3" s="179" t="s">
        <v>94</v>
      </c>
      <c r="B3" s="227" t="s">
        <v>10</v>
      </c>
      <c r="C3" s="179" t="s">
        <v>5</v>
      </c>
      <c r="D3" s="179" t="s">
        <v>824</v>
      </c>
      <c r="E3" s="179" t="s">
        <v>826</v>
      </c>
      <c r="F3" s="240" t="s">
        <v>866</v>
      </c>
      <c r="G3" s="216" t="s">
        <v>59</v>
      </c>
      <c r="H3" s="241" t="s">
        <v>829</v>
      </c>
    </row>
    <row r="4" spans="1:9" x14ac:dyDescent="0.2">
      <c r="A4" s="250" t="s">
        <v>831</v>
      </c>
      <c r="B4" s="250" t="s">
        <v>847</v>
      </c>
      <c r="C4" s="250" t="s">
        <v>822</v>
      </c>
      <c r="D4" s="250" t="s">
        <v>848</v>
      </c>
      <c r="E4" s="250" t="s">
        <v>848</v>
      </c>
      <c r="F4" s="249" t="s">
        <v>828</v>
      </c>
      <c r="G4" s="250" t="s">
        <v>842</v>
      </c>
      <c r="H4" s="251" t="s">
        <v>830</v>
      </c>
    </row>
    <row r="5" spans="1:9" x14ac:dyDescent="0.2">
      <c r="A5" s="32">
        <v>1000</v>
      </c>
      <c r="B5" t="s">
        <v>218</v>
      </c>
      <c r="C5" s="244">
        <f t="shared" ref="C5:C19" si="0">SUM(D5:H5)</f>
        <v>8868753.6999999993</v>
      </c>
      <c r="D5" s="20">
        <f>SUM('DOE25'!L189:L192)+SUM('DOE25'!L207:L210)+SUM('DOE25'!L225:L228)-F5-G5</f>
        <v>8797679.2199999988</v>
      </c>
      <c r="E5" s="242"/>
      <c r="F5" s="254">
        <f>SUM('DOE25'!J189:J192)+SUM('DOE25'!J207:J210)+SUM('DOE25'!J225:J228)</f>
        <v>50130.06</v>
      </c>
      <c r="G5" s="53">
        <f>SUM('DOE25'!K189:K192)+SUM('DOE25'!K207:K210)+SUM('DOE25'!K225:K228)</f>
        <v>20944.420000000002</v>
      </c>
      <c r="H5" s="258"/>
    </row>
    <row r="6" spans="1:9" x14ac:dyDescent="0.2">
      <c r="A6" s="32">
        <v>2100</v>
      </c>
      <c r="B6" t="s">
        <v>832</v>
      </c>
      <c r="C6" s="244">
        <f t="shared" si="0"/>
        <v>812969.37</v>
      </c>
      <c r="D6" s="20">
        <f>'DOE25'!L194+'DOE25'!L212+'DOE25'!L230-F6-G6</f>
        <v>809029.64</v>
      </c>
      <c r="E6" s="242"/>
      <c r="F6" s="254">
        <f>'DOE25'!J194+'DOE25'!J212+'DOE25'!J230</f>
        <v>1861.2299999999998</v>
      </c>
      <c r="G6" s="53">
        <f>'DOE25'!K194+'DOE25'!K212+'DOE25'!K230</f>
        <v>2078.5</v>
      </c>
      <c r="H6" s="258"/>
    </row>
    <row r="7" spans="1:9" x14ac:dyDescent="0.2">
      <c r="A7" s="32">
        <v>2200</v>
      </c>
      <c r="B7" t="s">
        <v>865</v>
      </c>
      <c r="C7" s="244">
        <f t="shared" si="0"/>
        <v>169159.59000000003</v>
      </c>
      <c r="D7" s="20">
        <f>'DOE25'!L195+'DOE25'!L213+'DOE25'!L231-F7-G7</f>
        <v>148605.13</v>
      </c>
      <c r="E7" s="242"/>
      <c r="F7" s="254">
        <f>'DOE25'!J195+'DOE25'!J213+'DOE25'!J231</f>
        <v>1199.3499999999999</v>
      </c>
      <c r="G7" s="53">
        <f>'DOE25'!K195+'DOE25'!K213+'DOE25'!K231</f>
        <v>19355.11</v>
      </c>
      <c r="H7" s="258"/>
    </row>
    <row r="8" spans="1:9" x14ac:dyDescent="0.2">
      <c r="A8" s="32">
        <v>2300</v>
      </c>
      <c r="B8" t="s">
        <v>833</v>
      </c>
      <c r="C8" s="244">
        <f t="shared" si="0"/>
        <v>18764.500000000029</v>
      </c>
      <c r="D8" s="242"/>
      <c r="E8" s="20">
        <f>'DOE25'!L196+'DOE25'!L214+'DOE25'!L232-F8-G8-D9-D11</f>
        <v>8617.5300000000279</v>
      </c>
      <c r="F8" s="254">
        <f>'DOE25'!J196+'DOE25'!J214+'DOE25'!J232</f>
        <v>325</v>
      </c>
      <c r="G8" s="53">
        <f>'DOE25'!K196+'DOE25'!K214+'DOE25'!K232</f>
        <v>9821.9699999999993</v>
      </c>
      <c r="H8" s="258"/>
    </row>
    <row r="9" spans="1:9" x14ac:dyDescent="0.2">
      <c r="A9" s="32">
        <v>2310</v>
      </c>
      <c r="B9" t="s">
        <v>849</v>
      </c>
      <c r="C9" s="244">
        <f t="shared" si="0"/>
        <v>128969.55</v>
      </c>
      <c r="D9" s="243">
        <v>128969.55</v>
      </c>
      <c r="E9" s="242"/>
      <c r="F9" s="257"/>
      <c r="G9" s="255"/>
      <c r="H9" s="258"/>
    </row>
    <row r="10" spans="1:9" x14ac:dyDescent="0.2">
      <c r="A10" s="32">
        <v>2317</v>
      </c>
      <c r="B10" t="s">
        <v>850</v>
      </c>
      <c r="C10" s="244">
        <f t="shared" si="0"/>
        <v>18764.5</v>
      </c>
      <c r="D10" s="242"/>
      <c r="E10" s="243">
        <v>18764.5</v>
      </c>
      <c r="F10" s="257"/>
      <c r="G10" s="255"/>
      <c r="H10" s="258"/>
    </row>
    <row r="11" spans="1:9" x14ac:dyDescent="0.2">
      <c r="A11" s="32">
        <v>2321</v>
      </c>
      <c r="B11" t="s">
        <v>862</v>
      </c>
      <c r="C11" s="244">
        <f t="shared" si="0"/>
        <v>423891.19</v>
      </c>
      <c r="D11" s="243">
        <v>423891.19</v>
      </c>
      <c r="E11" s="242"/>
      <c r="F11" s="257"/>
      <c r="G11" s="255"/>
      <c r="H11" s="258"/>
    </row>
    <row r="12" spans="1:9" x14ac:dyDescent="0.2">
      <c r="A12" s="32">
        <v>2400</v>
      </c>
      <c r="B12" t="s">
        <v>746</v>
      </c>
      <c r="C12" s="244">
        <f t="shared" si="0"/>
        <v>861110.3899999999</v>
      </c>
      <c r="D12" s="20">
        <f>'DOE25'!L197+'DOE25'!L215+'DOE25'!L233-F12-G12</f>
        <v>842545.30999999994</v>
      </c>
      <c r="E12" s="242"/>
      <c r="F12" s="254">
        <f>'DOE25'!J197+'DOE25'!J215+'DOE25'!J233</f>
        <v>4541.71</v>
      </c>
      <c r="G12" s="53">
        <f>'DOE25'!K197+'DOE25'!K215+'DOE25'!K233</f>
        <v>14023.369999999999</v>
      </c>
      <c r="H12" s="258"/>
    </row>
    <row r="13" spans="1:9" x14ac:dyDescent="0.2">
      <c r="A13" s="32">
        <v>2500</v>
      </c>
      <c r="B13" t="s">
        <v>834</v>
      </c>
      <c r="C13" s="244">
        <f t="shared" si="0"/>
        <v>179982.56</v>
      </c>
      <c r="D13" s="242"/>
      <c r="E13" s="20">
        <f>'DOE25'!L198+'DOE25'!L216+'DOE25'!L234-F13-G13</f>
        <v>179652.56</v>
      </c>
      <c r="F13" s="254">
        <f>'DOE25'!J198+'DOE25'!J216+'DOE25'!J234</f>
        <v>0</v>
      </c>
      <c r="G13" s="53">
        <f>'DOE25'!K198+'DOE25'!K216+'DOE25'!K234</f>
        <v>330</v>
      </c>
      <c r="H13" s="258"/>
    </row>
    <row r="14" spans="1:9" x14ac:dyDescent="0.2">
      <c r="A14" s="32">
        <v>2600</v>
      </c>
      <c r="B14" t="s">
        <v>863</v>
      </c>
      <c r="C14" s="244">
        <f t="shared" si="0"/>
        <v>1307527.44</v>
      </c>
      <c r="D14" s="20">
        <f>'DOE25'!L199+'DOE25'!L217+'DOE25'!L235-F14-G14</f>
        <v>1296486.3500000001</v>
      </c>
      <c r="E14" s="242"/>
      <c r="F14" s="254">
        <f>'DOE25'!J199+'DOE25'!J217+'DOE25'!J235</f>
        <v>8982.42</v>
      </c>
      <c r="G14" s="53">
        <f>'DOE25'!K199+'DOE25'!K217+'DOE25'!K235</f>
        <v>2058.67</v>
      </c>
      <c r="H14" s="258"/>
    </row>
    <row r="15" spans="1:9" x14ac:dyDescent="0.2">
      <c r="A15" s="32">
        <v>2700</v>
      </c>
      <c r="B15" t="s">
        <v>835</v>
      </c>
      <c r="C15" s="244">
        <f t="shared" si="0"/>
        <v>361530.88999999996</v>
      </c>
      <c r="D15" s="20">
        <f>'DOE25'!L200+'DOE25'!L218+'DOE25'!L236-F15-G15</f>
        <v>361530.88999999996</v>
      </c>
      <c r="E15" s="242"/>
      <c r="F15" s="254">
        <f>'DOE25'!J200+'DOE25'!J218+'DOE25'!J236</f>
        <v>0</v>
      </c>
      <c r="G15" s="53">
        <f>'DOE25'!K200+'DOE25'!K218+'DOE25'!K236</f>
        <v>0</v>
      </c>
      <c r="H15" s="258"/>
    </row>
    <row r="16" spans="1:9" x14ac:dyDescent="0.2">
      <c r="A16" s="32">
        <v>2800</v>
      </c>
      <c r="B16" t="s">
        <v>836</v>
      </c>
      <c r="C16" s="244">
        <f t="shared" si="0"/>
        <v>312266.74</v>
      </c>
      <c r="D16" s="242"/>
      <c r="E16" s="20">
        <f>'DOE25'!L201+'DOE25'!L219+'DOE25'!L237-F16-G16</f>
        <v>276794.62</v>
      </c>
      <c r="F16" s="254">
        <f>'DOE25'!J201+'DOE25'!J219+'DOE25'!J237</f>
        <v>35452.120000000003</v>
      </c>
      <c r="G16" s="53">
        <f>'DOE25'!K201+'DOE25'!K219+'DOE25'!K237</f>
        <v>20</v>
      </c>
      <c r="H16" s="258"/>
    </row>
    <row r="17" spans="1:8" x14ac:dyDescent="0.2">
      <c r="A17" s="32">
        <v>1600</v>
      </c>
      <c r="B17" t="s">
        <v>837</v>
      </c>
      <c r="C17" s="244">
        <f t="shared" si="0"/>
        <v>0</v>
      </c>
      <c r="D17" s="20">
        <f>'DOE25'!L243-F17-G17</f>
        <v>0</v>
      </c>
      <c r="E17" s="242"/>
      <c r="F17" s="254">
        <f>'DOE25'!J243</f>
        <v>0</v>
      </c>
      <c r="G17" s="53">
        <f>'DOE25'!K243</f>
        <v>0</v>
      </c>
      <c r="H17" s="258"/>
    </row>
    <row r="18" spans="1:8" x14ac:dyDescent="0.2">
      <c r="A18" s="32">
        <v>1700</v>
      </c>
      <c r="B18" t="s">
        <v>838</v>
      </c>
      <c r="C18" s="244">
        <f t="shared" si="0"/>
        <v>0</v>
      </c>
      <c r="D18" s="20">
        <f>'DOE25'!L244-F18-G18</f>
        <v>0</v>
      </c>
      <c r="E18" s="242"/>
      <c r="F18" s="254">
        <f>'DOE25'!J244</f>
        <v>0</v>
      </c>
      <c r="G18" s="53">
        <f>'DOE25'!K244</f>
        <v>0</v>
      </c>
      <c r="H18" s="258"/>
    </row>
    <row r="19" spans="1:8" x14ac:dyDescent="0.2">
      <c r="A19" s="32">
        <v>1800</v>
      </c>
      <c r="B19" t="s">
        <v>839</v>
      </c>
      <c r="C19" s="244">
        <f t="shared" si="0"/>
        <v>0</v>
      </c>
      <c r="D19" s="20">
        <f>'DOE25'!L245-F19-G19</f>
        <v>0</v>
      </c>
      <c r="E19" s="242"/>
      <c r="F19" s="254">
        <f>'DOE25'!J245</f>
        <v>0</v>
      </c>
      <c r="G19" s="53">
        <f>'DOE25'!K245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827</v>
      </c>
      <c r="F21" s="259"/>
      <c r="G21" s="52"/>
      <c r="H21" s="260"/>
    </row>
    <row r="22" spans="1:8" x14ac:dyDescent="0.2">
      <c r="A22" s="32">
        <v>4000</v>
      </c>
      <c r="B22" t="s">
        <v>864</v>
      </c>
      <c r="C22" s="244">
        <f>SUM(D22:H22)</f>
        <v>0</v>
      </c>
      <c r="D22" s="242"/>
      <c r="E22" s="242"/>
      <c r="F22" s="254">
        <f>'DOE25'!L247+'DOE25'!L328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487</v>
      </c>
      <c r="F24" s="259"/>
      <c r="G24" s="52"/>
      <c r="H24" s="260"/>
    </row>
    <row r="25" spans="1:8" x14ac:dyDescent="0.2">
      <c r="A25" s="32" t="s">
        <v>840</v>
      </c>
      <c r="B25" t="s">
        <v>841</v>
      </c>
      <c r="C25" s="244">
        <f>SUM(D25:H25)</f>
        <v>617872.71</v>
      </c>
      <c r="D25" s="242"/>
      <c r="E25" s="242"/>
      <c r="F25" s="257"/>
      <c r="G25" s="255"/>
      <c r="H25" s="256">
        <f>'DOE25'!L252+'DOE25'!L253+'DOE25'!L333+'DOE25'!L334</f>
        <v>617872.71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843</v>
      </c>
      <c r="F27" s="259"/>
      <c r="G27" s="52"/>
      <c r="H27" s="260"/>
    </row>
    <row r="28" spans="1:8" x14ac:dyDescent="0.2">
      <c r="A28" s="32">
        <v>3100</v>
      </c>
      <c r="B28" t="s">
        <v>856</v>
      </c>
      <c r="F28" s="259"/>
      <c r="G28" s="52"/>
      <c r="H28" s="260"/>
    </row>
    <row r="29" spans="1:8" x14ac:dyDescent="0.2">
      <c r="A29" s="32"/>
      <c r="B29" t="s">
        <v>844</v>
      </c>
      <c r="C29" s="244">
        <f>SUM(D29:H29)</f>
        <v>332159.64</v>
      </c>
      <c r="D29" s="20">
        <f>'DOE25'!L350+'DOE25'!L351+'DOE25'!L352-'DOE25'!I359-F29-G29</f>
        <v>321928.88</v>
      </c>
      <c r="E29" s="242"/>
      <c r="F29" s="254">
        <f>'DOE25'!J350+'DOE25'!J351+'DOE25'!J352</f>
        <v>10089.75</v>
      </c>
      <c r="G29" s="53">
        <f>'DOE25'!K350+'DOE25'!K351+'DOE25'!K352</f>
        <v>141.01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858</v>
      </c>
      <c r="B31" t="s">
        <v>857</v>
      </c>
      <c r="C31" s="244">
        <f>SUM(D31:H31)</f>
        <v>974721.86999999976</v>
      </c>
      <c r="D31" s="20">
        <f>'DOE25'!L282+'DOE25'!L301+'DOE25'!L320+'DOE25'!L325+'DOE25'!L326+'DOE25'!L327-F31-G31</f>
        <v>830778.11999999976</v>
      </c>
      <c r="E31" s="242"/>
      <c r="F31" s="254">
        <f>'DOE25'!J282+'DOE25'!J301+'DOE25'!J320+'DOE25'!J325+'DOE25'!J326+'DOE25'!J327</f>
        <v>115933.18</v>
      </c>
      <c r="G31" s="53">
        <f>'DOE25'!K282+'DOE25'!K301+'DOE25'!K320+'DOE25'!K325+'DOE25'!K326+'DOE25'!K327</f>
        <v>28010.57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845</v>
      </c>
      <c r="D33" s="245">
        <f>SUM(D5:D31)</f>
        <v>13961444.280000001</v>
      </c>
      <c r="E33" s="245">
        <f>SUM(E5:E31)</f>
        <v>483829.21</v>
      </c>
      <c r="F33" s="245">
        <f>SUM(F5:F31)</f>
        <v>228514.82</v>
      </c>
      <c r="G33" s="245">
        <f>SUM(G5:G31)</f>
        <v>96783.62</v>
      </c>
      <c r="H33" s="245">
        <f>SUM(H5:H31)</f>
        <v>617872.71</v>
      </c>
    </row>
    <row r="35" spans="2:8" ht="12" thickBot="1" x14ac:dyDescent="0.25">
      <c r="B35" s="252" t="s">
        <v>878</v>
      </c>
      <c r="D35" s="253">
        <f>E33</f>
        <v>483829.21</v>
      </c>
      <c r="E35" s="248"/>
    </row>
    <row r="36" spans="2:8" ht="12" thickTop="1" x14ac:dyDescent="0.2">
      <c r="B36" t="s">
        <v>846</v>
      </c>
      <c r="D36" s="20">
        <f>D33</f>
        <v>13961444.280000001</v>
      </c>
    </row>
    <row r="38" spans="2:8" x14ac:dyDescent="0.2">
      <c r="B38" s="185" t="s">
        <v>887</v>
      </c>
      <c r="C38" s="265"/>
      <c r="D38" s="266"/>
    </row>
    <row r="39" spans="2:8" x14ac:dyDescent="0.2">
      <c r="B39" t="s">
        <v>855</v>
      </c>
      <c r="D39" s="179" t="str">
        <f>IF(E10&gt;0,"Y","N")</f>
        <v>Y</v>
      </c>
    </row>
    <row r="41" spans="2:8" x14ac:dyDescent="0.2">
      <c r="B41" s="263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5057-0020-4849-9915-1E70F22223E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2159494.59</v>
      </c>
      <c r="D9" s="94">
        <f>'DOE25'!G9</f>
        <v>0</v>
      </c>
      <c r="E9" s="94">
        <f>'DOE25'!H9</f>
        <v>0</v>
      </c>
      <c r="F9" s="94">
        <f>'DOE25'!I9</f>
        <v>12654.47</v>
      </c>
      <c r="G9" s="94">
        <f>'DOE25'!J9</f>
        <v>0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0</v>
      </c>
      <c r="D10" s="94">
        <f>'DOE25'!G10</f>
        <v>0</v>
      </c>
      <c r="E10" s="94">
        <f>'DOE25'!H10</f>
        <v>0</v>
      </c>
      <c r="F10" s="94">
        <f>'DOE25'!I10</f>
        <v>0</v>
      </c>
      <c r="G10" s="94">
        <f>'DOE25'!J10</f>
        <v>382210.18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0</v>
      </c>
      <c r="D12" s="94">
        <f>'DOE25'!G12</f>
        <v>0</v>
      </c>
      <c r="E12" s="94">
        <f>'DOE25'!H12</f>
        <v>30363.47</v>
      </c>
      <c r="F12" s="94">
        <f>'DOE25'!I12</f>
        <v>1306778.55</v>
      </c>
      <c r="G12" s="94">
        <f>'DOE25'!J12</f>
        <v>72216.34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0</v>
      </c>
      <c r="D13" s="94">
        <f>'DOE25'!G13</f>
        <v>35384.019999999997</v>
      </c>
      <c r="E13" s="94">
        <f>'DOE25'!H13</f>
        <v>0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91933.88</v>
      </c>
      <c r="D14" s="94">
        <f>'DOE25'!G14</f>
        <v>639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0</v>
      </c>
      <c r="D16" s="94">
        <f>'DOE25'!G16</f>
        <v>9178.31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2251428.4699999997</v>
      </c>
      <c r="D19" s="41">
        <f>SUM(D9:D18)</f>
        <v>45201.329999999994</v>
      </c>
      <c r="E19" s="41">
        <f>SUM(E9:E18)</f>
        <v>30363.47</v>
      </c>
      <c r="F19" s="41">
        <f>SUM(F9:F18)</f>
        <v>1319433.02</v>
      </c>
      <c r="G19" s="41">
        <f>SUM(G9:G18)</f>
        <v>454426.52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1062235.71</v>
      </c>
      <c r="D22" s="94">
        <f>'DOE25'!G23</f>
        <v>21311.06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176080.31</v>
      </c>
      <c r="D24" s="94">
        <f>'DOE25'!G25</f>
        <v>158.16</v>
      </c>
      <c r="E24" s="94">
        <f>'DOE25'!H25</f>
        <v>13291.38</v>
      </c>
      <c r="F24" s="94">
        <f>'DOE25'!I25</f>
        <v>787429.88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0</v>
      </c>
      <c r="D28" s="94" t="str">
        <f>'DOE25'!G29</f>
        <v>............</v>
      </c>
      <c r="E28" s="94" t="str">
        <f>'DOE25'!H29</f>
        <v>............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-10384.700000000001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0</v>
      </c>
      <c r="D30" s="94">
        <f>'DOE25'!G31</f>
        <v>3741.47</v>
      </c>
      <c r="E30" s="94">
        <f>'DOE25'!H31</f>
        <v>-638.98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1227931.32</v>
      </c>
      <c r="D32" s="41">
        <f>SUM(D22:D31)</f>
        <v>25210.690000000002</v>
      </c>
      <c r="E32" s="41">
        <f>SUM(E22:E31)</f>
        <v>12652.4</v>
      </c>
      <c r="F32" s="41">
        <f>SUM(F22:F31)</f>
        <v>787429.88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0</v>
      </c>
      <c r="D34" s="94">
        <f>'DOE25'!G35</f>
        <v>9178.31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45394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6050.96</v>
      </c>
      <c r="F37" s="94">
        <f>'DOE25'!I38</f>
        <v>532003.14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55000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340114.97</v>
      </c>
      <c r="D40" s="94">
        <f>'DOE25'!G41</f>
        <v>10812.33</v>
      </c>
      <c r="E40" s="94">
        <f>'DOE25'!H41</f>
        <v>11660.110000000299</v>
      </c>
      <c r="F40" s="94">
        <f>'DOE25'!I41</f>
        <v>0</v>
      </c>
      <c r="G40" s="94">
        <f>'DOE25'!J41</f>
        <v>454426.52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582988.18000000005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1023497.15</v>
      </c>
      <c r="D42" s="41">
        <f>SUM(D34:D41)</f>
        <v>19990.64</v>
      </c>
      <c r="E42" s="41">
        <f>SUM(E34:E41)</f>
        <v>17711.070000000298</v>
      </c>
      <c r="F42" s="41">
        <f>SUM(F34:F41)</f>
        <v>532003.14</v>
      </c>
      <c r="G42" s="41">
        <f>SUM(G34:G41)</f>
        <v>454426.52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2251428.4700000002</v>
      </c>
      <c r="D43" s="41">
        <f>D42+D32</f>
        <v>45201.33</v>
      </c>
      <c r="E43" s="41">
        <f>E42+E32</f>
        <v>30363.470000000299</v>
      </c>
      <c r="F43" s="41">
        <f>F42+F32</f>
        <v>1319433.02</v>
      </c>
      <c r="G43" s="41">
        <f>G42+G32</f>
        <v>454426.52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8388747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140702.54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0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2999.86</v>
      </c>
      <c r="D51" s="94">
        <f>'DOE25'!G88</f>
        <v>0</v>
      </c>
      <c r="E51" s="94">
        <f>'DOE25'!H88</f>
        <v>0</v>
      </c>
      <c r="F51" s="94">
        <f>'DOE25'!I88</f>
        <v>3662.26</v>
      </c>
      <c r="G51" s="94">
        <f>'DOE25'!J88</f>
        <v>1013.19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212320.38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46803.37</v>
      </c>
      <c r="D53" s="94">
        <f>SUM('DOE25'!G90:G102)</f>
        <v>0</v>
      </c>
      <c r="E53" s="94">
        <f>SUM('DOE25'!H90:H102)</f>
        <v>46734</v>
      </c>
      <c r="F53" s="94">
        <f>SUM('DOE25'!I90:I102)</f>
        <v>0</v>
      </c>
      <c r="G53" s="94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190505.77</v>
      </c>
      <c r="D54" s="129">
        <f>SUM(D49:D53)</f>
        <v>212320.38</v>
      </c>
      <c r="E54" s="129">
        <f>SUM(E49:E53)</f>
        <v>46734</v>
      </c>
      <c r="F54" s="129">
        <f>SUM(F49:F53)</f>
        <v>3662.26</v>
      </c>
      <c r="G54" s="129">
        <f>SUM(G49:G53)</f>
        <v>1013.19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8579252.7699999996</v>
      </c>
      <c r="D55" s="22">
        <f>D48+D54</f>
        <v>212320.38</v>
      </c>
      <c r="E55" s="22">
        <f>E48+E54</f>
        <v>46734</v>
      </c>
      <c r="F55" s="22">
        <f>F48+F54</f>
        <v>3662.26</v>
      </c>
      <c r="G55" s="22">
        <f>G48+G54</f>
        <v>1013.19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4">
        <f>'DOE25'!F109</f>
        <v>3727804.58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4">
        <f>'DOE25'!F110</f>
        <v>1298798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4">
        <f>'DOE25'!F111</f>
        <v>135206.42000000001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5161809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91806.96</v>
      </c>
      <c r="D64" s="24" t="s">
        <v>312</v>
      </c>
      <c r="E64" s="24" t="s">
        <v>312</v>
      </c>
      <c r="F64" s="94">
        <f>'DOE25'!I115</f>
        <v>4228246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0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57704.39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237594.22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1800</v>
      </c>
      <c r="D69" s="94">
        <f>SUM('DOE25'!G123:G127)</f>
        <v>4072.09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388905.57</v>
      </c>
      <c r="D70" s="129">
        <f>SUM(D64:D69)</f>
        <v>4072.09</v>
      </c>
      <c r="E70" s="129">
        <f>SUM(E64:E69)</f>
        <v>0</v>
      </c>
      <c r="F70" s="129">
        <f>SUM(F64:F69)</f>
        <v>4228246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29">
        <f>SUM(C71:C72)+C70+C62</f>
        <v>5550714.5700000003</v>
      </c>
      <c r="D73" s="129">
        <f>SUM(D71:D72)+D70+D62</f>
        <v>4072.09</v>
      </c>
      <c r="E73" s="129">
        <f>SUM(E71:E72)+E70+E62</f>
        <v>0</v>
      </c>
      <c r="F73" s="129">
        <f>SUM(F71:F72)+F70+F62</f>
        <v>4228246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4">
        <f>'DOE25'!F139</f>
        <v>159472.71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0</v>
      </c>
      <c r="F79" s="94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4">
        <f>SUM('DOE25'!F145:F153)</f>
        <v>150000.75</v>
      </c>
      <c r="D80" s="94">
        <f>SUM('DOE25'!G145:G153)</f>
        <v>220374.25</v>
      </c>
      <c r="E80" s="94">
        <f>SUM('DOE25'!H145:H153)</f>
        <v>954206.66</v>
      </c>
      <c r="F80" s="94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4">
        <f>'DOE25'!F157</f>
        <v>2091.14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0">
        <f>SUM(C77:C82)</f>
        <v>311564.59999999998</v>
      </c>
      <c r="D83" s="130">
        <f>SUM(D77:D82)</f>
        <v>220374.25</v>
      </c>
      <c r="E83" s="130">
        <f>SUM(E77:E82)</f>
        <v>954206.66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4">
        <f>'DOE25'!G171</f>
        <v>0</v>
      </c>
      <c r="E88" s="94">
        <f>'DOE25'!H171</f>
        <v>0</v>
      </c>
      <c r="F88" s="94">
        <f>'DOE25'!I171</f>
        <v>0</v>
      </c>
      <c r="G88" s="94">
        <f>'DOE25'!J171</f>
        <v>72216.34</v>
      </c>
    </row>
    <row r="89" spans="1:7" x14ac:dyDescent="0.2">
      <c r="A89" t="s">
        <v>789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790</v>
      </c>
      <c r="B90" s="32" t="s">
        <v>212</v>
      </c>
      <c r="C90" s="94">
        <f>'DOE25'!F174</f>
        <v>0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791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5">
        <f>SUM(C85:C94)</f>
        <v>0</v>
      </c>
      <c r="D95" s="85">
        <f>SUM(D85:D94)</f>
        <v>0</v>
      </c>
      <c r="E95" s="85">
        <f>SUM(E85:E94)</f>
        <v>0</v>
      </c>
      <c r="F95" s="85">
        <f>SUM(F85:F94)</f>
        <v>0</v>
      </c>
      <c r="G95" s="85">
        <f>SUM(G85:G94)</f>
        <v>72216.34</v>
      </c>
    </row>
    <row r="96" spans="1:7" ht="12.75" thickTop="1" thickBot="1" x14ac:dyDescent="0.25">
      <c r="A96" s="33" t="s">
        <v>796</v>
      </c>
      <c r="C96" s="85">
        <f>C55+C73+C83+C95</f>
        <v>14441531.939999999</v>
      </c>
      <c r="D96" s="85">
        <f>D55+D73+D83+D95</f>
        <v>436766.71999999997</v>
      </c>
      <c r="E96" s="85">
        <f>E55+E73+E83+E95</f>
        <v>1000940.66</v>
      </c>
      <c r="F96" s="85">
        <f>F55+F73+F83+F95</f>
        <v>4231908.26</v>
      </c>
      <c r="G96" s="85">
        <f>G55+G73+G95</f>
        <v>73229.53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5176629.58</v>
      </c>
      <c r="D101" s="24" t="s">
        <v>312</v>
      </c>
      <c r="E101" s="94">
        <f>('DOE25'!L268)+('DOE25'!L287)+('DOE25'!L306)</f>
        <v>572073.07999999996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2409708.54</v>
      </c>
      <c r="D102" s="24" t="s">
        <v>312</v>
      </c>
      <c r="E102" s="94">
        <f>('DOE25'!L269)+('DOE25'!L288)+('DOE25'!L307)</f>
        <v>287479.23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1065900.03</v>
      </c>
      <c r="D103" s="24" t="s">
        <v>312</v>
      </c>
      <c r="E103" s="94">
        <f>('DOE25'!L270)+('DOE25'!L289)+('DOE25'!L308)</f>
        <v>20770.850000000002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216515.55</v>
      </c>
      <c r="D104" s="24" t="s">
        <v>312</v>
      </c>
      <c r="E104" s="94">
        <f>+('DOE25'!L271)+('DOE25'!L290)+('DOE25'!L309)</f>
        <v>1325.5700000000002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0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0</v>
      </c>
      <c r="D106" s="24" t="s">
        <v>312</v>
      </c>
      <c r="E106" s="94">
        <f>+ SUM('DOE25'!L325:L327)</f>
        <v>31044.07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8868753.7000000011</v>
      </c>
      <c r="D107" s="85">
        <f>SUM(D101:D106)</f>
        <v>0</v>
      </c>
      <c r="E107" s="85">
        <f>SUM(E101:E106)</f>
        <v>912692.79999999981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812969.37</v>
      </c>
      <c r="D110" s="24" t="s">
        <v>312</v>
      </c>
      <c r="E110" s="94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169159.59000000003</v>
      </c>
      <c r="D111" s="24" t="s">
        <v>312</v>
      </c>
      <c r="E111" s="94">
        <f>+('DOE25'!L274)+('DOE25'!L293)+('DOE25'!L312)</f>
        <v>46949.23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571625.24</v>
      </c>
      <c r="D112" s="24" t="s">
        <v>312</v>
      </c>
      <c r="E112" s="94">
        <f>+('DOE25'!L275)+('DOE25'!L294)+('DOE25'!L313)</f>
        <v>15079.84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861110.3899999999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179982.56</v>
      </c>
      <c r="D114" s="24" t="s">
        <v>312</v>
      </c>
      <c r="E114" s="94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1307527.44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361530.88999999996</v>
      </c>
      <c r="D116" s="24" t="s">
        <v>312</v>
      </c>
      <c r="E116" s="94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312266.74</v>
      </c>
      <c r="D117" s="24" t="s">
        <v>312</v>
      </c>
      <c r="E117" s="94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464361.38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4576172.22</v>
      </c>
      <c r="D120" s="85">
        <f>SUM(D110:D119)</f>
        <v>464361.38</v>
      </c>
      <c r="E120" s="85">
        <f>SUM(E110:E119)</f>
        <v>62029.070000000007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0</v>
      </c>
      <c r="D122" s="24" t="s">
        <v>312</v>
      </c>
      <c r="E122" s="128">
        <f>'DOE25'!L328</f>
        <v>0</v>
      </c>
      <c r="F122" s="128">
        <f>SUM('DOE25'!L366:'DOE25'!L372)</f>
        <v>7324823.3999999994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300000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317872.71000000002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8507.57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0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73229.53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4">
        <f>('DOE25'!L258+'DOE25'!K339) - (C130+C131+C132)</f>
        <v>-1013.1900000000023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690089.05</v>
      </c>
      <c r="D136" s="140">
        <f>SUM(D122:D135)</f>
        <v>0</v>
      </c>
      <c r="E136" s="140">
        <f>SUM(E122:E135)</f>
        <v>8507.57</v>
      </c>
      <c r="F136" s="140">
        <f>SUM(F122:F135)</f>
        <v>7324823.3999999994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14135014.970000003</v>
      </c>
      <c r="D137" s="85">
        <f>(D107+D120+D136)</f>
        <v>464361.38</v>
      </c>
      <c r="E137" s="85">
        <f>(E107+E120+E136)</f>
        <v>983229.43999999983</v>
      </c>
      <c r="F137" s="85">
        <f>(F107+F120+F136)</f>
        <v>7324823.3999999994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1">
        <f>'DOE25'!F480</f>
        <v>20</v>
      </c>
      <c r="C143" s="151">
        <f>'DOE25'!G480</f>
        <v>17</v>
      </c>
      <c r="D143" s="151">
        <f>'DOE25'!H480</f>
        <v>0</v>
      </c>
      <c r="E143" s="151">
        <f>'DOE25'!I480</f>
        <v>0</v>
      </c>
      <c r="F143" s="151">
        <f>'DOE25'!J480</f>
        <v>0</v>
      </c>
      <c r="G143" s="24" t="s">
        <v>312</v>
      </c>
    </row>
    <row r="144" spans="1:9" x14ac:dyDescent="0.2">
      <c r="A144" s="135" t="s">
        <v>28</v>
      </c>
      <c r="B144" s="150" t="str">
        <f>'DOE25'!F481</f>
        <v>08/02</v>
      </c>
      <c r="C144" s="150" t="str">
        <f>'DOE25'!G481</f>
        <v>06/10</v>
      </c>
      <c r="D144" s="150">
        <f>'DOE25'!H481</f>
        <v>0</v>
      </c>
      <c r="E144" s="150">
        <f>'DOE25'!I481</f>
        <v>0</v>
      </c>
      <c r="F144" s="150">
        <f>'DOE25'!J481</f>
        <v>0</v>
      </c>
      <c r="G144" s="24" t="s">
        <v>312</v>
      </c>
    </row>
    <row r="145" spans="1:7" x14ac:dyDescent="0.2">
      <c r="A145" s="135" t="s">
        <v>29</v>
      </c>
      <c r="B145" s="150" t="str">
        <f>'DOE25'!F482</f>
        <v>08/22</v>
      </c>
      <c r="C145" s="150" t="str">
        <f>'DOE25'!G482</f>
        <v>03/27</v>
      </c>
      <c r="D145" s="150">
        <f>'DOE25'!H482</f>
        <v>0</v>
      </c>
      <c r="E145" s="150">
        <f>'DOE25'!I482</f>
        <v>0</v>
      </c>
      <c r="F145" s="150">
        <f>'DOE25'!J482</f>
        <v>0</v>
      </c>
      <c r="G145" s="24" t="s">
        <v>312</v>
      </c>
    </row>
    <row r="146" spans="1:7" x14ac:dyDescent="0.2">
      <c r="A146" s="135" t="s">
        <v>30</v>
      </c>
      <c r="B146" s="136">
        <f>'DOE25'!F483</f>
        <v>6000000</v>
      </c>
      <c r="C146" s="136">
        <f>'DOE25'!G483</f>
        <v>4160640</v>
      </c>
      <c r="D146" s="136">
        <f>'DOE25'!H483</f>
        <v>0</v>
      </c>
      <c r="E146" s="136">
        <f>'DOE25'!I483</f>
        <v>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4.1900000000000004</v>
      </c>
      <c r="C147" s="136">
        <f>'DOE25'!G484</f>
        <v>5.39</v>
      </c>
      <c r="D147" s="136" t="str">
        <f>'DOE25'!H484</f>
        <v>before Fed reimbursement</v>
      </c>
      <c r="E147" s="136">
        <f>'DOE25'!I484</f>
        <v>0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3900000</v>
      </c>
      <c r="C148" s="136">
        <f>'DOE25'!G485</f>
        <v>4160640</v>
      </c>
      <c r="D148" s="136">
        <f>'DOE25'!H485</f>
        <v>0</v>
      </c>
      <c r="E148" s="136">
        <f>'DOE25'!I485</f>
        <v>0</v>
      </c>
      <c r="F148" s="136">
        <f>'DOE25'!J485</f>
        <v>0</v>
      </c>
      <c r="G148" s="137">
        <f>SUM(B148:F148)</f>
        <v>8060640</v>
      </c>
    </row>
    <row r="149" spans="1:7" x14ac:dyDescent="0.2">
      <c r="A149" s="22" t="s">
        <v>33</v>
      </c>
      <c r="B149" s="136">
        <f>'DOE25'!F486</f>
        <v>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0</v>
      </c>
    </row>
    <row r="150" spans="1:7" x14ac:dyDescent="0.2">
      <c r="A150" s="22" t="s">
        <v>34</v>
      </c>
      <c r="B150" s="136">
        <f>'DOE25'!F487</f>
        <v>300000</v>
      </c>
      <c r="C150" s="136">
        <f>'DOE25'!G487</f>
        <v>0</v>
      </c>
      <c r="D150" s="136">
        <f>'DOE25'!H487</f>
        <v>0</v>
      </c>
      <c r="E150" s="136">
        <f>'DOE25'!I487</f>
        <v>0</v>
      </c>
      <c r="F150" s="136">
        <f>'DOE25'!J487</f>
        <v>0</v>
      </c>
      <c r="G150" s="137">
        <f t="shared" si="0"/>
        <v>300000</v>
      </c>
    </row>
    <row r="151" spans="1:7" x14ac:dyDescent="0.2">
      <c r="A151" s="22" t="s">
        <v>35</v>
      </c>
      <c r="B151" s="136">
        <f>'DOE25'!F488</f>
        <v>3600000</v>
      </c>
      <c r="C151" s="136">
        <f>'DOE25'!G488</f>
        <v>4160640</v>
      </c>
      <c r="D151" s="136">
        <f>'DOE25'!H488</f>
        <v>0</v>
      </c>
      <c r="E151" s="136">
        <f>'DOE25'!I488</f>
        <v>0</v>
      </c>
      <c r="F151" s="136">
        <f>'DOE25'!J488</f>
        <v>0</v>
      </c>
      <c r="G151" s="137">
        <f t="shared" si="0"/>
        <v>7760640</v>
      </c>
    </row>
    <row r="152" spans="1:7" x14ac:dyDescent="0.2">
      <c r="A152" s="22" t="s">
        <v>36</v>
      </c>
      <c r="B152" s="136">
        <f>'DOE25'!F489</f>
        <v>807115</v>
      </c>
      <c r="C152" s="136">
        <f>'DOE25'!G489</f>
        <v>1953281.96</v>
      </c>
      <c r="D152" s="136">
        <f>'DOE25'!H489</f>
        <v>0</v>
      </c>
      <c r="E152" s="136">
        <f>'DOE25'!I489</f>
        <v>0</v>
      </c>
      <c r="F152" s="136">
        <f>'DOE25'!J489</f>
        <v>0</v>
      </c>
      <c r="G152" s="137">
        <f t="shared" si="0"/>
        <v>2760396.96</v>
      </c>
    </row>
    <row r="153" spans="1:7" x14ac:dyDescent="0.2">
      <c r="A153" s="22" t="s">
        <v>37</v>
      </c>
      <c r="B153" s="136">
        <f>'DOE25'!F490</f>
        <v>4407115</v>
      </c>
      <c r="C153" s="136">
        <f>'DOE25'!G490</f>
        <v>6113921.96</v>
      </c>
      <c r="D153" s="136">
        <f>'DOE25'!H490</f>
        <v>0</v>
      </c>
      <c r="E153" s="136">
        <f>'DOE25'!I490</f>
        <v>0</v>
      </c>
      <c r="F153" s="136">
        <f>'DOE25'!J490</f>
        <v>0</v>
      </c>
      <c r="G153" s="137">
        <f t="shared" si="0"/>
        <v>10521036.960000001</v>
      </c>
    </row>
    <row r="154" spans="1:7" x14ac:dyDescent="0.2">
      <c r="A154" s="22" t="s">
        <v>38</v>
      </c>
      <c r="B154" s="136">
        <f>'DOE25'!F491</f>
        <v>300000</v>
      </c>
      <c r="C154" s="136">
        <f>'DOE25'!G491</f>
        <v>260640</v>
      </c>
      <c r="D154" s="136">
        <f>'DOE25'!H491</f>
        <v>0</v>
      </c>
      <c r="E154" s="136">
        <f>'DOE25'!I491</f>
        <v>0</v>
      </c>
      <c r="F154" s="136">
        <f>'DOE25'!J491</f>
        <v>0</v>
      </c>
      <c r="G154" s="137">
        <f t="shared" si="0"/>
        <v>560640</v>
      </c>
    </row>
    <row r="155" spans="1:7" x14ac:dyDescent="0.2">
      <c r="A155" s="22" t="s">
        <v>39</v>
      </c>
      <c r="B155" s="136">
        <f>'DOE25'!F492</f>
        <v>138958</v>
      </c>
      <c r="C155" s="136">
        <f>'DOE25'!G492</f>
        <v>217234.25</v>
      </c>
      <c r="D155" s="136" t="str">
        <f>'DOE25'!H492</f>
        <v>gross</v>
      </c>
      <c r="E155" s="136">
        <f>'DOE25'!I492</f>
        <v>0</v>
      </c>
      <c r="F155" s="136">
        <f>'DOE25'!J492</f>
        <v>0</v>
      </c>
      <c r="G155" s="137">
        <f t="shared" si="0"/>
        <v>356192.25</v>
      </c>
    </row>
    <row r="156" spans="1:7" x14ac:dyDescent="0.2">
      <c r="A156" s="22" t="s">
        <v>269</v>
      </c>
      <c r="B156" s="136">
        <f>'DOE25'!F493</f>
        <v>438958</v>
      </c>
      <c r="C156" s="136">
        <f>'DOE25'!G493</f>
        <v>477874.25</v>
      </c>
      <c r="D156" s="136">
        <f>'DOE25'!H493</f>
        <v>0</v>
      </c>
      <c r="E156" s="136">
        <f>'DOE25'!I493</f>
        <v>0</v>
      </c>
      <c r="F156" s="136">
        <f>'DOE25'!J493</f>
        <v>0</v>
      </c>
      <c r="G156" s="137">
        <f t="shared" si="0"/>
        <v>916832.25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1943-C978-4CE4-AFEA-FF5130C2CDBB}">
  <sheetPr codeName="Sheet3">
    <tabColor indexed="43"/>
  </sheetPr>
  <dimension ref="A1:D42"/>
  <sheetViews>
    <sheetView topLeftCell="A16" workbookViewId="0">
      <selection activeCell="C18" sqref="C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5" t="s">
        <v>748</v>
      </c>
      <c r="B2" s="184" t="str">
        <f>'DOE25'!A2</f>
        <v>Littleton SD</v>
      </c>
    </row>
    <row r="3" spans="1:4" x14ac:dyDescent="0.2">
      <c r="B3" s="186" t="s">
        <v>891</v>
      </c>
    </row>
    <row r="4" spans="1:4" x14ac:dyDescent="0.2">
      <c r="B4" t="s">
        <v>61</v>
      </c>
      <c r="C4" s="177">
        <f>IF('DOE25'!F655+'DOE25'!F660=0,0,ROUND('DOE25'!F662,0))</f>
        <v>16009</v>
      </c>
    </row>
    <row r="5" spans="1:4" x14ac:dyDescent="0.2">
      <c r="B5" t="s">
        <v>735</v>
      </c>
      <c r="C5" s="177">
        <f>IF('DOE25'!G655+'DOE25'!G660=0,0,ROUND('DOE25'!G662,0))</f>
        <v>15079</v>
      </c>
    </row>
    <row r="6" spans="1:4" x14ac:dyDescent="0.2">
      <c r="B6" t="s">
        <v>62</v>
      </c>
      <c r="C6" s="177">
        <f>IF('DOE25'!H655+'DOE25'!H660=0,0,ROUND('DOE25'!H662,0))</f>
        <v>18566</v>
      </c>
    </row>
    <row r="7" spans="1:4" x14ac:dyDescent="0.2">
      <c r="B7" t="s">
        <v>736</v>
      </c>
      <c r="C7" s="177">
        <f>IF('DOE25'!I655+'DOE25'!I660=0,0,ROUND('DOE25'!I662,0))</f>
        <v>16724</v>
      </c>
    </row>
    <row r="9" spans="1:4" x14ac:dyDescent="0.2">
      <c r="A9" s="185" t="s">
        <v>94</v>
      </c>
      <c r="B9" s="186" t="s">
        <v>892</v>
      </c>
      <c r="C9" s="179" t="s">
        <v>755</v>
      </c>
      <c r="D9" s="179" t="s">
        <v>756</v>
      </c>
    </row>
    <row r="10" spans="1:4" x14ac:dyDescent="0.2">
      <c r="A10">
        <v>1100</v>
      </c>
      <c r="B10" t="s">
        <v>737</v>
      </c>
      <c r="C10" s="177">
        <f>ROUND('DOE25'!L189+'DOE25'!L207+'DOE25'!L225+'DOE25'!L268+'DOE25'!L287+'DOE25'!L306,0)</f>
        <v>5748703</v>
      </c>
      <c r="D10" s="180">
        <f>ROUND((C10/$C$28)*100,1)</f>
        <v>38.4</v>
      </c>
    </row>
    <row r="11" spans="1:4" x14ac:dyDescent="0.2">
      <c r="A11">
        <v>1200</v>
      </c>
      <c r="B11" t="s">
        <v>738</v>
      </c>
      <c r="C11" s="177">
        <f>ROUND('DOE25'!L190+'DOE25'!L208+'DOE25'!L226+'DOE25'!L269+'DOE25'!L288+'DOE25'!L307,0)</f>
        <v>2697188</v>
      </c>
      <c r="D11" s="180">
        <f>ROUND((C11/$C$28)*100,1)</f>
        <v>18</v>
      </c>
    </row>
    <row r="12" spans="1:4" x14ac:dyDescent="0.2">
      <c r="A12">
        <v>1300</v>
      </c>
      <c r="B12" t="s">
        <v>739</v>
      </c>
      <c r="C12" s="177">
        <f>ROUND('DOE25'!L191+'DOE25'!L209+'DOE25'!L227+'DOE25'!L270+'DOE25'!L289+'DOE25'!L308,0)</f>
        <v>1086671</v>
      </c>
      <c r="D12" s="180">
        <f>ROUND((C12/$C$28)*100,1)</f>
        <v>7.2</v>
      </c>
    </row>
    <row r="13" spans="1:4" x14ac:dyDescent="0.2">
      <c r="A13">
        <v>1400</v>
      </c>
      <c r="B13" t="s">
        <v>740</v>
      </c>
      <c r="C13" s="177">
        <f>ROUND('DOE25'!L192+'DOE25'!L210+'DOE25'!L228+'DOE25'!L271+'DOE25'!L290+'DOE25'!L309,0)</f>
        <v>217841</v>
      </c>
      <c r="D13" s="180">
        <f>ROUND((C13/$C$28)*100,1)</f>
        <v>1.5</v>
      </c>
    </row>
    <row r="14" spans="1:4" x14ac:dyDescent="0.2">
      <c r="D14" s="180"/>
    </row>
    <row r="15" spans="1:4" x14ac:dyDescent="0.2">
      <c r="A15">
        <v>2100</v>
      </c>
      <c r="B15" t="s">
        <v>741</v>
      </c>
      <c r="C15" s="177">
        <f>ROUND('DOE25'!L194+'DOE25'!L212+'DOE25'!L230+'DOE25'!L273+'DOE25'!L292+'DOE25'!L311,0)</f>
        <v>812969</v>
      </c>
      <c r="D15" s="180">
        <f t="shared" ref="D15:D27" si="0">ROUND((C15/$C$28)*100,1)</f>
        <v>5.4</v>
      </c>
    </row>
    <row r="16" spans="1:4" x14ac:dyDescent="0.2">
      <c r="A16">
        <v>2200</v>
      </c>
      <c r="B16" t="s">
        <v>742</v>
      </c>
      <c r="C16" s="177">
        <f>ROUND('DOE25'!L195+'DOE25'!L213+'DOE25'!L231+'DOE25'!L274+'DOE25'!L293+'DOE25'!L312,0)</f>
        <v>216109</v>
      </c>
      <c r="D16" s="180">
        <f t="shared" si="0"/>
        <v>1.4</v>
      </c>
    </row>
    <row r="17" spans="1:4" x14ac:dyDescent="0.2">
      <c r="A17" s="181" t="s">
        <v>758</v>
      </c>
      <c r="B17" t="s">
        <v>773</v>
      </c>
      <c r="C17" s="177">
        <f>ROUND('DOE25'!L196+'DOE25'!L201+'DOE25'!L214+'DOE25'!L219+'DOE25'!L232+'DOE25'!L237+'DOE25'!L275+'DOE25'!L280+'DOE25'!L294+'DOE25'!L299+'DOE25'!L313+'DOE25'!L318,0)</f>
        <v>898972</v>
      </c>
      <c r="D17" s="180">
        <f t="shared" si="0"/>
        <v>6</v>
      </c>
    </row>
    <row r="18" spans="1:4" x14ac:dyDescent="0.2">
      <c r="A18">
        <v>2400</v>
      </c>
      <c r="B18" t="s">
        <v>746</v>
      </c>
      <c r="C18" s="177">
        <f>ROUND('DOE25'!L197+'DOE25'!L215+'DOE25'!L233+'DOE25'!L276+'DOE25'!L295+'DOE25'!L314,0)</f>
        <v>861110</v>
      </c>
      <c r="D18" s="180">
        <f t="shared" si="0"/>
        <v>5.7</v>
      </c>
    </row>
    <row r="19" spans="1:4" x14ac:dyDescent="0.2">
      <c r="A19">
        <v>2500</v>
      </c>
      <c r="B19" t="s">
        <v>743</v>
      </c>
      <c r="C19" s="177">
        <f>ROUND('DOE25'!L198+'DOE25'!L216+'DOE25'!L234+'DOE25'!L277+'DOE25'!L296+'DOE25'!L315,0)</f>
        <v>179983</v>
      </c>
      <c r="D19" s="180">
        <f t="shared" si="0"/>
        <v>1.2</v>
      </c>
    </row>
    <row r="20" spans="1:4" x14ac:dyDescent="0.2">
      <c r="A20">
        <v>2600</v>
      </c>
      <c r="B20" t="s">
        <v>744</v>
      </c>
      <c r="C20" s="177">
        <f>ROUND('DOE25'!L199+'DOE25'!L217+'DOE25'!L235+'DOE25'!L278+'DOE25'!L297+'DOE25'!L316,0)</f>
        <v>1307527</v>
      </c>
      <c r="D20" s="180">
        <f t="shared" si="0"/>
        <v>8.6999999999999993</v>
      </c>
    </row>
    <row r="21" spans="1:4" x14ac:dyDescent="0.2">
      <c r="A21">
        <v>2700</v>
      </c>
      <c r="B21" t="s">
        <v>745</v>
      </c>
      <c r="C21" s="177">
        <f>ROUND('DOE25'!L200+'DOE25'!L218+'DOE25'!L236+'DOE25'!L279+'DOE25'!L298+'DOE25'!L317,0)</f>
        <v>361531</v>
      </c>
      <c r="D21" s="180">
        <f t="shared" si="0"/>
        <v>2.4</v>
      </c>
    </row>
    <row r="22" spans="1:4" x14ac:dyDescent="0.2">
      <c r="A22">
        <v>2900</v>
      </c>
      <c r="B22" t="s">
        <v>747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749</v>
      </c>
      <c r="C23" s="177">
        <f>ROUND('DOE25'!L242+'DOE25'!L324,0)</f>
        <v>0</v>
      </c>
      <c r="D23" s="180">
        <f t="shared" si="0"/>
        <v>0</v>
      </c>
    </row>
    <row r="24" spans="1:4" x14ac:dyDescent="0.2">
      <c r="A24" s="181" t="s">
        <v>757</v>
      </c>
      <c r="B24" t="s">
        <v>750</v>
      </c>
      <c r="C24" s="177">
        <f>ROUND('DOE25'!L243+'DOE25'!L244+'DOE25'!L245+'DOE25'!L246+'DOE25'!L325+'DOE25'!L326+'DOE25'!L327,0)</f>
        <v>31044</v>
      </c>
      <c r="D24" s="180">
        <f t="shared" si="0"/>
        <v>0.2</v>
      </c>
    </row>
    <row r="25" spans="1:4" x14ac:dyDescent="0.2">
      <c r="A25">
        <v>5120</v>
      </c>
      <c r="B25" t="s">
        <v>751</v>
      </c>
      <c r="C25" s="177">
        <f>ROUND('DOE25'!L253+'DOE25'!L334,0)</f>
        <v>317873</v>
      </c>
      <c r="D25" s="180">
        <f t="shared" si="0"/>
        <v>2.1</v>
      </c>
    </row>
    <row r="26" spans="1:4" x14ac:dyDescent="0.2">
      <c r="A26" s="181" t="s">
        <v>752</v>
      </c>
      <c r="B26" t="s">
        <v>753</v>
      </c>
      <c r="C26" s="177">
        <f>'DOE25'!L260+'DOE25'!L261+'DOE25'!L341+'DOE25'!L342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ROUND('DOE25'!L354-'DOE25'!L353,0)-SUM('DOE25'!G89:G102)</f>
        <v>252040.62</v>
      </c>
      <c r="D27" s="180">
        <f t="shared" si="0"/>
        <v>1.7</v>
      </c>
    </row>
    <row r="28" spans="1:4" x14ac:dyDescent="0.2">
      <c r="B28" s="185" t="s">
        <v>754</v>
      </c>
      <c r="C28" s="178">
        <f>SUM(C10:C27)</f>
        <v>14989561.619999999</v>
      </c>
      <c r="D28" s="182">
        <f>ROUND(SUM(D10:D27),0)</f>
        <v>100</v>
      </c>
    </row>
    <row r="29" spans="1:4" x14ac:dyDescent="0.2">
      <c r="A29">
        <v>4000</v>
      </c>
      <c r="B29" t="s">
        <v>759</v>
      </c>
      <c r="C29" s="177">
        <f>ROUND('DOE25'!L247+'DOE25'!L328+'DOE25'!L366+'DOE25'!L367+'DOE25'!L368+'DOE25'!L369+'DOE25'!L370+'DOE25'!L371+'DOE25'!L372,0)</f>
        <v>7324823</v>
      </c>
    </row>
    <row r="30" spans="1:4" x14ac:dyDescent="0.2">
      <c r="B30" s="185" t="s">
        <v>760</v>
      </c>
      <c r="C30" s="178">
        <f>SUM(C28:C29)</f>
        <v>22314384.619999997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761</v>
      </c>
      <c r="C32" s="178">
        <f>ROUND('DOE25'!L252+'DOE25'!L333,0)</f>
        <v>300000</v>
      </c>
    </row>
    <row r="34" spans="1:4" x14ac:dyDescent="0.2">
      <c r="A34" s="185" t="s">
        <v>94</v>
      </c>
      <c r="B34" s="186" t="s">
        <v>893</v>
      </c>
      <c r="C34" s="179" t="s">
        <v>755</v>
      </c>
      <c r="D34" s="179" t="s">
        <v>756</v>
      </c>
    </row>
    <row r="35" spans="1:4" x14ac:dyDescent="0.2">
      <c r="A35">
        <v>1100</v>
      </c>
      <c r="B35" s="183" t="s">
        <v>762</v>
      </c>
      <c r="C35" s="177">
        <f>ROUND('DOE25'!F52+'DOE25'!G52+'DOE25'!H52+'DOE25'!I52+'DOE25'!J52,0)</f>
        <v>8388747</v>
      </c>
      <c r="D35" s="180">
        <f t="shared" ref="D35:D40" si="1">ROUND((C35/$C$41)*100,1)</f>
        <v>42.2</v>
      </c>
    </row>
    <row r="36" spans="1:4" x14ac:dyDescent="0.2">
      <c r="B36" s="183" t="s">
        <v>774</v>
      </c>
      <c r="C36" s="177">
        <f>SUM('DOE25'!F104:J104)-SUM('DOE25'!G89:G102)+('DOE25'!F166+'DOE25'!F167+'DOE25'!I166+'DOE25'!I167)-C35</f>
        <v>241915.21999999881</v>
      </c>
      <c r="D36" s="180">
        <f t="shared" si="1"/>
        <v>1.2</v>
      </c>
    </row>
    <row r="37" spans="1:4" x14ac:dyDescent="0.2">
      <c r="A37" s="181" t="s">
        <v>890</v>
      </c>
      <c r="B37" s="183" t="s">
        <v>763</v>
      </c>
      <c r="C37" s="177">
        <f>ROUND('DOE25'!F109+'DOE25'!F110+'DOE25'!F111,0)</f>
        <v>5161809</v>
      </c>
      <c r="D37" s="180">
        <f t="shared" si="1"/>
        <v>25.9</v>
      </c>
    </row>
    <row r="38" spans="1:4" x14ac:dyDescent="0.2">
      <c r="A38" s="181" t="s">
        <v>769</v>
      </c>
      <c r="B38" s="183" t="s">
        <v>764</v>
      </c>
      <c r="C38" s="177">
        <f>ROUND(SUM('DOE25'!F132:J132)-SUM('DOE25'!F109:F111),0)</f>
        <v>4621224</v>
      </c>
      <c r="D38" s="180">
        <f t="shared" si="1"/>
        <v>23.2</v>
      </c>
    </row>
    <row r="39" spans="1:4" x14ac:dyDescent="0.2">
      <c r="A39">
        <v>4000</v>
      </c>
      <c r="B39" s="183" t="s">
        <v>765</v>
      </c>
      <c r="C39" s="177">
        <f>ROUND('DOE25'!F161+'DOE25'!G161+'DOE25'!H161+'DOE25'!I161,0)</f>
        <v>1486146</v>
      </c>
      <c r="D39" s="180">
        <f t="shared" si="1"/>
        <v>7.5</v>
      </c>
    </row>
    <row r="40" spans="1:4" x14ac:dyDescent="0.2">
      <c r="A40" s="181" t="s">
        <v>770</v>
      </c>
      <c r="B40" s="183" t="s">
        <v>766</v>
      </c>
      <c r="C40" s="177">
        <f>ROUND(SUM('DOE25'!F181:F183)+SUM('DOE25'!G181:G183)+SUM('DOE25'!H181:H183)+SUM('DOE25'!I181:I183),0)</f>
        <v>0</v>
      </c>
      <c r="D40" s="180">
        <f t="shared" si="1"/>
        <v>0</v>
      </c>
    </row>
    <row r="41" spans="1:4" x14ac:dyDescent="0.2">
      <c r="B41" s="185" t="s">
        <v>767</v>
      </c>
      <c r="C41" s="178">
        <f>SUM(C35:C40)</f>
        <v>19899841.219999999</v>
      </c>
      <c r="D41" s="182">
        <f>SUM(D35:D40)</f>
        <v>100.00000000000001</v>
      </c>
    </row>
    <row r="42" spans="1:4" x14ac:dyDescent="0.2">
      <c r="A42" s="181" t="s">
        <v>772</v>
      </c>
      <c r="B42" s="183" t="s">
        <v>768</v>
      </c>
      <c r="C42" s="177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804E-4CC8-4DD1-A5BE-58422FB8176B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2"/>
      <c r="K1" s="212"/>
      <c r="L1" s="212"/>
      <c r="M1" s="213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Littleton SD</v>
      </c>
      <c r="G2" s="294"/>
      <c r="H2" s="294"/>
      <c r="I2" s="294"/>
      <c r="J2" s="52"/>
      <c r="K2" s="52"/>
      <c r="L2" s="52"/>
      <c r="M2" s="214"/>
    </row>
    <row r="3" spans="1:26" x14ac:dyDescent="0.2">
      <c r="A3" s="215" t="s">
        <v>799</v>
      </c>
      <c r="B3" s="216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7"/>
      <c r="B4" s="218"/>
      <c r="C4" s="286" t="s">
        <v>901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6" t="s">
        <v>702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6" t="s">
        <v>906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69" t="s">
        <v>903</v>
      </c>
      <c r="D7" s="269"/>
      <c r="E7" s="269"/>
      <c r="F7" s="269"/>
      <c r="G7" s="269"/>
      <c r="H7" s="269"/>
      <c r="I7" s="269"/>
      <c r="J7" s="269"/>
      <c r="K7" s="269"/>
      <c r="L7" s="269"/>
      <c r="M7" s="270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69" t="s">
        <v>902</v>
      </c>
      <c r="D8" s="269"/>
      <c r="E8" s="269"/>
      <c r="F8" s="269"/>
      <c r="G8" s="269"/>
      <c r="H8" s="269"/>
      <c r="I8" s="269"/>
      <c r="J8" s="269"/>
      <c r="K8" s="269"/>
      <c r="L8" s="269"/>
      <c r="M8" s="270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69" t="s">
        <v>904</v>
      </c>
      <c r="D9" s="269"/>
      <c r="E9" s="269"/>
      <c r="F9" s="269"/>
      <c r="G9" s="269"/>
      <c r="H9" s="269"/>
      <c r="I9" s="269"/>
      <c r="J9" s="269"/>
      <c r="K9" s="269"/>
      <c r="L9" s="269"/>
      <c r="M9" s="270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69" t="s">
        <v>905</v>
      </c>
      <c r="D10" s="269"/>
      <c r="E10" s="269"/>
      <c r="F10" s="269"/>
      <c r="G10" s="269"/>
      <c r="H10" s="269"/>
      <c r="I10" s="269"/>
      <c r="J10" s="269"/>
      <c r="K10" s="269"/>
      <c r="L10" s="269"/>
      <c r="M10" s="270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69" t="s">
        <v>119</v>
      </c>
      <c r="D11" s="269"/>
      <c r="E11" s="269"/>
      <c r="F11" s="269"/>
      <c r="G11" s="269"/>
      <c r="H11" s="269"/>
      <c r="I11" s="269"/>
      <c r="J11" s="269"/>
      <c r="K11" s="269"/>
      <c r="L11" s="269"/>
      <c r="M11" s="27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69" t="s">
        <v>120</v>
      </c>
      <c r="D12" s="269"/>
      <c r="E12" s="269"/>
      <c r="F12" s="269"/>
      <c r="G12" s="269"/>
      <c r="H12" s="269"/>
      <c r="I12" s="269"/>
      <c r="J12" s="269"/>
      <c r="K12" s="269"/>
      <c r="L12" s="269"/>
      <c r="M12" s="270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70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70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70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70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0"/>
      <c r="O29" s="210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6"/>
      <c r="AB29" s="206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6"/>
      <c r="AO29" s="206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6"/>
      <c r="BB29" s="206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6"/>
      <c r="BO29" s="206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6"/>
      <c r="CB29" s="206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6"/>
      <c r="CO29" s="206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6"/>
      <c r="DB29" s="206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6"/>
      <c r="DO29" s="206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6"/>
      <c r="EB29" s="206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6"/>
      <c r="EO29" s="206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6"/>
      <c r="FB29" s="206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6"/>
      <c r="FO29" s="206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6"/>
      <c r="GB29" s="206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6"/>
      <c r="GO29" s="206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6"/>
      <c r="HB29" s="206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6"/>
      <c r="HO29" s="206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6"/>
      <c r="IB29" s="206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6"/>
      <c r="IO29" s="206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7"/>
      <c r="B30" s="218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0"/>
      <c r="O30" s="210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6"/>
      <c r="AB30" s="206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6"/>
      <c r="AO30" s="206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6"/>
      <c r="BB30" s="206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6"/>
      <c r="BO30" s="206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6"/>
      <c r="CB30" s="206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6"/>
      <c r="CO30" s="206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6"/>
      <c r="DB30" s="206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6"/>
      <c r="DO30" s="206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6"/>
      <c r="EB30" s="206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6"/>
      <c r="EO30" s="206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6"/>
      <c r="FB30" s="206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6"/>
      <c r="FO30" s="206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6"/>
      <c r="GB30" s="206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6"/>
      <c r="GO30" s="206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6"/>
      <c r="HB30" s="206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6"/>
      <c r="HO30" s="206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6"/>
      <c r="IB30" s="206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6"/>
      <c r="IO30" s="206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7"/>
      <c r="B31" s="218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0"/>
      <c r="O31" s="210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6"/>
      <c r="AB31" s="206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6"/>
      <c r="AO31" s="206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6"/>
      <c r="BB31" s="206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6"/>
      <c r="BO31" s="206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6"/>
      <c r="CB31" s="206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6"/>
      <c r="CO31" s="206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6"/>
      <c r="DB31" s="206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6"/>
      <c r="DO31" s="206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6"/>
      <c r="EB31" s="206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6"/>
      <c r="EO31" s="206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6"/>
      <c r="FB31" s="206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6"/>
      <c r="FO31" s="206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6"/>
      <c r="GB31" s="206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6"/>
      <c r="GO31" s="206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6"/>
      <c r="HB31" s="206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6"/>
      <c r="HO31" s="206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6"/>
      <c r="IB31" s="206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6"/>
      <c r="IO31" s="206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7"/>
      <c r="B32" s="218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2"/>
      <c r="O32" s="222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7"/>
      <c r="AB32" s="218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7"/>
      <c r="AO32" s="218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7"/>
      <c r="BB32" s="218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7"/>
      <c r="BO32" s="218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7"/>
      <c r="CB32" s="218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7"/>
      <c r="CO32" s="218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7"/>
      <c r="DB32" s="218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7"/>
      <c r="DO32" s="218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7"/>
      <c r="EB32" s="218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7"/>
      <c r="EO32" s="218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7"/>
      <c r="FB32" s="218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7"/>
      <c r="FO32" s="218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7"/>
      <c r="GB32" s="218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7"/>
      <c r="GO32" s="218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7"/>
      <c r="HB32" s="218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7"/>
      <c r="HO32" s="218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7"/>
      <c r="IB32" s="218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7"/>
      <c r="IO32" s="218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7"/>
      <c r="B33" s="218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0"/>
      <c r="O38" s="210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6"/>
      <c r="AB38" s="206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6"/>
      <c r="AO38" s="206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6"/>
      <c r="BB38" s="206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6"/>
      <c r="BO38" s="206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6"/>
      <c r="CB38" s="206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6"/>
      <c r="CO38" s="206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6"/>
      <c r="DB38" s="206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6"/>
      <c r="DO38" s="206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6"/>
      <c r="EB38" s="206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6"/>
      <c r="EO38" s="206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6"/>
      <c r="FB38" s="206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6"/>
      <c r="FO38" s="206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6"/>
      <c r="GB38" s="206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6"/>
      <c r="GO38" s="206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6"/>
      <c r="HB38" s="206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6"/>
      <c r="HO38" s="206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6"/>
      <c r="IB38" s="206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6"/>
      <c r="IO38" s="206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7"/>
      <c r="B39" s="218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0"/>
      <c r="O39" s="210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6"/>
      <c r="AB39" s="206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6"/>
      <c r="AO39" s="206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6"/>
      <c r="BB39" s="206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6"/>
      <c r="BO39" s="206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6"/>
      <c r="CB39" s="206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6"/>
      <c r="CO39" s="206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6"/>
      <c r="DB39" s="206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6"/>
      <c r="DO39" s="206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6"/>
      <c r="EB39" s="206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6"/>
      <c r="EO39" s="206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6"/>
      <c r="FB39" s="206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6"/>
      <c r="FO39" s="206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6"/>
      <c r="GB39" s="206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6"/>
      <c r="GO39" s="206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6"/>
      <c r="HB39" s="206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6"/>
      <c r="HO39" s="206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6"/>
      <c r="IB39" s="206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6"/>
      <c r="IO39" s="206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7"/>
      <c r="B40" s="218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0"/>
      <c r="O40" s="210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6"/>
      <c r="AB40" s="206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6"/>
      <c r="AO40" s="206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6"/>
      <c r="BB40" s="206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6"/>
      <c r="BO40" s="206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6"/>
      <c r="CB40" s="206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6"/>
      <c r="CO40" s="206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6"/>
      <c r="DB40" s="206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6"/>
      <c r="DO40" s="206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6"/>
      <c r="EB40" s="206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6"/>
      <c r="EO40" s="206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6"/>
      <c r="FB40" s="206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6"/>
      <c r="FO40" s="206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6"/>
      <c r="GB40" s="206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6"/>
      <c r="GO40" s="206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6"/>
      <c r="HB40" s="206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6"/>
      <c r="HO40" s="206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6"/>
      <c r="IB40" s="206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6"/>
      <c r="IO40" s="206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7"/>
      <c r="B41" s="218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7"/>
      <c r="B60" s="218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7"/>
      <c r="B61" s="218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7"/>
      <c r="B62" s="218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7"/>
      <c r="B63" s="218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7"/>
      <c r="B64" s="218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7"/>
      <c r="B65" s="218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7"/>
      <c r="B66" s="218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7"/>
      <c r="B67" s="218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7"/>
      <c r="B68" s="218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7"/>
      <c r="B69" s="218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879</v>
      </c>
      <c r="B72" s="297"/>
      <c r="C72" s="297"/>
      <c r="D72" s="297"/>
      <c r="E72" s="297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799</v>
      </c>
      <c r="B73" s="209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0"/>
      <c r="B74" s="210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0"/>
      <c r="B75" s="210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0"/>
      <c r="B76" s="210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0"/>
      <c r="B77" s="210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0"/>
      <c r="B78" s="210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0"/>
      <c r="B79" s="210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0"/>
      <c r="B80" s="210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0"/>
      <c r="B81" s="210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0"/>
      <c r="B82" s="210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0"/>
      <c r="B83" s="210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0"/>
      <c r="B84" s="210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0"/>
      <c r="B85" s="210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0"/>
      <c r="B86" s="210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0"/>
      <c r="B87" s="210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0"/>
      <c r="B88" s="210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0"/>
      <c r="B89" s="210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0"/>
      <c r="B90" s="210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13"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3:M63"/>
    <mergeCell ref="C64:M64"/>
    <mergeCell ref="C65:M65"/>
    <mergeCell ref="C34:M34"/>
    <mergeCell ref="C35:M35"/>
    <mergeCell ref="C36:M36"/>
    <mergeCell ref="C37:M37"/>
    <mergeCell ref="C38:M38"/>
    <mergeCell ref="C39:M39"/>
    <mergeCell ref="C40:M40"/>
    <mergeCell ref="C17:M17"/>
    <mergeCell ref="C18:M18"/>
    <mergeCell ref="C19:M19"/>
    <mergeCell ref="C62:M62"/>
    <mergeCell ref="C20:M20"/>
    <mergeCell ref="C29:M29"/>
    <mergeCell ref="C25:M25"/>
    <mergeCell ref="C26:M26"/>
    <mergeCell ref="C27:M27"/>
    <mergeCell ref="C28:M28"/>
    <mergeCell ref="C5:M5"/>
    <mergeCell ref="C6:M6"/>
    <mergeCell ref="A2:E2"/>
    <mergeCell ref="A1:I1"/>
    <mergeCell ref="C3:M3"/>
    <mergeCell ref="C4:M4"/>
    <mergeCell ref="F2:I2"/>
    <mergeCell ref="EC29:EM29"/>
    <mergeCell ref="EP29:E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C42:M42"/>
    <mergeCell ref="P30:Z30"/>
    <mergeCell ref="AC30:AM30"/>
    <mergeCell ref="AP30:AZ30"/>
    <mergeCell ref="C41:M41"/>
    <mergeCell ref="C33:M33"/>
    <mergeCell ref="AP31:AZ31"/>
    <mergeCell ref="P32:Z32"/>
    <mergeCell ref="HC29:HM29"/>
    <mergeCell ref="HP29:HZ29"/>
    <mergeCell ref="IC29:IM29"/>
    <mergeCell ref="IP29:IV29"/>
    <mergeCell ref="FC29:FM29"/>
    <mergeCell ref="FP29:FZ29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AP38:AZ38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BP31:BZ31"/>
    <mergeCell ref="CC31:CM31"/>
    <mergeCell ref="HC31:HM31"/>
    <mergeCell ref="HP31:HZ31"/>
    <mergeCell ref="CC30:CM30"/>
    <mergeCell ref="CP30:CZ30"/>
    <mergeCell ref="CP31:CZ31"/>
    <mergeCell ref="CC38:CM38"/>
    <mergeCell ref="CC32:CM32"/>
    <mergeCell ref="AP40:AZ40"/>
    <mergeCell ref="BC31:BM31"/>
    <mergeCell ref="BC32:BM32"/>
    <mergeCell ref="BC39:BM39"/>
    <mergeCell ref="BP38:BZ38"/>
    <mergeCell ref="DC31:DM31"/>
    <mergeCell ref="DP31:DZ31"/>
    <mergeCell ref="EC31:EM31"/>
    <mergeCell ref="EP31:EZ31"/>
    <mergeCell ref="FC31:FM31"/>
    <mergeCell ref="FP31:FZ31"/>
    <mergeCell ref="HC32:HM32"/>
    <mergeCell ref="FP32:FZ32"/>
    <mergeCell ref="GP32:GZ32"/>
    <mergeCell ref="GC32:GM32"/>
    <mergeCell ref="IC31:IM31"/>
    <mergeCell ref="IP31:IV31"/>
    <mergeCell ref="GC31:GM31"/>
    <mergeCell ref="GP31:GZ31"/>
    <mergeCell ref="CP38:CZ38"/>
    <mergeCell ref="DC38:DM38"/>
    <mergeCell ref="DP38:DZ38"/>
    <mergeCell ref="EC38:EM38"/>
    <mergeCell ref="DC32:DM32"/>
    <mergeCell ref="DP32:DZ32"/>
    <mergeCell ref="EC32:EM32"/>
    <mergeCell ref="CP32:CZ32"/>
    <mergeCell ref="IP39:IV39"/>
    <mergeCell ref="EP39:EZ39"/>
    <mergeCell ref="FC39:FM39"/>
    <mergeCell ref="FP39:FZ39"/>
    <mergeCell ref="HP38:HZ38"/>
    <mergeCell ref="IC38:IM38"/>
    <mergeCell ref="EP38:EZ38"/>
    <mergeCell ref="FC38:FM38"/>
    <mergeCell ref="FP38:FZ38"/>
    <mergeCell ref="GC38:GM38"/>
    <mergeCell ref="EP32:EZ32"/>
    <mergeCell ref="IP38:IV38"/>
    <mergeCell ref="HP32:HZ32"/>
    <mergeCell ref="IC32:IM32"/>
    <mergeCell ref="IP32:IV32"/>
    <mergeCell ref="FC32:FM32"/>
    <mergeCell ref="GP39:GZ39"/>
    <mergeCell ref="IC39:IM39"/>
    <mergeCell ref="GP38:GZ38"/>
    <mergeCell ref="HC38:HM38"/>
    <mergeCell ref="HP39:HZ39"/>
    <mergeCell ref="HC39:HM39"/>
    <mergeCell ref="GC39:GM39"/>
    <mergeCell ref="P39:Z39"/>
    <mergeCell ref="AC39:AM39"/>
    <mergeCell ref="AP39:AZ39"/>
    <mergeCell ref="BP39:BZ39"/>
    <mergeCell ref="CC39:CM39"/>
    <mergeCell ref="DC39:DM39"/>
    <mergeCell ref="DP39:DZ39"/>
    <mergeCell ref="EC39:EM39"/>
    <mergeCell ref="CP39:CZ39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IC40:IM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2011-11-02T12:46:09Z</cp:lastPrinted>
  <dcterms:created xsi:type="dcterms:W3CDTF">1997-12-04T19:04:30Z</dcterms:created>
  <dcterms:modified xsi:type="dcterms:W3CDTF">2025-01-10T20:07:01Z</dcterms:modified>
</cp:coreProperties>
</file>