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48F2A62-03AF-4430-91BE-DAD201BD85E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E51E4A5-0A8B-4F23-980B-9E87E3E4216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1" l="1"/>
  <c r="I601" i="1"/>
  <c r="G602" i="1"/>
  <c r="L602" i="1" s="1"/>
  <c r="G653" i="1" s="1"/>
  <c r="G603" i="1"/>
  <c r="L603" i="1" s="1"/>
  <c r="H653" i="1" s="1"/>
  <c r="G601" i="1"/>
  <c r="J585" i="1"/>
  <c r="G557" i="1"/>
  <c r="G547" i="1"/>
  <c r="G521" i="1"/>
  <c r="G518" i="1"/>
  <c r="L518" i="1" s="1"/>
  <c r="G541" i="1" s="1"/>
  <c r="G516" i="1"/>
  <c r="L516" i="1" s="1"/>
  <c r="G511" i="1"/>
  <c r="G522" i="1"/>
  <c r="L522" i="1" s="1"/>
  <c r="H540" i="1" s="1"/>
  <c r="F511" i="1"/>
  <c r="H516" i="1"/>
  <c r="H513" i="1"/>
  <c r="H512" i="1"/>
  <c r="H511" i="1"/>
  <c r="L511" i="1" s="1"/>
  <c r="H518" i="1"/>
  <c r="H517" i="1"/>
  <c r="F518" i="1"/>
  <c r="F517" i="1"/>
  <c r="G517" i="1" s="1"/>
  <c r="F516" i="1"/>
  <c r="J511" i="1"/>
  <c r="J514" i="1" s="1"/>
  <c r="J535" i="1" s="1"/>
  <c r="I513" i="1"/>
  <c r="I512" i="1"/>
  <c r="I511" i="1"/>
  <c r="F513" i="1"/>
  <c r="G513" i="1" s="1"/>
  <c r="F512" i="1"/>
  <c r="G512" i="1" s="1"/>
  <c r="G514" i="1" s="1"/>
  <c r="F523" i="1"/>
  <c r="F522" i="1"/>
  <c r="F521" i="1"/>
  <c r="I558" i="1"/>
  <c r="F572" i="1"/>
  <c r="G572" i="1"/>
  <c r="H572" i="1"/>
  <c r="H533" i="1"/>
  <c r="L533" i="1" s="1"/>
  <c r="J541" i="1" s="1"/>
  <c r="G231" i="1"/>
  <c r="G213" i="1"/>
  <c r="G195" i="1"/>
  <c r="H226" i="1"/>
  <c r="L226" i="1" s="1"/>
  <c r="H236" i="1"/>
  <c r="L236" i="1" s="1"/>
  <c r="J235" i="1"/>
  <c r="I235" i="1"/>
  <c r="H235" i="1"/>
  <c r="H233" i="1"/>
  <c r="I231" i="1"/>
  <c r="K230" i="1"/>
  <c r="I230" i="1"/>
  <c r="H230" i="1"/>
  <c r="I243" i="1"/>
  <c r="J228" i="1"/>
  <c r="I228" i="1"/>
  <c r="L228" i="1" s="1"/>
  <c r="I226" i="1"/>
  <c r="J225" i="1"/>
  <c r="I225" i="1"/>
  <c r="I239" i="1" s="1"/>
  <c r="H225" i="1"/>
  <c r="H218" i="1"/>
  <c r="J217" i="1"/>
  <c r="F14" i="13" s="1"/>
  <c r="D14" i="13" s="1"/>
  <c r="C14" i="13" s="1"/>
  <c r="I217" i="1"/>
  <c r="H217" i="1"/>
  <c r="H215" i="1"/>
  <c r="I213" i="1"/>
  <c r="K212" i="1"/>
  <c r="I212" i="1"/>
  <c r="L212" i="1" s="1"/>
  <c r="J210" i="1"/>
  <c r="F5" i="13" s="1"/>
  <c r="I210" i="1"/>
  <c r="I208" i="1"/>
  <c r="H208" i="1"/>
  <c r="I207" i="1"/>
  <c r="I221" i="1" s="1"/>
  <c r="H207" i="1"/>
  <c r="H221" i="1" s="1"/>
  <c r="H189" i="1"/>
  <c r="H200" i="1"/>
  <c r="L200" i="1" s="1"/>
  <c r="J199" i="1"/>
  <c r="I199" i="1"/>
  <c r="H199" i="1"/>
  <c r="H197" i="1"/>
  <c r="I195" i="1"/>
  <c r="H195" i="1"/>
  <c r="K194" i="1"/>
  <c r="K203" i="1" s="1"/>
  <c r="K249" i="1" s="1"/>
  <c r="K263" i="1" s="1"/>
  <c r="I194" i="1"/>
  <c r="I192" i="1"/>
  <c r="K190" i="1"/>
  <c r="I190" i="1"/>
  <c r="I203" i="1" s="1"/>
  <c r="I249" i="1" s="1"/>
  <c r="I263" i="1" s="1"/>
  <c r="H190" i="1"/>
  <c r="I189" i="1"/>
  <c r="F226" i="1"/>
  <c r="F190" i="1"/>
  <c r="B18" i="12" s="1"/>
  <c r="A22" i="12" s="1"/>
  <c r="F235" i="1"/>
  <c r="F233" i="1"/>
  <c r="L233" i="1" s="1"/>
  <c r="F231" i="1"/>
  <c r="F230" i="1"/>
  <c r="L230" i="1" s="1"/>
  <c r="F243" i="1"/>
  <c r="F228" i="1"/>
  <c r="F225" i="1"/>
  <c r="L225" i="1" s="1"/>
  <c r="F217" i="1"/>
  <c r="F215" i="1"/>
  <c r="F213" i="1"/>
  <c r="F212" i="1"/>
  <c r="F210" i="1"/>
  <c r="F208" i="1"/>
  <c r="L208" i="1" s="1"/>
  <c r="C102" i="2" s="1"/>
  <c r="F207" i="1"/>
  <c r="L207" i="1" s="1"/>
  <c r="F198" i="1"/>
  <c r="F197" i="1"/>
  <c r="L197" i="1" s="1"/>
  <c r="F195" i="1"/>
  <c r="F194" i="1"/>
  <c r="F192" i="1"/>
  <c r="L192" i="1" s="1"/>
  <c r="F189" i="1"/>
  <c r="B9" i="12" s="1"/>
  <c r="A13" i="12" s="1"/>
  <c r="F352" i="1"/>
  <c r="F354" i="1" s="1"/>
  <c r="F351" i="1"/>
  <c r="F350" i="1"/>
  <c r="I274" i="1"/>
  <c r="H274" i="1"/>
  <c r="H282" i="1" s="1"/>
  <c r="H330" i="1" s="1"/>
  <c r="H344" i="1" s="1"/>
  <c r="J269" i="1"/>
  <c r="J282" i="1" s="1"/>
  <c r="I325" i="1"/>
  <c r="H325" i="1"/>
  <c r="L325" i="1" s="1"/>
  <c r="E106" i="2" s="1"/>
  <c r="H308" i="1"/>
  <c r="I269" i="1"/>
  <c r="F274" i="1"/>
  <c r="F273" i="1"/>
  <c r="L273" i="1" s="1"/>
  <c r="E110" i="2" s="1"/>
  <c r="F269" i="1"/>
  <c r="L269" i="1" s="1"/>
  <c r="C37" i="10"/>
  <c r="C60" i="2"/>
  <c r="B2" i="13"/>
  <c r="F8" i="13"/>
  <c r="G8" i="13"/>
  <c r="L196" i="1"/>
  <c r="L214" i="1"/>
  <c r="C112" i="2" s="1"/>
  <c r="L232" i="1"/>
  <c r="D39" i="13"/>
  <c r="F13" i="13"/>
  <c r="G13" i="13"/>
  <c r="L198" i="1"/>
  <c r="C19" i="10" s="1"/>
  <c r="L216" i="1"/>
  <c r="L234" i="1"/>
  <c r="F16" i="13"/>
  <c r="G16" i="13"/>
  <c r="L201" i="1"/>
  <c r="E16" i="13" s="1"/>
  <c r="C16" i="13" s="1"/>
  <c r="L219" i="1"/>
  <c r="L237" i="1"/>
  <c r="G5" i="13"/>
  <c r="L189" i="1"/>
  <c r="L190" i="1"/>
  <c r="L191" i="1"/>
  <c r="C12" i="10" s="1"/>
  <c r="L209" i="1"/>
  <c r="L210" i="1"/>
  <c r="L227" i="1"/>
  <c r="F6" i="13"/>
  <c r="F7" i="13"/>
  <c r="G7" i="13"/>
  <c r="L195" i="1"/>
  <c r="C111" i="2" s="1"/>
  <c r="L213" i="1"/>
  <c r="L231" i="1"/>
  <c r="F12" i="13"/>
  <c r="G12" i="13"/>
  <c r="L215" i="1"/>
  <c r="G14" i="13"/>
  <c r="L199" i="1"/>
  <c r="L217" i="1"/>
  <c r="C20" i="10" s="1"/>
  <c r="L235" i="1"/>
  <c r="F15" i="13"/>
  <c r="G15" i="13"/>
  <c r="L218" i="1"/>
  <c r="G640" i="1" s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C106" i="2" s="1"/>
  <c r="F29" i="13"/>
  <c r="G29" i="13"/>
  <c r="L350" i="1"/>
  <c r="L351" i="1"/>
  <c r="L352" i="1"/>
  <c r="F651" i="1" s="1"/>
  <c r="I359" i="1"/>
  <c r="I361" i="1" s="1"/>
  <c r="H624" i="1" s="1"/>
  <c r="J301" i="1"/>
  <c r="J320" i="1"/>
  <c r="K282" i="1"/>
  <c r="G31" i="13" s="1"/>
  <c r="K301" i="1"/>
  <c r="K320" i="1"/>
  <c r="L268" i="1"/>
  <c r="L270" i="1"/>
  <c r="E103" i="2" s="1"/>
  <c r="L271" i="1"/>
  <c r="L275" i="1"/>
  <c r="L276" i="1"/>
  <c r="L277" i="1"/>
  <c r="L278" i="1"/>
  <c r="E115" i="2" s="1"/>
  <c r="L279" i="1"/>
  <c r="E116" i="2" s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6" i="1"/>
  <c r="L327" i="1"/>
  <c r="L252" i="1"/>
  <c r="C32" i="10" s="1"/>
  <c r="L253" i="1"/>
  <c r="L333" i="1"/>
  <c r="L334" i="1"/>
  <c r="L247" i="1"/>
  <c r="C29" i="10" s="1"/>
  <c r="L328" i="1"/>
  <c r="E122" i="2" s="1"/>
  <c r="C11" i="13"/>
  <c r="C10" i="13"/>
  <c r="C9" i="13"/>
  <c r="L353" i="1"/>
  <c r="B4" i="12"/>
  <c r="C36" i="12"/>
  <c r="B40" i="12"/>
  <c r="C40" i="12"/>
  <c r="B27" i="12"/>
  <c r="C27" i="12"/>
  <c r="B31" i="12"/>
  <c r="C31" i="12"/>
  <c r="B13" i="12"/>
  <c r="C9" i="12"/>
  <c r="C13" i="12"/>
  <c r="B22" i="12"/>
  <c r="C18" i="12"/>
  <c r="C22" i="12"/>
  <c r="B1" i="12"/>
  <c r="L379" i="1"/>
  <c r="L380" i="1"/>
  <c r="L381" i="1"/>
  <c r="L382" i="1"/>
  <c r="L383" i="1"/>
  <c r="L384" i="1"/>
  <c r="L385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96" i="2" s="1"/>
  <c r="G51" i="2"/>
  <c r="G54" i="2" s="1"/>
  <c r="G53" i="2"/>
  <c r="F2" i="11"/>
  <c r="L320" i="1"/>
  <c r="L601" i="1"/>
  <c r="L604" i="1" s="1"/>
  <c r="F653" i="1"/>
  <c r="C40" i="10"/>
  <c r="F52" i="1"/>
  <c r="G52" i="1"/>
  <c r="H52" i="1"/>
  <c r="H104" i="1" s="1"/>
  <c r="I52" i="1"/>
  <c r="F48" i="2" s="1"/>
  <c r="F55" i="2" s="1"/>
  <c r="C35" i="10"/>
  <c r="F71" i="1"/>
  <c r="F86" i="1"/>
  <c r="F104" i="1" s="1"/>
  <c r="F103" i="1"/>
  <c r="G103" i="1"/>
  <c r="G104" i="1" s="1"/>
  <c r="G185" i="1" s="1"/>
  <c r="G618" i="1" s="1"/>
  <c r="J618" i="1" s="1"/>
  <c r="H71" i="1"/>
  <c r="E49" i="2" s="1"/>
  <c r="E54" i="2" s="1"/>
  <c r="H86" i="1"/>
  <c r="H103" i="1"/>
  <c r="I103" i="1"/>
  <c r="I104" i="1"/>
  <c r="J103" i="1"/>
  <c r="J104" i="1" s="1"/>
  <c r="F113" i="1"/>
  <c r="F132" i="1" s="1"/>
  <c r="F128" i="1"/>
  <c r="G113" i="1"/>
  <c r="G128" i="1"/>
  <c r="G132" i="1" s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L242" i="1"/>
  <c r="C23" i="10" s="1"/>
  <c r="L324" i="1"/>
  <c r="L246" i="1"/>
  <c r="C25" i="10"/>
  <c r="L260" i="1"/>
  <c r="C134" i="2" s="1"/>
  <c r="L261" i="1"/>
  <c r="L341" i="1"/>
  <c r="L342" i="1"/>
  <c r="E135" i="2" s="1"/>
  <c r="I655" i="1"/>
  <c r="I660" i="1"/>
  <c r="I659" i="1"/>
  <c r="C42" i="10"/>
  <c r="L366" i="1"/>
  <c r="L367" i="1"/>
  <c r="L368" i="1"/>
  <c r="L369" i="1"/>
  <c r="L374" i="1" s="1"/>
  <c r="G626" i="1" s="1"/>
  <c r="J626" i="1" s="1"/>
  <c r="L370" i="1"/>
  <c r="F122" i="2" s="1"/>
  <c r="F136" i="2" s="1"/>
  <c r="F137" i="2" s="1"/>
  <c r="L371" i="1"/>
  <c r="L372" i="1"/>
  <c r="B2" i="10"/>
  <c r="L336" i="1"/>
  <c r="E126" i="2" s="1"/>
  <c r="L337" i="1"/>
  <c r="E127" i="2" s="1"/>
  <c r="L338" i="1"/>
  <c r="L339" i="1"/>
  <c r="K343" i="1"/>
  <c r="L521" i="1"/>
  <c r="H539" i="1"/>
  <c r="L526" i="1"/>
  <c r="I539" i="1"/>
  <c r="L527" i="1"/>
  <c r="I540" i="1" s="1"/>
  <c r="I542" i="1" s="1"/>
  <c r="L528" i="1"/>
  <c r="I541" i="1"/>
  <c r="L531" i="1"/>
  <c r="L534" i="1" s="1"/>
  <c r="J539" i="1"/>
  <c r="J542" i="1" s="1"/>
  <c r="L532" i="1"/>
  <c r="J540" i="1"/>
  <c r="E124" i="2"/>
  <c r="E123" i="2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E9" i="2"/>
  <c r="F9" i="2"/>
  <c r="I431" i="1"/>
  <c r="J9" i="1"/>
  <c r="C10" i="2"/>
  <c r="D10" i="2"/>
  <c r="D19" i="2" s="1"/>
  <c r="E10" i="2"/>
  <c r="F10" i="2"/>
  <c r="I432" i="1"/>
  <c r="J10" i="1"/>
  <c r="G10" i="2"/>
  <c r="C11" i="2"/>
  <c r="C12" i="2"/>
  <c r="D12" i="2"/>
  <c r="E12" i="2"/>
  <c r="F12" i="2"/>
  <c r="I433" i="1"/>
  <c r="I438" i="1" s="1"/>
  <c r="G632" i="1" s="1"/>
  <c r="J12" i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F19" i="2" s="1"/>
  <c r="I436" i="1"/>
  <c r="J17" i="1"/>
  <c r="G17" i="2" s="1"/>
  <c r="C18" i="2"/>
  <c r="D18" i="2"/>
  <c r="E18" i="2"/>
  <c r="F18" i="2"/>
  <c r="I437" i="1"/>
  <c r="J18" i="1"/>
  <c r="G18" i="2"/>
  <c r="C22" i="2"/>
  <c r="D22" i="2"/>
  <c r="D32" i="2" s="1"/>
  <c r="E22" i="2"/>
  <c r="F22" i="2"/>
  <c r="I440" i="1"/>
  <c r="I444" i="1" s="1"/>
  <c r="J23" i="1"/>
  <c r="C23" i="2"/>
  <c r="D23" i="2"/>
  <c r="E23" i="2"/>
  <c r="F23" i="2"/>
  <c r="I441" i="1"/>
  <c r="J24" i="1"/>
  <c r="G23" i="2" s="1"/>
  <c r="C24" i="2"/>
  <c r="C32" i="2" s="1"/>
  <c r="C43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E32" i="2"/>
  <c r="C34" i="2"/>
  <c r="D34" i="2"/>
  <c r="D42" i="2" s="1"/>
  <c r="D43" i="2" s="1"/>
  <c r="E34" i="2"/>
  <c r="F34" i="2"/>
  <c r="C35" i="2"/>
  <c r="D35" i="2"/>
  <c r="E35" i="2"/>
  <c r="E42" i="2" s="1"/>
  <c r="E43" i="2" s="1"/>
  <c r="F35" i="2"/>
  <c r="C36" i="2"/>
  <c r="D36" i="2"/>
  <c r="E36" i="2"/>
  <c r="F36" i="2"/>
  <c r="F42" i="2" s="1"/>
  <c r="F43" i="2" s="1"/>
  <c r="I446" i="1"/>
  <c r="J37" i="1"/>
  <c r="G36" i="2" s="1"/>
  <c r="C37" i="2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C41" i="2"/>
  <c r="D41" i="2"/>
  <c r="E41" i="2"/>
  <c r="F41" i="2"/>
  <c r="C48" i="2"/>
  <c r="D48" i="2"/>
  <c r="E48" i="2"/>
  <c r="C49" i="2"/>
  <c r="C50" i="2"/>
  <c r="E50" i="2"/>
  <c r="C51" i="2"/>
  <c r="D51" i="2"/>
  <c r="D54" i="2" s="1"/>
  <c r="E51" i="2"/>
  <c r="F51" i="2"/>
  <c r="D52" i="2"/>
  <c r="C53" i="2"/>
  <c r="C54" i="2" s="1"/>
  <c r="D53" i="2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 s="1"/>
  <c r="D62" i="2"/>
  <c r="C64" i="2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/>
  <c r="D71" i="2"/>
  <c r="D73" i="2"/>
  <c r="E69" i="2"/>
  <c r="E71" i="2"/>
  <c r="E72" i="2"/>
  <c r="F69" i="2"/>
  <c r="G69" i="2"/>
  <c r="G70" i="2" s="1"/>
  <c r="G73" i="2" s="1"/>
  <c r="C71" i="2"/>
  <c r="C72" i="2"/>
  <c r="C77" i="2"/>
  <c r="C83" i="2" s="1"/>
  <c r="D77" i="2"/>
  <c r="C79" i="2"/>
  <c r="E79" i="2"/>
  <c r="F79" i="2"/>
  <c r="C80" i="2"/>
  <c r="D80" i="2"/>
  <c r="E80" i="2"/>
  <c r="F80" i="2"/>
  <c r="C81" i="2"/>
  <c r="D81" i="2"/>
  <c r="D83" i="2" s="1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D95" i="2" s="1"/>
  <c r="E91" i="2"/>
  <c r="F91" i="2"/>
  <c r="C92" i="2"/>
  <c r="D92" i="2"/>
  <c r="E92" i="2"/>
  <c r="E93" i="2"/>
  <c r="E94" i="2"/>
  <c r="F92" i="2"/>
  <c r="C93" i="2"/>
  <c r="D93" i="2"/>
  <c r="F93" i="2"/>
  <c r="C94" i="2"/>
  <c r="D94" i="2"/>
  <c r="F94" i="2"/>
  <c r="E101" i="2"/>
  <c r="E104" i="2"/>
  <c r="E105" i="2"/>
  <c r="D107" i="2"/>
  <c r="F107" i="2"/>
  <c r="G107" i="2"/>
  <c r="E112" i="2"/>
  <c r="E113" i="2"/>
  <c r="C114" i="2"/>
  <c r="E114" i="2"/>
  <c r="E117" i="2"/>
  <c r="D126" i="2"/>
  <c r="D136" i="2"/>
  <c r="F120" i="2"/>
  <c r="G120" i="2"/>
  <c r="F126" i="2"/>
  <c r="K411" i="1"/>
  <c r="K419" i="1"/>
  <c r="K426" i="1"/>
  <c r="G126" i="2" s="1"/>
  <c r="G136" i="2" s="1"/>
  <c r="G137" i="2" s="1"/>
  <c r="K425" i="1"/>
  <c r="L255" i="1"/>
  <c r="C127" i="2"/>
  <c r="L256" i="1"/>
  <c r="C128" i="2" s="1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G151" i="2" s="1"/>
  <c r="F151" i="2"/>
  <c r="B152" i="2"/>
  <c r="C152" i="2"/>
  <c r="D152" i="2"/>
  <c r="E152" i="2"/>
  <c r="G152" i="2" s="1"/>
  <c r="F152" i="2"/>
  <c r="F490" i="1"/>
  <c r="B153" i="2"/>
  <c r="G490" i="1"/>
  <c r="C153" i="2"/>
  <c r="H490" i="1"/>
  <c r="K490" i="1" s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C156" i="2"/>
  <c r="G156" i="2" s="1"/>
  <c r="H493" i="1"/>
  <c r="D156" i="2"/>
  <c r="I493" i="1"/>
  <c r="E156" i="2"/>
  <c r="J493" i="1"/>
  <c r="F156" i="2"/>
  <c r="F19" i="1"/>
  <c r="G19" i="1"/>
  <c r="H19" i="1"/>
  <c r="I19" i="1"/>
  <c r="F33" i="1"/>
  <c r="G33" i="1"/>
  <c r="G44" i="1" s="1"/>
  <c r="H608" i="1" s="1"/>
  <c r="H33" i="1"/>
  <c r="I33" i="1"/>
  <c r="F43" i="1"/>
  <c r="G43" i="1"/>
  <c r="G613" i="1" s="1"/>
  <c r="J613" i="1" s="1"/>
  <c r="H43" i="1"/>
  <c r="G614" i="1" s="1"/>
  <c r="I43" i="1"/>
  <c r="I44" i="1" s="1"/>
  <c r="H610" i="1" s="1"/>
  <c r="J610" i="1" s="1"/>
  <c r="F169" i="1"/>
  <c r="I169" i="1"/>
  <c r="F175" i="1"/>
  <c r="G175" i="1"/>
  <c r="G184" i="1" s="1"/>
  <c r="H175" i="1"/>
  <c r="H184" i="1"/>
  <c r="I175" i="1"/>
  <c r="J175" i="1"/>
  <c r="J184" i="1" s="1"/>
  <c r="F180" i="1"/>
  <c r="F184" i="1" s="1"/>
  <c r="G180" i="1"/>
  <c r="H180" i="1"/>
  <c r="I180" i="1"/>
  <c r="I184" i="1"/>
  <c r="F203" i="1"/>
  <c r="G203" i="1"/>
  <c r="H203" i="1"/>
  <c r="J203" i="1"/>
  <c r="F221" i="1"/>
  <c r="G221" i="1"/>
  <c r="G249" i="1" s="1"/>
  <c r="G263" i="1" s="1"/>
  <c r="K221" i="1"/>
  <c r="F239" i="1"/>
  <c r="G239" i="1"/>
  <c r="J239" i="1"/>
  <c r="K239" i="1"/>
  <c r="F248" i="1"/>
  <c r="L248" i="1" s="1"/>
  <c r="G248" i="1"/>
  <c r="H248" i="1"/>
  <c r="I248" i="1"/>
  <c r="J248" i="1"/>
  <c r="K248" i="1"/>
  <c r="F282" i="1"/>
  <c r="G282" i="1"/>
  <c r="I282" i="1"/>
  <c r="F301" i="1"/>
  <c r="G301" i="1"/>
  <c r="H301" i="1"/>
  <c r="I301" i="1"/>
  <c r="F320" i="1"/>
  <c r="G320" i="1"/>
  <c r="G330" i="1"/>
  <c r="G344" i="1" s="1"/>
  <c r="H320" i="1"/>
  <c r="I320" i="1"/>
  <c r="F329" i="1"/>
  <c r="L329" i="1" s="1"/>
  <c r="G329" i="1"/>
  <c r="H329" i="1"/>
  <c r="I329" i="1"/>
  <c r="J329" i="1"/>
  <c r="K329" i="1"/>
  <c r="K330" i="1"/>
  <c r="K34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F399" i="1"/>
  <c r="G399" i="1"/>
  <c r="H399" i="1"/>
  <c r="I399" i="1"/>
  <c r="H400" i="1"/>
  <c r="I400" i="1"/>
  <c r="L405" i="1"/>
  <c r="L406" i="1"/>
  <c r="L407" i="1"/>
  <c r="L408" i="1"/>
  <c r="L409" i="1"/>
  <c r="L411" i="1" s="1"/>
  <c r="L426" i="1" s="1"/>
  <c r="G628" i="1" s="1"/>
  <c r="J628" i="1" s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F426" i="1" s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G426" i="1"/>
  <c r="F438" i="1"/>
  <c r="G629" i="1" s="1"/>
  <c r="J629" i="1" s="1"/>
  <c r="G438" i="1"/>
  <c r="G630" i="1" s="1"/>
  <c r="J630" i="1" s="1"/>
  <c r="H438" i="1"/>
  <c r="F444" i="1"/>
  <c r="G444" i="1"/>
  <c r="G451" i="1" s="1"/>
  <c r="H630" i="1" s="1"/>
  <c r="H444" i="1"/>
  <c r="H451" i="1" s="1"/>
  <c r="H631" i="1" s="1"/>
  <c r="J631" i="1" s="1"/>
  <c r="F450" i="1"/>
  <c r="G450" i="1"/>
  <c r="H450" i="1"/>
  <c r="F451" i="1"/>
  <c r="H629" i="1" s="1"/>
  <c r="F460" i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F466" i="1"/>
  <c r="H612" i="1" s="1"/>
  <c r="J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I514" i="1"/>
  <c r="I535" i="1" s="1"/>
  <c r="K514" i="1"/>
  <c r="F519" i="1"/>
  <c r="H519" i="1"/>
  <c r="I519" i="1"/>
  <c r="J519" i="1"/>
  <c r="K519" i="1"/>
  <c r="K53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50" i="1" s="1"/>
  <c r="L561" i="1" s="1"/>
  <c r="L549" i="1"/>
  <c r="F550" i="1"/>
  <c r="G550" i="1"/>
  <c r="H550" i="1"/>
  <c r="I550" i="1"/>
  <c r="J550" i="1"/>
  <c r="K550" i="1"/>
  <c r="K561" i="1" s="1"/>
  <c r="L552" i="1"/>
  <c r="L553" i="1"/>
  <c r="L554" i="1"/>
  <c r="F555" i="1"/>
  <c r="F561" i="1" s="1"/>
  <c r="G555" i="1"/>
  <c r="H555" i="1"/>
  <c r="H561" i="1" s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09" i="1"/>
  <c r="G610" i="1"/>
  <c r="G612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1" i="1"/>
  <c r="G633" i="1"/>
  <c r="J633" i="1" s="1"/>
  <c r="G634" i="1"/>
  <c r="H634" i="1"/>
  <c r="J634" i="1" s="1"/>
  <c r="H639" i="1"/>
  <c r="G642" i="1"/>
  <c r="J642" i="1"/>
  <c r="H642" i="1"/>
  <c r="G643" i="1"/>
  <c r="H643" i="1"/>
  <c r="J643" i="1"/>
  <c r="G644" i="1"/>
  <c r="J644" i="1" s="1"/>
  <c r="H644" i="1"/>
  <c r="G645" i="1"/>
  <c r="J645" i="1" s="1"/>
  <c r="H645" i="1"/>
  <c r="G149" i="2"/>
  <c r="C42" i="2"/>
  <c r="F32" i="2"/>
  <c r="F54" i="2"/>
  <c r="E19" i="2"/>
  <c r="G37" i="2"/>
  <c r="G40" i="2"/>
  <c r="G9" i="2"/>
  <c r="H44" i="1"/>
  <c r="H609" i="1"/>
  <c r="J609" i="1" s="1"/>
  <c r="F44" i="1"/>
  <c r="H607" i="1" s="1"/>
  <c r="I330" i="1"/>
  <c r="I344" i="1" s="1"/>
  <c r="F330" i="1"/>
  <c r="F344" i="1" s="1"/>
  <c r="C70" i="2"/>
  <c r="C73" i="2" s="1"/>
  <c r="F249" i="1"/>
  <c r="F263" i="1" s="1"/>
  <c r="E13" i="13"/>
  <c r="C13" i="13"/>
  <c r="L354" i="1"/>
  <c r="C27" i="10" s="1"/>
  <c r="G561" i="1"/>
  <c r="L555" i="1"/>
  <c r="A31" i="12"/>
  <c r="C39" i="10" l="1"/>
  <c r="C38" i="10"/>
  <c r="F96" i="2"/>
  <c r="C11" i="10"/>
  <c r="C13" i="10"/>
  <c r="C104" i="2"/>
  <c r="L239" i="1"/>
  <c r="H650" i="1" s="1"/>
  <c r="G539" i="1"/>
  <c r="L519" i="1"/>
  <c r="J614" i="1"/>
  <c r="J185" i="1"/>
  <c r="H185" i="1"/>
  <c r="G619" i="1" s="1"/>
  <c r="J619" i="1" s="1"/>
  <c r="L400" i="1"/>
  <c r="L203" i="1"/>
  <c r="G519" i="1"/>
  <c r="G535" i="1" s="1"/>
  <c r="L517" i="1"/>
  <c r="G540" i="1" s="1"/>
  <c r="G153" i="2"/>
  <c r="E136" i="2"/>
  <c r="C113" i="2"/>
  <c r="D12" i="13"/>
  <c r="C12" i="13" s="1"/>
  <c r="C18" i="10"/>
  <c r="E55" i="2"/>
  <c r="G42" i="2"/>
  <c r="J640" i="1"/>
  <c r="D55" i="2"/>
  <c r="D96" i="2" s="1"/>
  <c r="F31" i="13"/>
  <c r="J330" i="1"/>
  <c r="J344" i="1" s="1"/>
  <c r="C101" i="2"/>
  <c r="C10" i="10"/>
  <c r="L221" i="1"/>
  <c r="G650" i="1" s="1"/>
  <c r="D5" i="13"/>
  <c r="F33" i="13"/>
  <c r="G641" i="1"/>
  <c r="J641" i="1" s="1"/>
  <c r="H652" i="1"/>
  <c r="F539" i="1"/>
  <c r="C55" i="2"/>
  <c r="C96" i="2" s="1"/>
  <c r="J637" i="1"/>
  <c r="J19" i="1"/>
  <c r="G611" i="1" s="1"/>
  <c r="I653" i="1"/>
  <c r="J608" i="1"/>
  <c r="J33" i="1"/>
  <c r="C36" i="10"/>
  <c r="F185" i="1"/>
  <c r="G617" i="1" s="1"/>
  <c r="J617" i="1" s="1"/>
  <c r="J607" i="1"/>
  <c r="E102" i="2"/>
  <c r="E107" i="2" s="1"/>
  <c r="C21" i="10"/>
  <c r="F652" i="1"/>
  <c r="D15" i="13"/>
  <c r="C15" i="13" s="1"/>
  <c r="C116" i="2"/>
  <c r="H637" i="1"/>
  <c r="G639" i="1"/>
  <c r="J639" i="1" s="1"/>
  <c r="D29" i="13"/>
  <c r="C29" i="13" s="1"/>
  <c r="D7" i="13"/>
  <c r="C7" i="13" s="1"/>
  <c r="H239" i="1"/>
  <c r="H249" i="1" s="1"/>
  <c r="H263" i="1" s="1"/>
  <c r="E77" i="2"/>
  <c r="E83" i="2" s="1"/>
  <c r="C123" i="2"/>
  <c r="C26" i="10"/>
  <c r="H25" i="13"/>
  <c r="L274" i="1"/>
  <c r="G625" i="1"/>
  <c r="J625" i="1" s="1"/>
  <c r="G22" i="2"/>
  <c r="G32" i="2" s="1"/>
  <c r="E8" i="13"/>
  <c r="D119" i="2"/>
  <c r="D120" i="2" s="1"/>
  <c r="D137" i="2" s="1"/>
  <c r="C105" i="2"/>
  <c r="G12" i="2"/>
  <c r="G19" i="2" s="1"/>
  <c r="L512" i="1"/>
  <c r="F540" i="1" s="1"/>
  <c r="K540" i="1" s="1"/>
  <c r="C17" i="10"/>
  <c r="C130" i="2"/>
  <c r="C133" i="2" s="1"/>
  <c r="B36" i="12"/>
  <c r="A40" i="12" s="1"/>
  <c r="F524" i="1"/>
  <c r="H514" i="1"/>
  <c r="C117" i="2"/>
  <c r="G615" i="1"/>
  <c r="J615" i="1" s="1"/>
  <c r="J221" i="1"/>
  <c r="J249" i="1" s="1"/>
  <c r="C24" i="10"/>
  <c r="J43" i="1"/>
  <c r="F514" i="1"/>
  <c r="F535" i="1" s="1"/>
  <c r="C122" i="2"/>
  <c r="C136" i="2" s="1"/>
  <c r="C103" i="2"/>
  <c r="G635" i="1"/>
  <c r="J635" i="1" s="1"/>
  <c r="G652" i="1"/>
  <c r="C115" i="2"/>
  <c r="L343" i="1"/>
  <c r="F22" i="13"/>
  <c r="C22" i="13" s="1"/>
  <c r="L194" i="1"/>
  <c r="H651" i="1"/>
  <c r="G6" i="13"/>
  <c r="G33" i="13" s="1"/>
  <c r="G523" i="1"/>
  <c r="G524" i="1" s="1"/>
  <c r="I450" i="1"/>
  <c r="I451" i="1" s="1"/>
  <c r="H632" i="1" s="1"/>
  <c r="J632" i="1" s="1"/>
  <c r="G651" i="1"/>
  <c r="I651" i="1" s="1"/>
  <c r="D19" i="13"/>
  <c r="C19" i="13" s="1"/>
  <c r="H534" i="1"/>
  <c r="L513" i="1"/>
  <c r="F541" i="1" s="1"/>
  <c r="H535" i="1" l="1"/>
  <c r="I652" i="1"/>
  <c r="K539" i="1"/>
  <c r="F542" i="1"/>
  <c r="C41" i="10"/>
  <c r="H33" i="13"/>
  <c r="C25" i="13"/>
  <c r="L514" i="1"/>
  <c r="G542" i="1"/>
  <c r="C16" i="10"/>
  <c r="E111" i="2"/>
  <c r="E120" i="2" s="1"/>
  <c r="E137" i="2" s="1"/>
  <c r="L282" i="1"/>
  <c r="F650" i="1" s="1"/>
  <c r="L523" i="1"/>
  <c r="G43" i="2"/>
  <c r="H654" i="1"/>
  <c r="E96" i="2"/>
  <c r="L249" i="1"/>
  <c r="L263" i="1" s="1"/>
  <c r="G622" i="1" s="1"/>
  <c r="J622" i="1" s="1"/>
  <c r="J611" i="1"/>
  <c r="G627" i="1"/>
  <c r="J627" i="1" s="1"/>
  <c r="H636" i="1"/>
  <c r="C5" i="13"/>
  <c r="G654" i="1"/>
  <c r="G621" i="1"/>
  <c r="J621" i="1" s="1"/>
  <c r="G636" i="1"/>
  <c r="J44" i="1"/>
  <c r="H611" i="1" s="1"/>
  <c r="G616" i="1"/>
  <c r="J616" i="1" s="1"/>
  <c r="C110" i="2"/>
  <c r="C120" i="2" s="1"/>
  <c r="C15" i="10"/>
  <c r="C28" i="10" s="1"/>
  <c r="D6" i="13"/>
  <c r="C6" i="13" s="1"/>
  <c r="H638" i="1"/>
  <c r="J638" i="1" s="1"/>
  <c r="J263" i="1"/>
  <c r="D39" i="10"/>
  <c r="E33" i="13"/>
  <c r="D35" i="13" s="1"/>
  <c r="C8" i="13"/>
  <c r="C107" i="2"/>
  <c r="F654" i="1" l="1"/>
  <c r="I650" i="1"/>
  <c r="I654" i="1" s="1"/>
  <c r="C30" i="10"/>
  <c r="D22" i="10"/>
  <c r="D20" i="10"/>
  <c r="D19" i="10"/>
  <c r="D27" i="10"/>
  <c r="D23" i="10"/>
  <c r="D25" i="10"/>
  <c r="D12" i="10"/>
  <c r="D26" i="10"/>
  <c r="D13" i="10"/>
  <c r="D11" i="10"/>
  <c r="D10" i="10"/>
  <c r="D17" i="10"/>
  <c r="D24" i="10"/>
  <c r="D21" i="10"/>
  <c r="D18" i="10"/>
  <c r="G657" i="1"/>
  <c r="G662" i="1"/>
  <c r="C5" i="10" s="1"/>
  <c r="H662" i="1"/>
  <c r="C6" i="10" s="1"/>
  <c r="H657" i="1"/>
  <c r="D33" i="13"/>
  <c r="D36" i="13" s="1"/>
  <c r="D37" i="10"/>
  <c r="D40" i="10"/>
  <c r="D35" i="10"/>
  <c r="H541" i="1"/>
  <c r="L524" i="1"/>
  <c r="L535" i="1" s="1"/>
  <c r="C137" i="2"/>
  <c r="D16" i="10"/>
  <c r="D36" i="10"/>
  <c r="D38" i="10"/>
  <c r="H646" i="1"/>
  <c r="D15" i="10"/>
  <c r="D31" i="13"/>
  <c r="C31" i="13" s="1"/>
  <c r="L330" i="1"/>
  <c r="L344" i="1" s="1"/>
  <c r="G623" i="1" s="1"/>
  <c r="J623" i="1" s="1"/>
  <c r="J636" i="1"/>
  <c r="D41" i="10" l="1"/>
  <c r="H542" i="1"/>
  <c r="K541" i="1"/>
  <c r="K542" i="1" s="1"/>
  <c r="D28" i="10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EED07CA-8E18-412E-9364-762B8883F398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0232D19-5AAE-4916-BE07-ABF9594B196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139DAD1-5BC5-461B-BA10-E12776E70BEC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43BE6E9-C0F2-40A8-80A5-371569792019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B445D6E-2A30-4905-A6AE-6F16C7F289F0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54B2673-02B3-44F6-B61B-E13126591554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EA9DAF8-1A90-4A3F-87DD-842D34F68B0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2CE67BE-0F0B-43B5-ACA6-893EED62F492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D75DEEC-AAB2-4E87-BE72-0D14242C8AD9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FCA56836-716F-48E3-8340-D1DAB69E3E0A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F90D182-EB08-4E7C-A6D4-6F969335CA6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C7E670B-DFC2-4AC1-85B6-9D619F324DA4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<sst xmlns="http://schemas.openxmlformats.org/spreadsheetml/2006/main" count="3869" uniqueCount="906">
  <si>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</si>
  <si>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</si>
  <si>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</si>
  <si>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</si>
  <si>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</si>
  <si>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</si>
  <si>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</si>
  <si>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</si>
  <si>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</si>
  <si>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</si>
  <si>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</si>
  <si>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</si>
  <si>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</si>
  <si>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</si>
  <si>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</si>
  <si>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</si>
  <si>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</si>
  <si>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</si>
  <si>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</si>
  <si>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</si>
  <si>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</si>
  <si>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</si>
  <si>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</si>
  <si>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</si>
  <si>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</si>
  <si>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</si>
  <si>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</si>
  <si>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</si>
  <si>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</si>
  <si>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</si>
  <si>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</si>
  <si>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</si>
  <si>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</si>
  <si>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</si>
  <si>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</si>
  <si>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</si>
  <si>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</si>
  <si>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</si>
  <si>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</si>
  <si>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</si>
  <si>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</si>
  <si>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</si>
  <si>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</si>
  <si>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</si>
  <si>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</si>
  <si>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</si>
  <si>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</si>
  <si>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</si>
  <si>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</si>
  <si>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</si>
  <si>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</si>
  <si>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</si>
  <si>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</si>
  <si>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</si>
  <si>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</si>
  <si>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</si>
  <si>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</si>
  <si>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</si>
  <si>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</si>
  <si>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</si>
  <si>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</si>
  <si>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</si>
  <si>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</si>
  <si>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</si>
  <si>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</si>
  <si>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</si>
  <si>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</si>
  <si>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</si>
  <si>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</si>
  <si>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</si>
  <si>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</si>
  <si>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</si>
  <si>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</si>
  <si>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</si>
  <si>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</si>
  <si>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</si>
  <si>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</si>
  <si>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</si>
  <si>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</si>
  <si>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</si>
  <si>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</si>
  <si>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</si>
  <si>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</si>
  <si>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</si>
  <si>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</si>
  <si>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</si>
  <si>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</si>
  <si>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</si>
  <si>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</si>
  <si>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</si>
  <si>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</si>
  <si>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</si>
  <si>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</si>
  <si>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</si>
  <si>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</si>
  <si>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</si>
  <si>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</si>
  <si>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</si>
  <si>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</si>
  <si>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</si>
  <si>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</si>
  <si>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</si>
  <si>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</si>
  <si>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</si>
  <si>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</si>
  <si>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</si>
  <si>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</si>
  <si>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</si>
  <si>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</si>
  <si>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</si>
  <si>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</si>
  <si>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</si>
  <si>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</si>
  <si>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</si>
  <si>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</si>
  <si>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</si>
  <si>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</si>
  <si>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</si>
  <si>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</si>
  <si>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</si>
  <si>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</si>
  <si>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</si>
  <si>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</si>
  <si>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</si>
  <si>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</si>
  <si>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</si>
  <si>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</si>
  <si>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</si>
  <si>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</si>
  <si>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</si>
  <si>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</si>
  <si>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</si>
  <si>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</si>
  <si>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</si>
  <si>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</si>
  <si>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</si>
  <si>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</si>
  <si>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</si>
  <si>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</si>
  <si>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</si>
  <si>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</si>
  <si>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</si>
  <si>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</si>
  <si>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</si>
  <si>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</si>
  <si>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</si>
  <si>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</si>
  <si>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</si>
  <si>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</si>
  <si>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</si>
  <si>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</si>
  <si>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</si>
  <si>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</si>
  <si>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</si>
  <si>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</si>
  <si>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</si>
  <si>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</si>
  <si>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</si>
  <si>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</si>
  <si>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</si>
  <si>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</si>
  <si>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</si>
  <si>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</si>
  <si>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</si>
  <si>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</si>
  <si>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</si>
  <si>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</si>
  <si>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</si>
  <si>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</si>
  <si>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</si>
  <si>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</si>
  <si>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</si>
  <si>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</si>
  <si>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</si>
  <si>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</si>
  <si>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</si>
  <si>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</si>
  <si>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</si>
  <si>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</si>
  <si>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</si>
  <si>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</si>
  <si>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</si>
  <si>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</si>
  <si>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</si>
  <si>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</si>
  <si>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</si>
  <si>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</si>
  <si>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</si>
  <si>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</si>
  <si>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</si>
  <si>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</si>
  <si>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</si>
  <si>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</si>
  <si>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</si>
  <si>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</si>
  <si>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</si>
  <si>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</si>
  <si>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</si>
  <si>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</si>
  <si>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</si>
  <si>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</si>
  <si>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</si>
  <si>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</si>
  <si>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</si>
  <si>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</si>
  <si>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</si>
  <si>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</si>
  <si>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</si>
  <si>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</si>
  <si>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</si>
  <si>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</si>
  <si>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</si>
  <si>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</si>
  <si>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</si>
  <si>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</si>
  <si>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</si>
  <si>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</si>
  <si>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</si>
  <si>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</si>
  <si>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</si>
  <si>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</si>
  <si>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</si>
  <si>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</si>
  <si>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</si>
  <si>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</si>
  <si>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</si>
  <si>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</si>
  <si>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</si>
  <si>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</si>
  <si>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</si>
  <si>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</si>
  <si>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</si>
  <si>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</si>
  <si>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</si>
  <si>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</si>
  <si>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</si>
  <si>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</si>
  <si>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</si>
  <si>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</si>
  <si>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</si>
  <si>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</si>
  <si>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</si>
  <si>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</si>
  <si>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</si>
  <si>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</si>
  <si>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</si>
  <si>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</si>
  <si>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</si>
  <si>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</si>
  <si>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</si>
  <si>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</si>
  <si>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</si>
  <si>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</si>
  <si>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</si>
  <si>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</si>
  <si>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</si>
  <si>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</si>
  <si>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</si>
  <si>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</si>
  <si>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</si>
  <si>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</si>
  <si>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</si>
  <si>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</si>
  <si>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</si>
  <si>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</si>
  <si>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</si>
  <si>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</si>
  <si>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</si>
  <si>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</si>
  <si>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</si>
  <si>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</si>
  <si>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</si>
  <si>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</si>
  <si>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</si>
  <si>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</si>
  <si>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</si>
  <si>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</si>
  <si>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</si>
  <si>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</si>
  <si>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</si>
  <si>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</si>
  <si>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</si>
  <si>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</si>
  <si>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</si>
  <si>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</si>
  <si>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</si>
  <si>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</si>
  <si>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</si>
  <si>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</si>
  <si>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</si>
  <si>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</si>
  <si>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</si>
  <si>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</si>
  <si>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</si>
  <si>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</si>
  <si>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</si>
  <si>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</si>
  <si>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</si>
  <si>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</si>
  <si>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</si>
  <si>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</si>
  <si>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</si>
  <si>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</si>
  <si>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</si>
  <si>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</si>
  <si>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</si>
  <si>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</si>
  <si>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</si>
  <si>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</si>
  <si>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</si>
  <si>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</si>
  <si>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</si>
  <si>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</si>
  <si>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</si>
  <si>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</si>
  <si>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</si>
  <si>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</si>
  <si>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</si>
  <si>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</si>
  <si>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</si>
  <si>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</si>
  <si>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</si>
  <si>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</si>
  <si>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</si>
  <si>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</si>
  <si>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</si>
  <si>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</si>
  <si>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</si>
  <si>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</si>
  <si>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</si>
  <si>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</si>
  <si>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</si>
  <si>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</si>
  <si>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</si>
  <si>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</si>
  <si>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</si>
  <si>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</si>
  <si>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</si>
  <si>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</si>
  <si>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</si>
  <si>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</si>
  <si>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</si>
  <si>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</si>
  <si>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</si>
  <si>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</si>
  <si>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</si>
  <si>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</si>
  <si>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</si>
  <si>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</si>
  <si>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</si>
  <si>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</si>
  <si>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</si>
  <si>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</si>
  <si>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</si>
  <si>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</si>
  <si>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</si>
  <si>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</si>
  <si>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</si>
  <si>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</si>
  <si>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</si>
  <si>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</si>
  <si>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</si>
  <si>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</si>
  <si>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</si>
  <si>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</si>
  <si>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</si>
  <si>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</si>
  <si>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</si>
  <si>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</si>
  <si>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</si>
  <si>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</si>
  <si>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</si>
  <si>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</si>
  <si>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</si>
  <si>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</si>
  <si>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</si>
  <si>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</si>
  <si>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</si>
  <si>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</si>
  <si>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</si>
  <si>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</si>
  <si>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</si>
  <si>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</si>
  <si>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</si>
  <si>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</si>
  <si>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</si>
  <si>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</si>
  <si>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</si>
  <si>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</si>
  <si>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</si>
  <si>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</si>
  <si>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</si>
  <si>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</si>
  <si>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</si>
  <si>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</si>
  <si>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</si>
  <si>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</si>
  <si>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</si>
  <si>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</si>
  <si>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</si>
  <si>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</si>
  <si>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</si>
  <si>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</si>
  <si>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</si>
  <si>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</si>
  <si>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</si>
  <si>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</si>
  <si>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</si>
  <si>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</si>
  <si>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</si>
  <si>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</si>
  <si>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</si>
  <si>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</si>
  <si>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</si>
  <si>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</si>
  <si>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</si>
  <si>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</si>
  <si>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</si>
  <si>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</si>
  <si>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</si>
  <si>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</si>
  <si>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</si>
  <si>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</si>
  <si>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</si>
  <si>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</si>
  <si>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</si>
  <si>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</si>
  <si>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</si>
  <si>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</si>
  <si>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</si>
  <si>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</si>
  <si>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</si>
  <si>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</si>
  <si>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</si>
  <si>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</si>
  <si>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</si>
  <si>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</si>
  <si>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</si>
  <si>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</si>
  <si>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</si>
  <si>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</si>
  <si>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</si>
  <si>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</si>
  <si>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</si>
  <si>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</si>
  <si>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</si>
  <si>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</si>
  <si>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</si>
  <si>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</si>
  <si>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</si>
  <si>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</si>
  <si>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</si>
  <si>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</si>
  <si>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</si>
  <si>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</si>
  <si>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</si>
  <si>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</si>
  <si>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</si>
  <si>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</si>
  <si>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</si>
  <si>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</si>
  <si>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</si>
  <si>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</si>
  <si>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</si>
  <si>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</si>
  <si>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</si>
  <si>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</si>
  <si>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</si>
  <si>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</si>
  <si>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</si>
  <si>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</si>
  <si>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</si>
  <si>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</si>
  <si>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</si>
  <si>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</si>
  <si>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</si>
  <si>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</si>
  <si>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</si>
  <si>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</si>
  <si>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</si>
  <si>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</si>
  <si>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</si>
  <si>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</si>
  <si>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</si>
  <si>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</si>
  <si>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</si>
  <si>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</si>
  <si>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</si>
  <si>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</si>
  <si>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</si>
  <si>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</si>
  <si>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</si>
  <si>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</si>
  <si>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</si>
  <si>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</si>
  <si>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</si>
  <si>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</si>
  <si>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</si>
  <si>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</si>
  <si>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</si>
  <si>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</si>
  <si>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</si>
  <si>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</si>
  <si>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</si>
  <si>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</si>
  <si>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</si>
  <si>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</si>
  <si>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</si>
  <si>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</si>
  <si>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</si>
  <si>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</si>
  <si>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</si>
  <si>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</si>
  <si>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</si>
  <si>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</si>
  <si>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</si>
  <si>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</si>
  <si>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</si>
  <si>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</si>
  <si>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</si>
  <si>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</si>
  <si>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</si>
  <si>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</si>
  <si>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</si>
  <si>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</si>
  <si>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</si>
  <si>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</si>
  <si>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</si>
  <si>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</si>
  <si>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</si>
  <si>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</si>
  <si>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</si>
  <si>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</si>
  <si>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</si>
  <si>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</si>
  <si>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</si>
  <si>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</si>
  <si>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</si>
  <si>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</si>
  <si>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</si>
  <si>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</si>
  <si>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</si>
  <si>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</si>
  <si>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</si>
  <si>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</si>
  <si>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</si>
  <si>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</si>
  <si>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</si>
  <si>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</si>
  <si>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</si>
  <si>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</si>
  <si>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</si>
  <si>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</si>
  <si>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</si>
  <si>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</si>
  <si>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</si>
  <si>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</si>
  <si>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</si>
  <si>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</si>
  <si>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</si>
  <si>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</si>
  <si>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</si>
  <si>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</si>
  <si>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</si>
  <si>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</si>
  <si>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</si>
  <si>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</si>
  <si>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</si>
  <si>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</si>
  <si>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</si>
  <si>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</si>
  <si>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</si>
  <si>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</si>
  <si>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</si>
  <si>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</si>
  <si>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</si>
  <si>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</si>
  <si>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</si>
  <si>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</si>
  <si>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</si>
  <si>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</si>
  <si>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</si>
  <si>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</si>
  <si>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</si>
  <si>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</si>
  <si>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</si>
  <si>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</si>
  <si>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</si>
  <si>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</si>
  <si>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</si>
  <si>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</si>
  <si>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</si>
  <si>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</si>
  <si>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</si>
  <si>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</si>
  <si>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</si>
  <si>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</si>
  <si>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</si>
  <si>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</si>
  <si>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</si>
  <si>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</si>
  <si>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</si>
  <si>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</si>
  <si>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</si>
  <si>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</si>
  <si>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</si>
  <si>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</si>
  <si>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</si>
  <si>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</si>
  <si>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</si>
  <si>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</si>
  <si>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</si>
  <si>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</si>
  <si>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</si>
  <si>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</si>
  <si>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</si>
  <si>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</si>
  <si>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</si>
  <si>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</si>
  <si>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</si>
  <si>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</si>
  <si>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</si>
  <si>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</si>
  <si>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</si>
  <si>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</si>
  <si>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</si>
  <si>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</si>
  <si>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</si>
  <si>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</si>
  <si>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</si>
  <si>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</si>
  <si>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</si>
  <si>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</si>
  <si>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</si>
  <si>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</si>
  <si>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</si>
  <si>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</si>
  <si>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</si>
  <si>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</si>
  <si>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</si>
  <si>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</si>
  <si>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</si>
  <si>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</si>
  <si>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</si>
  <si>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</si>
  <si>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</si>
  <si>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</si>
  <si>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</si>
  <si>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</si>
  <si>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</si>
  <si>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</si>
  <si>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</si>
  <si>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</si>
  <si>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</si>
  <si>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</si>
  <si>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</si>
  <si>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</si>
  <si>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</si>
  <si>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</si>
  <si>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</si>
  <si>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</si>
  <si>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</si>
  <si>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</si>
  <si>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</si>
  <si>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</si>
  <si>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</si>
  <si>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</si>
  <si>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</si>
  <si>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</si>
  <si>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</si>
  <si>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</si>
  <si>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</si>
  <si>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</si>
  <si>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</si>
  <si>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</si>
  <si>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</si>
  <si>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</si>
  <si>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</si>
  <si>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</si>
  <si>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</si>
  <si>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</si>
  <si>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</si>
  <si>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</si>
  <si>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</si>
  <si>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</si>
  <si>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</si>
  <si>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</si>
  <si>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</si>
  <si>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</si>
  <si>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</si>
  <si>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</si>
  <si>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</si>
  <si>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</si>
  <si>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</si>
  <si>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</si>
  <si>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</si>
  <si>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</si>
  <si>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</si>
  <si>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</si>
  <si>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</si>
  <si>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</si>
  <si>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</si>
  <si>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</si>
  <si>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</si>
  <si>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</si>
  <si>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</si>
  <si>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</si>
  <si>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</si>
  <si>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</si>
  <si>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</si>
  <si>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</si>
  <si>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</si>
  <si>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</si>
  <si>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</si>
  <si>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</si>
  <si>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</si>
  <si>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</si>
  <si>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</si>
  <si>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</si>
  <si>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</si>
  <si>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</si>
  <si>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</si>
  <si>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</si>
  <si>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</si>
  <si>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</si>
  <si>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</si>
  <si>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</si>
  <si>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</si>
  <si>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</si>
  <si>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</si>
  <si>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</si>
  <si>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</si>
  <si>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</si>
  <si>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</si>
  <si>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</si>
  <si>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</si>
  <si>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</si>
  <si>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</si>
  <si>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</si>
  <si>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</si>
  <si>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</si>
  <si>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</si>
  <si>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</si>
  <si>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</si>
  <si>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</si>
  <si>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</si>
  <si>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</si>
  <si>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</si>
  <si>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</si>
  <si>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</si>
  <si>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</si>
  <si>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</si>
  <si>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</si>
  <si>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</si>
  <si>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</si>
  <si>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</si>
  <si>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</si>
  <si>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</si>
  <si>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</si>
  <si>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</si>
  <si>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</si>
  <si>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</si>
  <si>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</si>
  <si>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</si>
  <si>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</si>
  <si>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</si>
  <si>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</si>
  <si>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</si>
  <si>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</si>
  <si>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</si>
  <si>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</si>
  <si>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</si>
  <si>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</si>
  <si>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</si>
  <si>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</si>
  <si>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</si>
  <si>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</si>
  <si>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</si>
  <si>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</si>
  <si>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</si>
  <si>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</si>
  <si>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</si>
  <si>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</si>
  <si>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</si>
  <si>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</si>
  <si>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</si>
  <si>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</si>
  <si>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</si>
  <si>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</si>
  <si>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</si>
  <si>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</si>
  <si>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</si>
  <si>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</si>
  <si>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</si>
  <si>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</si>
  <si>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</si>
  <si>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</si>
  <si>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</si>
  <si>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</si>
  <si>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</si>
  <si>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</si>
  <si>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</si>
  <si>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</si>
  <si>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</si>
  <si>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</si>
  <si>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</si>
  <si>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</si>
  <si>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</si>
  <si>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</si>
  <si>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</si>
  <si>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</si>
  <si>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</si>
  <si>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</si>
  <si>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</si>
  <si>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</si>
  <si>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</si>
  <si>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</si>
  <si>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</si>
  <si>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</si>
  <si>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</si>
  <si>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</si>
  <si>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</si>
  <si>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</si>
  <si>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</si>
  <si>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</si>
  <si>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</si>
  <si>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</si>
  <si>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</si>
  <si>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</si>
  <si>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</si>
  <si>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</si>
  <si>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</si>
  <si>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</si>
  <si>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</si>
  <si>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</si>
  <si>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</si>
  <si>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</si>
  <si>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</si>
  <si>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</si>
  <si>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</si>
  <si>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</si>
  <si>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</si>
  <si>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</si>
  <si>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</si>
  <si>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</si>
  <si>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</si>
  <si>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</si>
  <si>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</si>
  <si>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</si>
  <si>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</si>
  <si>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</si>
  <si>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</si>
  <si>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</si>
  <si>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</si>
  <si>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</si>
  <si>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</si>
  <si>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</si>
  <si>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</si>
  <si>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</si>
  <si>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</si>
  <si>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</si>
  <si>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</si>
  <si>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</si>
  <si>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</si>
  <si>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</si>
  <si>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</si>
  <si>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</si>
  <si>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</si>
  <si>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</si>
  <si>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</si>
  <si>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</si>
  <si>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</si>
  <si>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</si>
  <si>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</si>
  <si>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</si>
  <si>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</si>
  <si>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</si>
  <si>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</si>
  <si>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</si>
  <si>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</si>
  <si>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</si>
  <si>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</si>
  <si>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</si>
  <si>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</si>
  <si>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</si>
  <si>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</si>
  <si>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</si>
  <si>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</si>
  <si>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</si>
  <si>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</si>
  <si>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</si>
  <si>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</si>
  <si>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</si>
  <si>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</si>
  <si>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04/02</t>
  </si>
  <si>
    <t>07/22</t>
  </si>
  <si>
    <t>02/04</t>
  </si>
  <si>
    <t>08/16</t>
  </si>
  <si>
    <t>06/05</t>
  </si>
  <si>
    <t>08/25</t>
  </si>
  <si>
    <t>07/08</t>
  </si>
  <si>
    <t>07/28</t>
  </si>
  <si>
    <t>$1,230,377.57</t>
  </si>
  <si>
    <t>Interest Payment = $859,800.00</t>
  </si>
  <si>
    <t>Lease Payment = $370,577.57</t>
  </si>
  <si>
    <t>Londonderry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</si>
</sst>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221B-2C27-4C3C-9DBC-0DAF23C169A0}">
  <sheetPr transitionEvaluation="1" transitionEntry="1" codeName="Sheet1">
    <tabColor indexed="56"/>
  </sheetPr>
  <dimension ref="A1:AQ666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905</v>
      </c>
      <c r="B2" s="21">
        <v>319</v>
      </c>
      <c r="C2" s="21">
        <v>319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871295.5</v>
      </c>
      <c r="G9" s="18">
        <v>6600</v>
      </c>
      <c r="H9" s="18"/>
      <c r="I9" s="18"/>
      <c r="J9" s="67">
        <f>SUM(I431)</f>
        <v>371339.81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477361.3</v>
      </c>
      <c r="G12" s="18">
        <v>30327.99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17322.439999999999</v>
      </c>
      <c r="H13" s="18">
        <v>544297.31999999995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3844</v>
      </c>
      <c r="G14" s="18">
        <v>1842.38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18937.21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6380.93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1358881.73</v>
      </c>
      <c r="G19" s="41">
        <f>SUM(G9:G18)</f>
        <v>75030.02</v>
      </c>
      <c r="H19" s="41">
        <f>SUM(H9:H18)</f>
        <v>544297.31999999995</v>
      </c>
      <c r="I19" s="41">
        <f>SUM(I9:I18)</f>
        <v>0</v>
      </c>
      <c r="J19" s="41">
        <f>SUM(J9:J18)</f>
        <v>371339.81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441528.29</v>
      </c>
      <c r="I23" s="18"/>
      <c r="J23" s="67">
        <f>SUM(I440)</f>
        <v>66161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305908.45</v>
      </c>
      <c r="G25" s="18">
        <v>36592.879999999997</v>
      </c>
      <c r="H25" s="18">
        <v>2356.5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473842.38</v>
      </c>
      <c r="G29" s="18">
        <v>13937.72</v>
      </c>
      <c r="H29" s="18">
        <v>23943.360000000001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236351.68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1016102.51</v>
      </c>
      <c r="G33" s="41">
        <f>SUM(G23:G32)</f>
        <v>50530.6</v>
      </c>
      <c r="H33" s="41">
        <f>SUM(H23:H32)</f>
        <v>467828.14999999997</v>
      </c>
      <c r="I33" s="41">
        <f>SUM(I23:I32)</f>
        <v>0</v>
      </c>
      <c r="J33" s="41">
        <f>SUM(J23:J32)</f>
        <v>66161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18937.21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28743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>
        <v>76469.17</v>
      </c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5562.21</v>
      </c>
      <c r="H41" s="18"/>
      <c r="I41" s="18"/>
      <c r="J41" s="13">
        <f>SUM(I449)</f>
        <v>305178.81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264036.21999999997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342779.22</v>
      </c>
      <c r="G43" s="41">
        <f>SUM(G35:G42)</f>
        <v>24499.42</v>
      </c>
      <c r="H43" s="41">
        <f>SUM(H35:H42)</f>
        <v>76469.17</v>
      </c>
      <c r="I43" s="41">
        <f>SUM(I35:I42)</f>
        <v>0</v>
      </c>
      <c r="J43" s="41">
        <f>SUM(J35:J42)</f>
        <v>305178.81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1358881.73</v>
      </c>
      <c r="G44" s="41">
        <f>G43+G33</f>
        <v>75030.01999999999</v>
      </c>
      <c r="H44" s="41">
        <f>H43+H33</f>
        <v>544297.31999999995</v>
      </c>
      <c r="I44" s="41">
        <f>I43+I33</f>
        <v>0</v>
      </c>
      <c r="J44" s="41">
        <f>J43+J33</f>
        <v>371339.81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40787487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40787487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78654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27703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27375.75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39630.639999999999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58466.41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231829.80000000002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>
        <v>338.11</v>
      </c>
      <c r="H88" s="18"/>
      <c r="I88" s="18"/>
      <c r="J88" s="18">
        <v>632.73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942914.9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15958.26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46976.5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7808.79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2000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33</v>
      </c>
      <c r="G102" s="18">
        <v>13099.47</v>
      </c>
      <c r="H102" s="18">
        <v>12946.45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64967.76</v>
      </c>
      <c r="G103" s="41">
        <f>SUM(G88:G102)</f>
        <v>956352.48</v>
      </c>
      <c r="H103" s="41">
        <f>SUM(H88:H102)</f>
        <v>20755.240000000002</v>
      </c>
      <c r="I103" s="41">
        <f>SUM(I88:I102)</f>
        <v>0</v>
      </c>
      <c r="J103" s="41">
        <f>SUM(J88:J102)</f>
        <v>632.73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41084284.559999995</v>
      </c>
      <c r="G104" s="41">
        <f>G52+G103</f>
        <v>956352.48</v>
      </c>
      <c r="H104" s="41">
        <f>H52+H71+H86+H103</f>
        <v>20755.240000000002</v>
      </c>
      <c r="I104" s="41">
        <f>I52+I103</f>
        <v>0</v>
      </c>
      <c r="J104" s="41">
        <f>J52+J103</f>
        <v>632.73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14133897.529999999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6682660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512632.47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21329190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579376.66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421622.2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20064.73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19241.810000000001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51600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1021063.5900000001</v>
      </c>
      <c r="G128" s="41">
        <f>SUM(G115:G127)</f>
        <v>19241.810000000001</v>
      </c>
      <c r="H128" s="41">
        <f>SUM(H115:H127)</f>
        <v>51600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22350253.59</v>
      </c>
      <c r="G132" s="41">
        <f>G113+SUM(G128:G129)</f>
        <v>19241.810000000001</v>
      </c>
      <c r="H132" s="41">
        <f>H113+SUM(H128:H131)</f>
        <v>51600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5669.77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5669.77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202432.04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167604.29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20480.330000000002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56635.57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236457.38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1599017.63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162089.44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49720.91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162089.44</v>
      </c>
      <c r="G154" s="41">
        <f>SUM(G142:G153)</f>
        <v>286178.29000000004</v>
      </c>
      <c r="H154" s="41">
        <f>SUM(H142:H153)</f>
        <v>2046169.8599999999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167759.21</v>
      </c>
      <c r="G161" s="41">
        <f>G139+G154+SUM(G155:G160)</f>
        <v>286178.29000000004</v>
      </c>
      <c r="H161" s="41">
        <f>H139+H154+SUM(H155:H160)</f>
        <v>2046169.8599999999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94594.45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94594.45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505994.86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505994.86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305685.46999999997</v>
      </c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906274.77999999991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64508572.139999993</v>
      </c>
      <c r="G185" s="47">
        <f>G104+G132+G161+G184</f>
        <v>1261772.58</v>
      </c>
      <c r="H185" s="47">
        <f>H104+H132+H161+H184</f>
        <v>2118525.1</v>
      </c>
      <c r="I185" s="47">
        <f>I104+I132+I161+I184</f>
        <v>0</v>
      </c>
      <c r="J185" s="47">
        <f>J104+J132+J184</f>
        <v>550632.73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7092962.92+207688.07</f>
        <v>7300650.9900000002</v>
      </c>
      <c r="G189" s="18">
        <v>2916882.83</v>
      </c>
      <c r="H189" s="18">
        <f>3525.46+1042.26+0.02</f>
        <v>4567.7400000000007</v>
      </c>
      <c r="I189" s="18">
        <f>372030.25+42898.83</f>
        <v>414929.08</v>
      </c>
      <c r="J189" s="18">
        <v>10140.44</v>
      </c>
      <c r="K189" s="18"/>
      <c r="L189" s="19">
        <f>SUM(F189:K189)</f>
        <v>10647171.08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3494470.97+142133.67</f>
        <v>3636604.64</v>
      </c>
      <c r="G190" s="18">
        <v>1676670.78</v>
      </c>
      <c r="H190" s="18">
        <f>189939.7+16023.61</f>
        <v>205963.31</v>
      </c>
      <c r="I190" s="18">
        <f>15819.14+6705.14</f>
        <v>22524.28</v>
      </c>
      <c r="J190" s="18">
        <v>527.75</v>
      </c>
      <c r="K190" s="18">
        <f>1121+3092</f>
        <v>4213</v>
      </c>
      <c r="L190" s="19">
        <f>SUM(F190:K190)</f>
        <v>5546503.7599999998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76515.79+49200.5</f>
        <v>125716.29</v>
      </c>
      <c r="G192" s="18">
        <v>48098.3</v>
      </c>
      <c r="H192" s="18"/>
      <c r="I192" s="18">
        <f>964.01+3278.81</f>
        <v>4242.82</v>
      </c>
      <c r="J192" s="18"/>
      <c r="K192" s="18"/>
      <c r="L192" s="19">
        <f>SUM(F192:K192)</f>
        <v>178057.41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1141594.85+523575.37</f>
        <v>1665170.2200000002</v>
      </c>
      <c r="G194" s="18">
        <v>724901.15</v>
      </c>
      <c r="H194" s="18">
        <v>79849.17</v>
      </c>
      <c r="I194" s="18">
        <f>12040.05+108.76</f>
        <v>12148.81</v>
      </c>
      <c r="J194" s="18"/>
      <c r="K194" s="18">
        <f>98+98.7</f>
        <v>196.7</v>
      </c>
      <c r="L194" s="19">
        <f t="shared" ref="L194:L200" si="0">SUM(F194:K194)</f>
        <v>2482266.0500000003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285125.39+113122.48</f>
        <v>398247.87</v>
      </c>
      <c r="G195" s="18">
        <f>143320.88+6345.61+171224.17</f>
        <v>320890.66000000003</v>
      </c>
      <c r="H195" s="18">
        <f>8223.8+4577.35</f>
        <v>12801.15</v>
      </c>
      <c r="I195" s="18">
        <f>55400.89+3251.1</f>
        <v>58651.99</v>
      </c>
      <c r="J195" s="18">
        <v>26733.14</v>
      </c>
      <c r="K195" s="18">
        <v>1231.44</v>
      </c>
      <c r="L195" s="19">
        <f t="shared" si="0"/>
        <v>818556.25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144702.09</v>
      </c>
      <c r="G196" s="18">
        <v>59841.65</v>
      </c>
      <c r="H196" s="18">
        <v>146181.16</v>
      </c>
      <c r="I196" s="18">
        <v>12337.54</v>
      </c>
      <c r="J196" s="18">
        <v>560.42999999999995</v>
      </c>
      <c r="K196" s="18">
        <v>6370.51</v>
      </c>
      <c r="L196" s="19">
        <f t="shared" si="0"/>
        <v>369993.38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727687.87+6473.15</f>
        <v>734161.02</v>
      </c>
      <c r="G197" s="18">
        <v>308601.42</v>
      </c>
      <c r="H197" s="18">
        <f>16150.55+2183.23</f>
        <v>18333.78</v>
      </c>
      <c r="I197" s="18">
        <v>2283.84</v>
      </c>
      <c r="J197" s="18"/>
      <c r="K197" s="18">
        <v>6256.28</v>
      </c>
      <c r="L197" s="19">
        <f t="shared" si="0"/>
        <v>1069636.3400000001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641505.29+199540.46</f>
        <v>841045.75</v>
      </c>
      <c r="G198" s="18">
        <v>334938.12</v>
      </c>
      <c r="H198" s="18">
        <v>12382.19</v>
      </c>
      <c r="I198" s="18"/>
      <c r="J198" s="18"/>
      <c r="K198" s="18"/>
      <c r="L198" s="19">
        <f t="shared" si="0"/>
        <v>1188366.06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273085.03999999998</v>
      </c>
      <c r="G199" s="18">
        <v>106381.99</v>
      </c>
      <c r="H199" s="18">
        <f>171718.62+310558.19</f>
        <v>482276.81</v>
      </c>
      <c r="I199" s="18">
        <f>393884.38+7548.24</f>
        <v>401432.62</v>
      </c>
      <c r="J199" s="18">
        <f>28498.66+11133.51</f>
        <v>39632.17</v>
      </c>
      <c r="K199" s="18">
        <v>86.1</v>
      </c>
      <c r="L199" s="19">
        <f t="shared" si="0"/>
        <v>1302894.73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2043.7+1557323.05</f>
        <v>1559366.75</v>
      </c>
      <c r="I200" s="18"/>
      <c r="J200" s="18"/>
      <c r="K200" s="18"/>
      <c r="L200" s="19">
        <f t="shared" si="0"/>
        <v>1559366.75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168473.72</v>
      </c>
      <c r="G201" s="18">
        <v>66348.08</v>
      </c>
      <c r="H201" s="18">
        <v>95261.72</v>
      </c>
      <c r="I201" s="18">
        <v>50687.040000000001</v>
      </c>
      <c r="J201" s="18">
        <v>87999.16</v>
      </c>
      <c r="K201" s="18"/>
      <c r="L201" s="19">
        <f>SUM(F201:K201)</f>
        <v>468769.72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15287857.629999999</v>
      </c>
      <c r="G203" s="41">
        <f t="shared" si="1"/>
        <v>6563554.9800000014</v>
      </c>
      <c r="H203" s="41">
        <f t="shared" si="1"/>
        <v>2616983.7800000003</v>
      </c>
      <c r="I203" s="41">
        <f t="shared" si="1"/>
        <v>979238.02</v>
      </c>
      <c r="J203" s="41">
        <f t="shared" si="1"/>
        <v>165593.09</v>
      </c>
      <c r="K203" s="41">
        <f t="shared" si="1"/>
        <v>18354.03</v>
      </c>
      <c r="L203" s="41">
        <f t="shared" si="1"/>
        <v>25631581.529999997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4431692.54+119971.17</f>
        <v>4551663.71</v>
      </c>
      <c r="G207" s="18">
        <v>1745853.93</v>
      </c>
      <c r="H207" s="18">
        <f>32741.21+2084.52</f>
        <v>34825.729999999996</v>
      </c>
      <c r="I207" s="18">
        <f>157525.88+28660.18</f>
        <v>186186.06</v>
      </c>
      <c r="J207" s="18">
        <v>11260.37</v>
      </c>
      <c r="K207" s="18"/>
      <c r="L207" s="19">
        <f>SUM(F207:K207)</f>
        <v>6529789.7999999998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1491628.19+41958.03</f>
        <v>1533586.22</v>
      </c>
      <c r="G208" s="18">
        <v>628761.75</v>
      </c>
      <c r="H208" s="18">
        <f>169448.34+11854.13</f>
        <v>181302.47</v>
      </c>
      <c r="I208" s="18">
        <f>7774.39+3945.43</f>
        <v>11719.82</v>
      </c>
      <c r="J208" s="18"/>
      <c r="K208" s="18">
        <v>3092</v>
      </c>
      <c r="L208" s="19">
        <f>SUM(F208:K208)</f>
        <v>2358462.2599999998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113387.47+34724</f>
        <v>148111.47</v>
      </c>
      <c r="G210" s="18">
        <v>59488.71</v>
      </c>
      <c r="H210" s="18">
        <v>10180</v>
      </c>
      <c r="I210" s="18">
        <f>3046.13+310.49</f>
        <v>3356.62</v>
      </c>
      <c r="J210" s="18">
        <f>515+5669.57</f>
        <v>6184.57</v>
      </c>
      <c r="K210" s="18">
        <v>2039</v>
      </c>
      <c r="L210" s="19">
        <f>SUM(F210:K210)</f>
        <v>229360.37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571948.61+217798.91</f>
        <v>789747.52</v>
      </c>
      <c r="G212" s="18">
        <v>304103.43</v>
      </c>
      <c r="H212" s="18">
        <v>56071.39</v>
      </c>
      <c r="I212" s="18">
        <f>5626.66+62.14</f>
        <v>5688.8</v>
      </c>
      <c r="J212" s="18"/>
      <c r="K212" s="18">
        <f>230+56.4</f>
        <v>286.39999999999998</v>
      </c>
      <c r="L212" s="19">
        <f t="shared" ref="L212:L218" si="2">SUM(F212:K212)</f>
        <v>1155897.5399999998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172862.68+64641.42</f>
        <v>237504.09999999998</v>
      </c>
      <c r="G213" s="18">
        <f>55108.61+3626.06+94900.53</f>
        <v>153635.20000000001</v>
      </c>
      <c r="H213" s="18">
        <v>2615.62</v>
      </c>
      <c r="I213" s="18">
        <f>37621.99+1857.78</f>
        <v>39479.769999999997</v>
      </c>
      <c r="J213" s="18">
        <v>15276.08</v>
      </c>
      <c r="K213" s="18">
        <v>703.68</v>
      </c>
      <c r="L213" s="19">
        <f t="shared" si="2"/>
        <v>449214.45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82686.91</v>
      </c>
      <c r="G214" s="18">
        <v>36080.51</v>
      </c>
      <c r="H214" s="18">
        <v>83532.11</v>
      </c>
      <c r="I214" s="18">
        <v>7050.02</v>
      </c>
      <c r="J214" s="18">
        <v>320.25</v>
      </c>
      <c r="K214" s="18">
        <v>3640.29</v>
      </c>
      <c r="L214" s="19">
        <f t="shared" si="2"/>
        <v>213310.09000000003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417161.47+3698.94</f>
        <v>420860.41</v>
      </c>
      <c r="G215" s="18">
        <v>183143.69</v>
      </c>
      <c r="H215" s="18">
        <f>14642.8+1247.56</f>
        <v>15890.359999999999</v>
      </c>
      <c r="I215" s="18">
        <v>232.65</v>
      </c>
      <c r="J215" s="18"/>
      <c r="K215" s="18">
        <v>2387</v>
      </c>
      <c r="L215" s="19">
        <f t="shared" si="2"/>
        <v>622514.11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114023.12</v>
      </c>
      <c r="G216" s="18">
        <v>53227.08</v>
      </c>
      <c r="H216" s="18">
        <v>7075.54</v>
      </c>
      <c r="I216" s="18"/>
      <c r="J216" s="18"/>
      <c r="K216" s="18"/>
      <c r="L216" s="19">
        <f t="shared" si="2"/>
        <v>174325.74000000002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376159.76+181945.87</f>
        <v>558105.63</v>
      </c>
      <c r="G217" s="18">
        <v>215539.20000000001</v>
      </c>
      <c r="H217" s="18">
        <f>64712.73+130678.68</f>
        <v>195391.41</v>
      </c>
      <c r="I217" s="18">
        <f>201670.66+4161.9</f>
        <v>205832.56</v>
      </c>
      <c r="J217" s="18">
        <f>30846.06+7422.34</f>
        <v>38268.400000000001</v>
      </c>
      <c r="K217" s="18">
        <v>49.2</v>
      </c>
      <c r="L217" s="19">
        <f t="shared" si="2"/>
        <v>1213186.3999999999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14259.06+558043.19</f>
        <v>572302.25</v>
      </c>
      <c r="I218" s="18"/>
      <c r="J218" s="18"/>
      <c r="K218" s="18"/>
      <c r="L218" s="19">
        <f t="shared" si="2"/>
        <v>572302.25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96270.7</v>
      </c>
      <c r="G219" s="18">
        <v>38698.76</v>
      </c>
      <c r="H219" s="18">
        <v>54435.27</v>
      </c>
      <c r="I219" s="18">
        <v>28964.03</v>
      </c>
      <c r="J219" s="18">
        <v>58666.11</v>
      </c>
      <c r="K219" s="18"/>
      <c r="L219" s="19">
        <f>SUM(F219:K219)</f>
        <v>277034.87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8532559.7899999991</v>
      </c>
      <c r="G221" s="41">
        <f>SUM(G207:G220)</f>
        <v>3418532.26</v>
      </c>
      <c r="H221" s="41">
        <f>SUM(H207:H220)</f>
        <v>1213622.1499999999</v>
      </c>
      <c r="I221" s="41">
        <f>SUM(I207:I220)</f>
        <v>488510.32999999996</v>
      </c>
      <c r="J221" s="41">
        <f>SUM(J207:J220)</f>
        <v>129975.78000000001</v>
      </c>
      <c r="K221" s="41">
        <f t="shared" si="3"/>
        <v>12197.57</v>
      </c>
      <c r="L221" s="41">
        <f t="shared" si="3"/>
        <v>13795397.879999995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6264014.71+179758.84</f>
        <v>6443773.5499999998</v>
      </c>
      <c r="G225" s="18">
        <v>2491633.9300000002</v>
      </c>
      <c r="H225" s="18">
        <f>19541.74+7630.63</f>
        <v>27172.370000000003</v>
      </c>
      <c r="I225" s="18">
        <f>249441.35+80713.03</f>
        <v>330154.38</v>
      </c>
      <c r="J225" s="18">
        <f>46421.28+2637.8</f>
        <v>49059.08</v>
      </c>
      <c r="K225" s="18">
        <v>3644</v>
      </c>
      <c r="L225" s="19">
        <f>SUM(F225:K225)</f>
        <v>9345437.3100000005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1540832.12+64684.85</f>
        <v>1605516.9700000002</v>
      </c>
      <c r="G226" s="18">
        <v>778672.91</v>
      </c>
      <c r="H226" s="18">
        <f>916782.43+15826.73+15123.09</f>
        <v>947732.25</v>
      </c>
      <c r="I226" s="18">
        <f>3928.3+4415.65</f>
        <v>8343.9500000000007</v>
      </c>
      <c r="J226" s="18"/>
      <c r="K226" s="18">
        <v>530</v>
      </c>
      <c r="L226" s="19">
        <f>SUM(F226:K226)</f>
        <v>3340796.0800000005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>
        <v>5184.25</v>
      </c>
      <c r="H227" s="18">
        <v>182618.46</v>
      </c>
      <c r="I227" s="18"/>
      <c r="J227" s="18"/>
      <c r="K227" s="18"/>
      <c r="L227" s="19">
        <f>SUM(F227:K227)</f>
        <v>187802.71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484423.44+27716.2</f>
        <v>512139.64</v>
      </c>
      <c r="G228" s="18">
        <v>198743.36</v>
      </c>
      <c r="H228" s="18">
        <v>119738.9</v>
      </c>
      <c r="I228" s="18">
        <f>41244.85+310.49</f>
        <v>41555.339999999997</v>
      </c>
      <c r="J228" s="18">
        <f>31194.78+17008.7</f>
        <v>48203.479999999996</v>
      </c>
      <c r="K228" s="18">
        <v>25127.1</v>
      </c>
      <c r="L228" s="19">
        <f>SUM(F228:K228)</f>
        <v>945507.82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1020113.7+210886.97</f>
        <v>1231000.67</v>
      </c>
      <c r="G230" s="18">
        <v>484284.77</v>
      </c>
      <c r="H230" s="18">
        <f>3221.12+61792.77</f>
        <v>65013.89</v>
      </c>
      <c r="I230" s="18">
        <f>8482.32+88.05</f>
        <v>8570.369999999999</v>
      </c>
      <c r="J230" s="18"/>
      <c r="K230" s="18">
        <f>1695+79.9</f>
        <v>1774.9</v>
      </c>
      <c r="L230" s="19">
        <f t="shared" ref="L230:L236" si="4">SUM(F230:K230)</f>
        <v>1790644.5999999999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273981.71+91575.34</f>
        <v>365557.05000000005</v>
      </c>
      <c r="G231" s="18">
        <f>95485.63+5136.92+139974.68</f>
        <v>240597.22999999998</v>
      </c>
      <c r="H231" s="18">
        <v>3705.49</v>
      </c>
      <c r="I231" s="18">
        <f>62917.37+2631.84</f>
        <v>65549.210000000006</v>
      </c>
      <c r="J231" s="18">
        <v>21641.119999999999</v>
      </c>
      <c r="K231" s="18">
        <v>996.88</v>
      </c>
      <c r="L231" s="19">
        <f t="shared" si="4"/>
        <v>698046.98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117139.79</v>
      </c>
      <c r="G232" s="18">
        <v>49188.14</v>
      </c>
      <c r="H232" s="18">
        <v>118337.12</v>
      </c>
      <c r="I232" s="18">
        <v>9987.5300000000007</v>
      </c>
      <c r="J232" s="18">
        <v>453.68</v>
      </c>
      <c r="K232" s="18">
        <v>5157.08</v>
      </c>
      <c r="L232" s="19">
        <f t="shared" si="4"/>
        <v>300263.34000000003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745984.87+5240.17</f>
        <v>751225.04</v>
      </c>
      <c r="G233" s="18">
        <v>320581.73</v>
      </c>
      <c r="H233" s="18">
        <f>60124.2+1767.38</f>
        <v>61891.579999999994</v>
      </c>
      <c r="I233" s="18">
        <v>5142.6499999999996</v>
      </c>
      <c r="J233" s="18"/>
      <c r="K233" s="18">
        <v>3962</v>
      </c>
      <c r="L233" s="19">
        <f t="shared" si="4"/>
        <v>1142803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161532.75</v>
      </c>
      <c r="G234" s="18">
        <v>73234.7</v>
      </c>
      <c r="H234" s="18">
        <v>10023.68</v>
      </c>
      <c r="I234" s="18"/>
      <c r="J234" s="18"/>
      <c r="K234" s="18"/>
      <c r="L234" s="19">
        <f t="shared" si="4"/>
        <v>244791.13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571534.23+284158.69</f>
        <v>855692.91999999993</v>
      </c>
      <c r="G235" s="18">
        <v>329449.64</v>
      </c>
      <c r="H235" s="18">
        <f>214219.45+647001.18</f>
        <v>861220.63000000012</v>
      </c>
      <c r="I235" s="18">
        <f>485528.78+6970.57</f>
        <v>492499.35000000003</v>
      </c>
      <c r="J235" s="18">
        <f>67919.13+18555.85</f>
        <v>86474.98000000001</v>
      </c>
      <c r="K235" s="18">
        <v>69.7</v>
      </c>
      <c r="L235" s="19">
        <f t="shared" si="4"/>
        <v>2625407.2200000002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76879.65+598155.62</f>
        <v>675035.27</v>
      </c>
      <c r="I236" s="18"/>
      <c r="J236" s="18"/>
      <c r="K236" s="18"/>
      <c r="L236" s="19">
        <f t="shared" si="4"/>
        <v>675035.27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136383.49</v>
      </c>
      <c r="G237" s="18">
        <v>54108.5</v>
      </c>
      <c r="H237" s="18">
        <v>77116.62</v>
      </c>
      <c r="I237" s="18">
        <v>41032.370000000003</v>
      </c>
      <c r="J237" s="18">
        <v>146665.28</v>
      </c>
      <c r="K237" s="18"/>
      <c r="L237" s="19">
        <f>SUM(F237:K237)</f>
        <v>455306.26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12179961.870000001</v>
      </c>
      <c r="G239" s="41">
        <f t="shared" si="5"/>
        <v>5025679.16</v>
      </c>
      <c r="H239" s="41">
        <f t="shared" si="5"/>
        <v>3149606.2600000002</v>
      </c>
      <c r="I239" s="41">
        <f t="shared" si="5"/>
        <v>1002835.1500000001</v>
      </c>
      <c r="J239" s="41">
        <f t="shared" si="5"/>
        <v>352497.62</v>
      </c>
      <c r="K239" s="41">
        <f t="shared" si="5"/>
        <v>41261.659999999996</v>
      </c>
      <c r="L239" s="41">
        <f t="shared" si="5"/>
        <v>21751841.720000003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20406.4+18868.4</f>
        <v>39274.800000000003</v>
      </c>
      <c r="G243" s="18">
        <v>19152.91</v>
      </c>
      <c r="H243" s="18">
        <v>3780</v>
      </c>
      <c r="I243" s="18">
        <f>2581.37+348.51</f>
        <v>2929.88</v>
      </c>
      <c r="J243" s="18"/>
      <c r="K243" s="18"/>
      <c r="L243" s="19">
        <f t="shared" si="6"/>
        <v>65137.590000000004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39274.800000000003</v>
      </c>
      <c r="G248" s="41">
        <f t="shared" si="7"/>
        <v>19152.91</v>
      </c>
      <c r="H248" s="41">
        <f t="shared" si="7"/>
        <v>3780</v>
      </c>
      <c r="I248" s="41">
        <f t="shared" si="7"/>
        <v>2929.88</v>
      </c>
      <c r="J248" s="41">
        <f t="shared" si="7"/>
        <v>0</v>
      </c>
      <c r="K248" s="41">
        <f t="shared" si="7"/>
        <v>0</v>
      </c>
      <c r="L248" s="41">
        <f>SUM(F248:K248)</f>
        <v>65137.590000000004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36039654.089999996</v>
      </c>
      <c r="G249" s="41">
        <f t="shared" si="8"/>
        <v>15026919.310000002</v>
      </c>
      <c r="H249" s="41">
        <f t="shared" si="8"/>
        <v>6983992.1900000004</v>
      </c>
      <c r="I249" s="41">
        <f t="shared" si="8"/>
        <v>2473513.38</v>
      </c>
      <c r="J249" s="41">
        <f t="shared" si="8"/>
        <v>648066.49</v>
      </c>
      <c r="K249" s="41">
        <f t="shared" si="8"/>
        <v>71813.259999999995</v>
      </c>
      <c r="L249" s="41">
        <f t="shared" si="8"/>
        <v>61243958.719999999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1735000</v>
      </c>
      <c r="L252" s="19">
        <f>SUM(F252:K252)</f>
        <v>1735000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1230377.57</v>
      </c>
      <c r="L253" s="19">
        <f>SUM(F253:K253)</f>
        <v>1230377.57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550000</v>
      </c>
      <c r="L258" s="19">
        <f t="shared" si="9"/>
        <v>550000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3515377.5700000003</v>
      </c>
      <c r="L262" s="41">
        <f t="shared" si="9"/>
        <v>3515377.5700000003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36039654.089999996</v>
      </c>
      <c r="G263" s="42">
        <f t="shared" si="11"/>
        <v>15026919.310000002</v>
      </c>
      <c r="H263" s="42">
        <f t="shared" si="11"/>
        <v>6983992.1900000004</v>
      </c>
      <c r="I263" s="42">
        <f t="shared" si="11"/>
        <v>2473513.38</v>
      </c>
      <c r="J263" s="42">
        <f t="shared" si="11"/>
        <v>648066.49</v>
      </c>
      <c r="K263" s="42">
        <f t="shared" si="11"/>
        <v>3587190.83</v>
      </c>
      <c r="L263" s="42">
        <f t="shared" si="11"/>
        <v>64759336.289999999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165515.79999999999</v>
      </c>
      <c r="G268" s="18"/>
      <c r="H268" s="18"/>
      <c r="I268" s="18">
        <v>904.99</v>
      </c>
      <c r="J268" s="18"/>
      <c r="K268" s="18"/>
      <c r="L268" s="19">
        <f>SUM(F268:K268)</f>
        <v>166420.78999999998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499725.27+142442.63</f>
        <v>642167.9</v>
      </c>
      <c r="G269" s="18">
        <v>28631.040000000001</v>
      </c>
      <c r="H269" s="18">
        <v>5480</v>
      </c>
      <c r="I269" s="18">
        <f>8176.8+625.39+60+4716.99</f>
        <v>13579.18</v>
      </c>
      <c r="J269" s="18">
        <f>19476.3+1601.71+10648.08</f>
        <v>31726.089999999997</v>
      </c>
      <c r="K269" s="18"/>
      <c r="L269" s="19">
        <f>SUM(F269:K269)</f>
        <v>721584.21000000008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26855.63+52079.11+28559.97+122.5+54914.34</f>
        <v>162531.54999999999</v>
      </c>
      <c r="G273" s="18">
        <v>1020.99</v>
      </c>
      <c r="H273" s="18"/>
      <c r="I273" s="18"/>
      <c r="J273" s="18"/>
      <c r="K273" s="18"/>
      <c r="L273" s="19">
        <f t="shared" ref="L273:L279" si="12">SUM(F273:K273)</f>
        <v>163552.53999999998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24000+16237.5+8653</f>
        <v>48890.5</v>
      </c>
      <c r="G274" s="18"/>
      <c r="H274" s="18">
        <f>3000+6000+600+6000+54304.3+3560</f>
        <v>73464.3</v>
      </c>
      <c r="I274" s="18">
        <f>1399.3+1399.3+195.92+5859.11</f>
        <v>8853.6299999999992</v>
      </c>
      <c r="J274" s="18">
        <v>4398.47</v>
      </c>
      <c r="K274" s="18"/>
      <c r="L274" s="19">
        <f t="shared" si="12"/>
        <v>135606.9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11821</v>
      </c>
      <c r="I278" s="18"/>
      <c r="J278" s="18"/>
      <c r="K278" s="18"/>
      <c r="L278" s="19">
        <f t="shared" si="12"/>
        <v>11821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1019105.75</v>
      </c>
      <c r="G282" s="42">
        <f t="shared" si="13"/>
        <v>29652.030000000002</v>
      </c>
      <c r="H282" s="42">
        <f t="shared" si="13"/>
        <v>90765.3</v>
      </c>
      <c r="I282" s="42">
        <f t="shared" si="13"/>
        <v>23337.8</v>
      </c>
      <c r="J282" s="42">
        <f t="shared" si="13"/>
        <v>36124.559999999998</v>
      </c>
      <c r="K282" s="42">
        <f t="shared" si="13"/>
        <v>0</v>
      </c>
      <c r="L282" s="41">
        <f t="shared" si="13"/>
        <v>1198985.44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94632.960000000006</v>
      </c>
      <c r="G288" s="18">
        <v>28631.040000000001</v>
      </c>
      <c r="H288" s="18"/>
      <c r="I288" s="18">
        <v>5140.4399999999996</v>
      </c>
      <c r="J288" s="18">
        <v>2295</v>
      </c>
      <c r="K288" s="18"/>
      <c r="L288" s="19">
        <f>SUM(F288:K288)</f>
        <v>130699.44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2586.5</v>
      </c>
      <c r="I292" s="18"/>
      <c r="J292" s="18"/>
      <c r="K292" s="18"/>
      <c r="L292" s="19">
        <f t="shared" ref="L292:L298" si="14">SUM(F292:K292)</f>
        <v>2586.5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10350</v>
      </c>
      <c r="G293" s="18"/>
      <c r="H293" s="18"/>
      <c r="I293" s="18">
        <v>3348.06</v>
      </c>
      <c r="J293" s="18">
        <v>2513.41</v>
      </c>
      <c r="K293" s="18"/>
      <c r="L293" s="19">
        <f t="shared" si="14"/>
        <v>16211.47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104982.96</v>
      </c>
      <c r="G301" s="42">
        <f t="shared" si="15"/>
        <v>28631.040000000001</v>
      </c>
      <c r="H301" s="42">
        <f t="shared" si="15"/>
        <v>2586.5</v>
      </c>
      <c r="I301" s="42">
        <f t="shared" si="15"/>
        <v>8488.5</v>
      </c>
      <c r="J301" s="42">
        <f t="shared" si="15"/>
        <v>4808.41</v>
      </c>
      <c r="K301" s="42">
        <f t="shared" si="15"/>
        <v>0</v>
      </c>
      <c r="L301" s="41">
        <f t="shared" si="15"/>
        <v>149497.41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v>569.59</v>
      </c>
      <c r="J306" s="18"/>
      <c r="K306" s="18"/>
      <c r="L306" s="19">
        <f>SUM(F306:K306)</f>
        <v>569.59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414063.54</v>
      </c>
      <c r="G307" s="18"/>
      <c r="H307" s="18">
        <v>164025</v>
      </c>
      <c r="I307" s="18">
        <v>1481.19</v>
      </c>
      <c r="J307" s="18">
        <v>908.92</v>
      </c>
      <c r="K307" s="18"/>
      <c r="L307" s="19">
        <f>SUM(F307:K307)</f>
        <v>580478.65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13538.48</v>
      </c>
      <c r="G308" s="18">
        <v>1035.71</v>
      </c>
      <c r="H308" s="18">
        <f>500+221.58+40.09+3145</f>
        <v>3906.67</v>
      </c>
      <c r="I308" s="18">
        <v>1979.47</v>
      </c>
      <c r="J308" s="18"/>
      <c r="K308" s="18">
        <v>20</v>
      </c>
      <c r="L308" s="19">
        <f>SUM(F308:K308)</f>
        <v>20480.330000000002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51600</v>
      </c>
      <c r="I309" s="18"/>
      <c r="J309" s="18"/>
      <c r="K309" s="18"/>
      <c r="L309" s="19">
        <f>SUM(F309:K309)</f>
        <v>51600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14766.67</v>
      </c>
      <c r="G311" s="18"/>
      <c r="H311" s="18">
        <v>10183.83</v>
      </c>
      <c r="I311" s="18"/>
      <c r="J311" s="18"/>
      <c r="K311" s="18"/>
      <c r="L311" s="19">
        <f t="shared" ref="L311:L317" si="16">SUM(F311:K311)</f>
        <v>24950.5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11375</v>
      </c>
      <c r="I312" s="18">
        <v>4743.09</v>
      </c>
      <c r="J312" s="18">
        <v>3560.66</v>
      </c>
      <c r="K312" s="18"/>
      <c r="L312" s="19">
        <f t="shared" si="16"/>
        <v>19678.75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>
        <v>5124</v>
      </c>
      <c r="J317" s="18"/>
      <c r="K317" s="18"/>
      <c r="L317" s="19">
        <f t="shared" si="16"/>
        <v>5124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442368.68999999994</v>
      </c>
      <c r="G320" s="42">
        <f t="shared" si="17"/>
        <v>1035.71</v>
      </c>
      <c r="H320" s="42">
        <f t="shared" si="17"/>
        <v>241090.5</v>
      </c>
      <c r="I320" s="42">
        <f t="shared" si="17"/>
        <v>13897.34</v>
      </c>
      <c r="J320" s="42">
        <f t="shared" si="17"/>
        <v>4469.58</v>
      </c>
      <c r="K320" s="42">
        <f t="shared" si="17"/>
        <v>20</v>
      </c>
      <c r="L320" s="41">
        <f t="shared" si="17"/>
        <v>702881.82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16475</v>
      </c>
      <c r="I324" s="18"/>
      <c r="J324" s="18"/>
      <c r="K324" s="18"/>
      <c r="L324" s="19">
        <f t="shared" ref="L324:L329" si="18">SUM(F324:K324)</f>
        <v>16475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10920</v>
      </c>
      <c r="G325" s="18"/>
      <c r="H325" s="18">
        <f>2428.75</f>
        <v>2428.75</v>
      </c>
      <c r="I325" s="18">
        <f>1335.41+18345</f>
        <v>19680.41</v>
      </c>
      <c r="J325" s="18">
        <v>25787.81</v>
      </c>
      <c r="K325" s="18"/>
      <c r="L325" s="19">
        <f t="shared" si="18"/>
        <v>58816.97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10920</v>
      </c>
      <c r="G329" s="41">
        <f t="shared" si="19"/>
        <v>0</v>
      </c>
      <c r="H329" s="41">
        <f t="shared" si="19"/>
        <v>18903.75</v>
      </c>
      <c r="I329" s="41">
        <f t="shared" si="19"/>
        <v>19680.41</v>
      </c>
      <c r="J329" s="41">
        <f t="shared" si="19"/>
        <v>25787.81</v>
      </c>
      <c r="K329" s="41">
        <f t="shared" si="19"/>
        <v>0</v>
      </c>
      <c r="L329" s="41">
        <f t="shared" si="18"/>
        <v>75291.97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1577377.4</v>
      </c>
      <c r="G330" s="41">
        <f t="shared" si="20"/>
        <v>59318.780000000006</v>
      </c>
      <c r="H330" s="41">
        <f t="shared" si="20"/>
        <v>353346.05</v>
      </c>
      <c r="I330" s="41">
        <f t="shared" si="20"/>
        <v>65404.05</v>
      </c>
      <c r="J330" s="41">
        <f t="shared" si="20"/>
        <v>71190.36</v>
      </c>
      <c r="K330" s="41">
        <f t="shared" si="20"/>
        <v>20</v>
      </c>
      <c r="L330" s="41">
        <f t="shared" si="20"/>
        <v>2126656.64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1577377.4</v>
      </c>
      <c r="G344" s="41">
        <f>G330</f>
        <v>59318.780000000006</v>
      </c>
      <c r="H344" s="41">
        <f>H330</f>
        <v>353346.05</v>
      </c>
      <c r="I344" s="41">
        <f>I330</f>
        <v>65404.05</v>
      </c>
      <c r="J344" s="41">
        <f>J330</f>
        <v>71190.36</v>
      </c>
      <c r="K344" s="47">
        <f>K330+K343</f>
        <v>20</v>
      </c>
      <c r="L344" s="41">
        <f>L330+L343</f>
        <v>2126656.64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53070.91+142304.01</f>
        <v>195374.92</v>
      </c>
      <c r="G350" s="18">
        <v>29991.68</v>
      </c>
      <c r="H350" s="18">
        <v>13129.97</v>
      </c>
      <c r="I350" s="18">
        <v>223275.79</v>
      </c>
      <c r="J350" s="18">
        <v>15728.71</v>
      </c>
      <c r="K350" s="18">
        <v>305.02999999999997</v>
      </c>
      <c r="L350" s="13">
        <f>SUM(F350:K350)</f>
        <v>477806.10000000003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30326.23+127076.22</f>
        <v>157402.45000000001</v>
      </c>
      <c r="G351" s="18">
        <v>23993.35</v>
      </c>
      <c r="H351" s="18">
        <v>7502.84</v>
      </c>
      <c r="I351" s="18">
        <v>246373.29</v>
      </c>
      <c r="J351" s="18">
        <v>440.41</v>
      </c>
      <c r="K351" s="18">
        <v>174.3</v>
      </c>
      <c r="L351" s="19">
        <f>SUM(F351:K351)</f>
        <v>435886.64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42962.17+93425.36</f>
        <v>136387.53</v>
      </c>
      <c r="G352" s="18">
        <v>20994.18</v>
      </c>
      <c r="H352" s="18">
        <v>10629.03</v>
      </c>
      <c r="I352" s="18">
        <v>300267.45</v>
      </c>
      <c r="J352" s="18">
        <v>11913.65</v>
      </c>
      <c r="K352" s="18">
        <v>246.92</v>
      </c>
      <c r="L352" s="19">
        <f>SUM(F352:K352)</f>
        <v>480438.76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489164.9</v>
      </c>
      <c r="G354" s="47">
        <f t="shared" si="22"/>
        <v>74979.209999999992</v>
      </c>
      <c r="H354" s="47">
        <f t="shared" si="22"/>
        <v>31261.839999999997</v>
      </c>
      <c r="I354" s="47">
        <f t="shared" si="22"/>
        <v>769916.53</v>
      </c>
      <c r="J354" s="47">
        <f t="shared" si="22"/>
        <v>28082.769999999997</v>
      </c>
      <c r="K354" s="47">
        <f t="shared" si="22"/>
        <v>726.25</v>
      </c>
      <c r="L354" s="47">
        <f t="shared" si="22"/>
        <v>1394131.5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207318.7</v>
      </c>
      <c r="G359" s="18">
        <v>228765.47</v>
      </c>
      <c r="H359" s="18">
        <v>278807.90999999997</v>
      </c>
      <c r="I359" s="56">
        <f>SUM(F359:H359)</f>
        <v>714892.08000000007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15957.09</v>
      </c>
      <c r="G360" s="63">
        <v>17607.82</v>
      </c>
      <c r="H360" s="63">
        <v>21459.54</v>
      </c>
      <c r="I360" s="56">
        <f>SUM(F360:H360)</f>
        <v>55024.450000000004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223275.79</v>
      </c>
      <c r="G361" s="47">
        <f>SUM(G359:G360)</f>
        <v>246373.29</v>
      </c>
      <c r="H361" s="47">
        <f>SUM(H359:H360)</f>
        <v>300267.44999999995</v>
      </c>
      <c r="I361" s="47">
        <f>SUM(I359:I360)</f>
        <v>769916.53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94594.45</v>
      </c>
      <c r="L373" s="13">
        <f t="shared" si="23"/>
        <v>94594.45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94594.45</v>
      </c>
      <c r="L374" s="47">
        <f t="shared" si="24"/>
        <v>94594.45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31.99</v>
      </c>
      <c r="I384" s="18"/>
      <c r="J384" s="24" t="s">
        <v>312</v>
      </c>
      <c r="K384" s="24" t="s">
        <v>312</v>
      </c>
      <c r="L384" s="56">
        <f t="shared" si="25"/>
        <v>31.99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31.99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31.99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550000</v>
      </c>
      <c r="H388" s="18">
        <v>492.11</v>
      </c>
      <c r="I388" s="18"/>
      <c r="J388" s="24" t="s">
        <v>312</v>
      </c>
      <c r="K388" s="24" t="s">
        <v>312</v>
      </c>
      <c r="L388" s="56">
        <f t="shared" si="26"/>
        <v>550492.11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108.63</v>
      </c>
      <c r="I389" s="18"/>
      <c r="J389" s="24" t="s">
        <v>312</v>
      </c>
      <c r="K389" s="24" t="s">
        <v>312</v>
      </c>
      <c r="L389" s="56">
        <f t="shared" si="26"/>
        <v>108.63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550000</v>
      </c>
      <c r="H393" s="47">
        <f>SUM(H387:H392)</f>
        <v>600.74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550600.74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550000</v>
      </c>
      <c r="H400" s="47">
        <f>H385+H393+H399</f>
        <v>632.73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550632.73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505994.86</v>
      </c>
      <c r="L414" s="56">
        <f t="shared" si="29"/>
        <v>505994.86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505994.86</v>
      </c>
      <c r="L419" s="47">
        <f t="shared" si="30"/>
        <v>505994.86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505994.86</v>
      </c>
      <c r="L426" s="47">
        <f t="shared" si="32"/>
        <v>505994.86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30782.18</v>
      </c>
      <c r="G431" s="18">
        <v>340557.63</v>
      </c>
      <c r="H431" s="18"/>
      <c r="I431" s="56">
        <f t="shared" ref="I431:I437" si="33">SUM(F431:H431)</f>
        <v>371339.81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30782.18</v>
      </c>
      <c r="G438" s="13">
        <f>SUM(G431:G437)</f>
        <v>340557.63</v>
      </c>
      <c r="H438" s="13">
        <f>SUM(H431:H437)</f>
        <v>0</v>
      </c>
      <c r="I438" s="13">
        <f>SUM(I431:I437)</f>
        <v>371339.81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66161</v>
      </c>
      <c r="H440" s="18"/>
      <c r="I440" s="56">
        <f>SUM(F440:H440)</f>
        <v>66161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66161</v>
      </c>
      <c r="H444" s="72">
        <f>SUM(H440:H443)</f>
        <v>0</v>
      </c>
      <c r="I444" s="72">
        <f>SUM(I440:I443)</f>
        <v>66161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30782.18</v>
      </c>
      <c r="G449" s="18">
        <v>274396.63</v>
      </c>
      <c r="H449" s="18"/>
      <c r="I449" s="56">
        <f>SUM(F449:H449)</f>
        <v>305178.81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30782.18</v>
      </c>
      <c r="G450" s="83">
        <f>SUM(G446:G449)</f>
        <v>274396.63</v>
      </c>
      <c r="H450" s="83">
        <f>SUM(H446:H449)</f>
        <v>0</v>
      </c>
      <c r="I450" s="83">
        <f>SUM(I446:I449)</f>
        <v>305178.81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30782.18</v>
      </c>
      <c r="G451" s="42">
        <f>G444+G450</f>
        <v>340557.63</v>
      </c>
      <c r="H451" s="42">
        <f>H444+H450</f>
        <v>0</v>
      </c>
      <c r="I451" s="42">
        <f>I444+I450</f>
        <v>371339.81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593543.37</v>
      </c>
      <c r="G455" s="18">
        <v>156858.34</v>
      </c>
      <c r="H455" s="18">
        <v>84600.71</v>
      </c>
      <c r="I455" s="18">
        <v>94594.45</v>
      </c>
      <c r="J455" s="18">
        <v>260540.94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64508572.140000001</v>
      </c>
      <c r="G458" s="18">
        <v>1261772.58</v>
      </c>
      <c r="H458" s="18">
        <v>2118525.1</v>
      </c>
      <c r="I458" s="18">
        <v>0</v>
      </c>
      <c r="J458" s="18">
        <v>550632.73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64508572.140000001</v>
      </c>
      <c r="G460" s="53">
        <f>SUM(G458:G459)</f>
        <v>1261772.58</v>
      </c>
      <c r="H460" s="53">
        <f>SUM(H458:H459)</f>
        <v>2118525.1</v>
      </c>
      <c r="I460" s="53">
        <f>SUM(I458:I459)</f>
        <v>0</v>
      </c>
      <c r="J460" s="53">
        <f>SUM(J458:J459)</f>
        <v>550632.73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64759336.289999999</v>
      </c>
      <c r="G462" s="18">
        <v>1394131.5</v>
      </c>
      <c r="H462" s="18">
        <v>2126656.64</v>
      </c>
      <c r="I462" s="18">
        <v>94594.45</v>
      </c>
      <c r="J462" s="18">
        <v>505994.86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64759336.289999999</v>
      </c>
      <c r="G464" s="53">
        <f>SUM(G462:G463)</f>
        <v>1394131.5</v>
      </c>
      <c r="H464" s="53">
        <f>SUM(H462:H463)</f>
        <v>2126656.64</v>
      </c>
      <c r="I464" s="53">
        <f>SUM(I462:I463)</f>
        <v>94594.45</v>
      </c>
      <c r="J464" s="53">
        <f>SUM(J462:J463)</f>
        <v>505994.86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342779.21999999881</v>
      </c>
      <c r="G466" s="53">
        <f>(G455+G460)- G464</f>
        <v>24499.420000000158</v>
      </c>
      <c r="H466" s="53">
        <f>(H455+H460)- H464</f>
        <v>76469.169999999925</v>
      </c>
      <c r="I466" s="53">
        <f>(I455+I460)- I464</f>
        <v>0</v>
      </c>
      <c r="J466" s="53">
        <f>(J455+J460)- J464</f>
        <v>305178.80999999994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13</v>
      </c>
      <c r="H480" s="154">
        <v>20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12030000</v>
      </c>
      <c r="G483" s="18">
        <v>6935000</v>
      </c>
      <c r="H483" s="18">
        <v>5500000</v>
      </c>
      <c r="I483" s="18">
        <v>5100000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4.57</v>
      </c>
      <c r="G484" s="18">
        <v>3.25</v>
      </c>
      <c r="H484" s="18">
        <v>3.9</v>
      </c>
      <c r="I484" s="18">
        <v>4.09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8680000</v>
      </c>
      <c r="G485" s="18">
        <v>3555000</v>
      </c>
      <c r="H485" s="18">
        <v>4400000</v>
      </c>
      <c r="I485" s="18">
        <v>4845000</v>
      </c>
      <c r="J485" s="18"/>
      <c r="K485" s="53">
        <f>SUM(F485:J485)</f>
        <v>21480000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670000</v>
      </c>
      <c r="G487" s="18">
        <v>535000</v>
      </c>
      <c r="H487" s="18">
        <v>275000</v>
      </c>
      <c r="I487" s="18">
        <v>255000</v>
      </c>
      <c r="J487" s="18"/>
      <c r="K487" s="53">
        <f t="shared" si="34"/>
        <v>1735000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8010000</v>
      </c>
      <c r="G488" s="205">
        <v>3020000</v>
      </c>
      <c r="H488" s="205">
        <v>4125000</v>
      </c>
      <c r="I488" s="205">
        <v>4590000</v>
      </c>
      <c r="J488" s="205"/>
      <c r="K488" s="206">
        <f t="shared" si="34"/>
        <v>19745000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8010000</v>
      </c>
      <c r="G490" s="42">
        <f>SUM(G488:G489)</f>
        <v>3020000</v>
      </c>
      <c r="H490" s="42">
        <f>SUM(H488:H489)</f>
        <v>4125000</v>
      </c>
      <c r="I490" s="42">
        <f>SUM(I488:I489)</f>
        <v>4590000</v>
      </c>
      <c r="J490" s="42">
        <f>SUM(J488:J489)</f>
        <v>0</v>
      </c>
      <c r="K490" s="42">
        <f t="shared" si="34"/>
        <v>19745000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670000</v>
      </c>
      <c r="G491" s="205">
        <v>525000</v>
      </c>
      <c r="H491" s="205">
        <v>275000</v>
      </c>
      <c r="I491" s="205">
        <v>255000</v>
      </c>
      <c r="J491" s="205"/>
      <c r="K491" s="206">
        <f t="shared" si="34"/>
        <v>1725000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355652</v>
      </c>
      <c r="G492" s="18">
        <v>103812.5</v>
      </c>
      <c r="H492" s="18">
        <v>154825</v>
      </c>
      <c r="I492" s="18">
        <v>182006.26</v>
      </c>
      <c r="J492" s="18"/>
      <c r="K492" s="53">
        <f t="shared" si="34"/>
        <v>796295.76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1025652</v>
      </c>
      <c r="G493" s="42">
        <f>SUM(G491:G492)</f>
        <v>628812.5</v>
      </c>
      <c r="H493" s="42">
        <f>SUM(H491:H492)</f>
        <v>429825</v>
      </c>
      <c r="I493" s="42">
        <f>SUM(I491:I492)</f>
        <v>437006.26</v>
      </c>
      <c r="J493" s="42">
        <f>SUM(J491:J492)</f>
        <v>0</v>
      </c>
      <c r="K493" s="42">
        <f t="shared" si="34"/>
        <v>2521295.7599999998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2007208</v>
      </c>
      <c r="G497" s="144"/>
      <c r="H497" s="144"/>
      <c r="I497" s="144">
        <v>2091157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3344807.87+123067.4+28568.39</f>
        <v>3496443.66</v>
      </c>
      <c r="G511" s="18">
        <f>28631.04+775707.18+(F511*0.0765)+(F511*0.0802)+75000</f>
        <v>1427230.9415220001</v>
      </c>
      <c r="H511" s="18">
        <f>5480+526.68+189413.02+9362.67</f>
        <v>204782.37</v>
      </c>
      <c r="I511" s="18">
        <f>29398.32+5909.43</f>
        <v>35307.75</v>
      </c>
      <c r="J511" s="18">
        <f>21605.76+10648.08</f>
        <v>32253.839999999997</v>
      </c>
      <c r="K511" s="18">
        <v>1121</v>
      </c>
      <c r="L511" s="88">
        <f>SUM(F511:K511)</f>
        <v>5197139.5615220005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1286220.21+49910.12</f>
        <v>1336130.33</v>
      </c>
      <c r="G512" s="18">
        <f>28631.04+296389.13+(F512*0.0765)+(F512*0.0802)+25000</f>
        <v>559391.79271099996</v>
      </c>
      <c r="H512" s="18">
        <f>6743.01+162705.33+6976.45</f>
        <v>176424.79</v>
      </c>
      <c r="I512" s="18">
        <f>7646.32+3332.46</f>
        <v>10978.779999999999</v>
      </c>
      <c r="J512" s="18">
        <v>2295</v>
      </c>
      <c r="K512" s="18"/>
      <c r="L512" s="88">
        <f>SUM(F512:K512)</f>
        <v>2085220.6927110001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1846678.34+59897.96</f>
        <v>1906576.3</v>
      </c>
      <c r="G513" s="18">
        <f>422985.51+(F513*0.0765)+(F513*0.0802)+50000</f>
        <v>771746.01621000003</v>
      </c>
      <c r="H513" s="18">
        <f>164025+15123.09+900510.47+16271.96+12458.36</f>
        <v>1108388.8800000001</v>
      </c>
      <c r="I513" s="18">
        <f>5409.49+4591.61</f>
        <v>10001.099999999999</v>
      </c>
      <c r="J513" s="18">
        <v>908.92</v>
      </c>
      <c r="K513" s="18">
        <v>530</v>
      </c>
      <c r="L513" s="88">
        <f>SUM(F513:K513)</f>
        <v>3798151.2162099998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6739150.29</v>
      </c>
      <c r="G514" s="108">
        <f t="shared" ref="G514:L514" si="35">SUM(G511:G513)</f>
        <v>2758368.7504430003</v>
      </c>
      <c r="H514" s="108">
        <f t="shared" si="35"/>
        <v>1489596.04</v>
      </c>
      <c r="I514" s="108">
        <f t="shared" si="35"/>
        <v>56287.63</v>
      </c>
      <c r="J514" s="108">
        <f t="shared" si="35"/>
        <v>35457.759999999995</v>
      </c>
      <c r="K514" s="108">
        <f t="shared" si="35"/>
        <v>1651</v>
      </c>
      <c r="L514" s="89">
        <f t="shared" si="35"/>
        <v>11080511.470443001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657601.31+523207.55</f>
        <v>1180808.8600000001</v>
      </c>
      <c r="G516" s="18">
        <f>261975.23+(F516*0.0765)+(F516*0.0802)+25000</f>
        <v>472007.97836200002</v>
      </c>
      <c r="H516" s="18">
        <f>54304.3+89862.57</f>
        <v>144166.87</v>
      </c>
      <c r="I516" s="18">
        <v>108.75</v>
      </c>
      <c r="J516" s="18"/>
      <c r="K516" s="18">
        <v>98.7</v>
      </c>
      <c r="L516" s="88">
        <f>SUM(F516:K516)</f>
        <v>1797191.158362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160391.6+182234.75</f>
        <v>342626.35</v>
      </c>
      <c r="G517" s="18">
        <f>75994.82+(F517*0.0765)+(F517*0.0802)+10000</f>
        <v>139684.369045</v>
      </c>
      <c r="H517" s="18">
        <f>2586.5+55038.48</f>
        <v>57624.98</v>
      </c>
      <c r="I517" s="18">
        <v>62.14</v>
      </c>
      <c r="J517" s="18"/>
      <c r="K517" s="18">
        <v>56.4</v>
      </c>
      <c r="L517" s="88">
        <f>SUM(F517:K517)</f>
        <v>540054.23904500005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120847.45+173641.86</f>
        <v>294489.31</v>
      </c>
      <c r="G518" s="18">
        <f>65337.42+(F518*0.0765)+(F518*0.0802)+10000</f>
        <v>121483.89487699998</v>
      </c>
      <c r="H518" s="18">
        <f>10183.83+60329.48</f>
        <v>70513.31</v>
      </c>
      <c r="I518" s="18">
        <v>88.04</v>
      </c>
      <c r="J518" s="18"/>
      <c r="K518" s="18">
        <v>79.900000000000006</v>
      </c>
      <c r="L518" s="88">
        <f>SUM(F518:K518)</f>
        <v>486654.45487699995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1817924.52</v>
      </c>
      <c r="G519" s="89">
        <f t="shared" ref="G519:L519" si="36">SUM(G516:G518)</f>
        <v>733176.24228400004</v>
      </c>
      <c r="H519" s="89">
        <f t="shared" si="36"/>
        <v>272305.16000000003</v>
      </c>
      <c r="I519" s="89">
        <f t="shared" si="36"/>
        <v>258.93</v>
      </c>
      <c r="J519" s="89">
        <f t="shared" si="36"/>
        <v>0</v>
      </c>
      <c r="K519" s="89">
        <f t="shared" si="36"/>
        <v>235</v>
      </c>
      <c r="L519" s="89">
        <f t="shared" si="36"/>
        <v>2823899.8522839998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215612.56+52714.61</f>
        <v>268327.17</v>
      </c>
      <c r="G521" s="18">
        <f>59531.29+(F521*0.0765)+(F521*0.0802)+10000</f>
        <v>111578.15753900001</v>
      </c>
      <c r="H521" s="18">
        <v>2298.73</v>
      </c>
      <c r="I521" s="18"/>
      <c r="J521" s="18"/>
      <c r="K521" s="18"/>
      <c r="L521" s="88">
        <f>SUM(F521:K521)</f>
        <v>382204.05753899994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109953.9+30122.63</f>
        <v>140076.53</v>
      </c>
      <c r="G522" s="18">
        <f>31069.09+(F522*0.0765)+(F522*0.0802)</f>
        <v>53019.082251</v>
      </c>
      <c r="H522" s="18">
        <v>1313.56</v>
      </c>
      <c r="I522" s="18"/>
      <c r="J522" s="18"/>
      <c r="K522" s="18"/>
      <c r="L522" s="88">
        <f>SUM(F522:K522)</f>
        <v>194409.17225100001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108217.32+42673.73</f>
        <v>150891.05000000002</v>
      </c>
      <c r="G523" s="18">
        <f>33477.72+(F523*0.0765)+(F523*0.0802)</f>
        <v>57122.347535000001</v>
      </c>
      <c r="H523" s="18">
        <v>1860.88</v>
      </c>
      <c r="I523" s="18"/>
      <c r="J523" s="18"/>
      <c r="K523" s="18"/>
      <c r="L523" s="88">
        <f>SUM(F523:K523)</f>
        <v>209874.27753500003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559294.75</v>
      </c>
      <c r="G524" s="89">
        <f t="shared" ref="G524:L524" si="37">SUM(G521:G523)</f>
        <v>221719.58732500003</v>
      </c>
      <c r="H524" s="89">
        <f t="shared" si="37"/>
        <v>5473.17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786487.50732500001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4160.9399999999996</v>
      </c>
      <c r="I526" s="18"/>
      <c r="J526" s="18"/>
      <c r="K526" s="18"/>
      <c r="L526" s="88">
        <f>SUM(F526:K526)</f>
        <v>4160.9399999999996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2377.6799999999998</v>
      </c>
      <c r="I527" s="18"/>
      <c r="J527" s="18"/>
      <c r="K527" s="18"/>
      <c r="L527" s="88">
        <f>SUM(F527:K527)</f>
        <v>2377.6799999999998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3368.38</v>
      </c>
      <c r="I528" s="18"/>
      <c r="J528" s="18"/>
      <c r="K528" s="18"/>
      <c r="L528" s="88">
        <f>SUM(F528:K528)</f>
        <v>3368.38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9907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9907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601686.38</v>
      </c>
      <c r="I531" s="18"/>
      <c r="J531" s="18"/>
      <c r="K531" s="18"/>
      <c r="L531" s="88">
        <f>SUM(F531:K531)</f>
        <v>601686.38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80224.850000000006</v>
      </c>
      <c r="I532" s="18"/>
      <c r="J532" s="18"/>
      <c r="K532" s="18"/>
      <c r="L532" s="88">
        <f>SUM(F532:K532)</f>
        <v>80224.850000000006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120337.28+5124</f>
        <v>125461.28</v>
      </c>
      <c r="I533" s="18"/>
      <c r="J533" s="18"/>
      <c r="K533" s="18"/>
      <c r="L533" s="88">
        <f>SUM(F533:K533)</f>
        <v>125461.28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807372.51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807372.51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9116369.5600000005</v>
      </c>
      <c r="G535" s="89">
        <f t="shared" ref="G535:L535" si="40">G514+G519+G524+G529+G534</f>
        <v>3713264.5800520005</v>
      </c>
      <c r="H535" s="89">
        <f t="shared" si="40"/>
        <v>2584653.88</v>
      </c>
      <c r="I535" s="89">
        <f t="shared" si="40"/>
        <v>56546.559999999998</v>
      </c>
      <c r="J535" s="89">
        <f t="shared" si="40"/>
        <v>35457.759999999995</v>
      </c>
      <c r="K535" s="89">
        <f t="shared" si="40"/>
        <v>1886</v>
      </c>
      <c r="L535" s="89">
        <f t="shared" si="40"/>
        <v>15508178.340051999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5197139.5615220005</v>
      </c>
      <c r="G539" s="87">
        <f>L516</f>
        <v>1797191.158362</v>
      </c>
      <c r="H539" s="87">
        <f>L521</f>
        <v>382204.05753899994</v>
      </c>
      <c r="I539" s="87">
        <f>L526</f>
        <v>4160.9399999999996</v>
      </c>
      <c r="J539" s="87">
        <f>L531</f>
        <v>601686.38</v>
      </c>
      <c r="K539" s="87">
        <f>SUM(F539:J539)</f>
        <v>7982382.0974230012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2085220.6927110001</v>
      </c>
      <c r="G540" s="87">
        <f>L517</f>
        <v>540054.23904500005</v>
      </c>
      <c r="H540" s="87">
        <f>L522</f>
        <v>194409.17225100001</v>
      </c>
      <c r="I540" s="87">
        <f>L527</f>
        <v>2377.6799999999998</v>
      </c>
      <c r="J540" s="87">
        <f>L532</f>
        <v>80224.850000000006</v>
      </c>
      <c r="K540" s="87">
        <f>SUM(F540:J540)</f>
        <v>2902286.6340070004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3798151.2162099998</v>
      </c>
      <c r="G541" s="87">
        <f>L518</f>
        <v>486654.45487699995</v>
      </c>
      <c r="H541" s="87">
        <f>L523</f>
        <v>209874.27753500003</v>
      </c>
      <c r="I541" s="87">
        <f>L528</f>
        <v>3368.38</v>
      </c>
      <c r="J541" s="87">
        <f>L533</f>
        <v>125461.28</v>
      </c>
      <c r="K541" s="87">
        <f>SUM(F541:J541)</f>
        <v>4623509.6086219996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11080511.470443001</v>
      </c>
      <c r="G542" s="89">
        <f t="shared" si="41"/>
        <v>2823899.8522839998</v>
      </c>
      <c r="H542" s="89">
        <f t="shared" si="41"/>
        <v>786487.50732500001</v>
      </c>
      <c r="I542" s="89">
        <f t="shared" si="41"/>
        <v>9907</v>
      </c>
      <c r="J542" s="89">
        <f t="shared" si="41"/>
        <v>807372.51</v>
      </c>
      <c r="K542" s="89">
        <f t="shared" si="41"/>
        <v>15508178.340052001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296244.36</v>
      </c>
      <c r="G547" s="18">
        <f>112145.09+10000</f>
        <v>122145.09</v>
      </c>
      <c r="H547" s="18"/>
      <c r="I547" s="18"/>
      <c r="J547" s="18"/>
      <c r="K547" s="18"/>
      <c r="L547" s="88">
        <f>SUM(F547:K547)</f>
        <v>418389.44999999995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296244.36</v>
      </c>
      <c r="G550" s="108">
        <f t="shared" si="42"/>
        <v>122145.09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418389.44999999995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61198.26</v>
      </c>
      <c r="G552" s="18">
        <v>23166.97</v>
      </c>
      <c r="H552" s="18"/>
      <c r="I552" s="18">
        <v>448.38</v>
      </c>
      <c r="J552" s="18"/>
      <c r="K552" s="18"/>
      <c r="L552" s="88">
        <f>SUM(F552:K552)</f>
        <v>84813.610000000015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13113.91</v>
      </c>
      <c r="G553" s="18">
        <v>3161.93</v>
      </c>
      <c r="H553" s="18"/>
      <c r="I553" s="18">
        <v>224.2</v>
      </c>
      <c r="J553" s="18"/>
      <c r="K553" s="18"/>
      <c r="L553" s="88">
        <f>SUM(F553:K553)</f>
        <v>16500.04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13113.91</v>
      </c>
      <c r="G554" s="18">
        <v>3428.19</v>
      </c>
      <c r="H554" s="18"/>
      <c r="I554" s="18">
        <v>224.2</v>
      </c>
      <c r="J554" s="18"/>
      <c r="K554" s="18"/>
      <c r="L554" s="88">
        <f>SUM(F554:K554)</f>
        <v>16766.3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87426.08</v>
      </c>
      <c r="G555" s="89">
        <f t="shared" si="43"/>
        <v>29757.09</v>
      </c>
      <c r="H555" s="89">
        <f t="shared" si="43"/>
        <v>0</v>
      </c>
      <c r="I555" s="89">
        <f t="shared" si="43"/>
        <v>896.78</v>
      </c>
      <c r="J555" s="89">
        <f t="shared" si="43"/>
        <v>0</v>
      </c>
      <c r="K555" s="89">
        <f t="shared" si="43"/>
        <v>0</v>
      </c>
      <c r="L555" s="89">
        <f t="shared" si="43"/>
        <v>118079.95000000003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279974.08</v>
      </c>
      <c r="G557" s="18">
        <f>105985.88+10000</f>
        <v>115985.88</v>
      </c>
      <c r="H557" s="18">
        <v>2500</v>
      </c>
      <c r="I557" s="18">
        <v>788.94</v>
      </c>
      <c r="J557" s="18"/>
      <c r="K557" s="18">
        <v>3092</v>
      </c>
      <c r="L557" s="88">
        <f>SUM(F557:K557)</f>
        <v>402340.9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190087.04000000001</v>
      </c>
      <c r="G558" s="18">
        <v>45832.38</v>
      </c>
      <c r="H558" s="18">
        <v>2500</v>
      </c>
      <c r="I558" s="18">
        <f>5268.51+788.94</f>
        <v>6057.4500000000007</v>
      </c>
      <c r="J558" s="18"/>
      <c r="K558" s="18">
        <v>3092</v>
      </c>
      <c r="L558" s="88">
        <f>SUM(F558:K558)</f>
        <v>247568.87000000002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12739</v>
      </c>
      <c r="G559" s="18">
        <v>3330.18</v>
      </c>
      <c r="H559" s="18"/>
      <c r="I559" s="18"/>
      <c r="J559" s="18"/>
      <c r="K559" s="18"/>
      <c r="L559" s="88">
        <f>SUM(F559:K559)</f>
        <v>16069.18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482800.12</v>
      </c>
      <c r="G560" s="194">
        <f t="shared" ref="G560:L560" si="44">SUM(G557:G559)</f>
        <v>165148.44</v>
      </c>
      <c r="H560" s="194">
        <f t="shared" si="44"/>
        <v>5000</v>
      </c>
      <c r="I560" s="194">
        <f t="shared" si="44"/>
        <v>6846.3900000000012</v>
      </c>
      <c r="J560" s="194">
        <f t="shared" si="44"/>
        <v>0</v>
      </c>
      <c r="K560" s="194">
        <f t="shared" si="44"/>
        <v>6184</v>
      </c>
      <c r="L560" s="194">
        <f t="shared" si="44"/>
        <v>665978.95000000007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866470.56</v>
      </c>
      <c r="G561" s="89">
        <f t="shared" ref="G561:L561" si="45">G550+G555+G560</f>
        <v>317050.62</v>
      </c>
      <c r="H561" s="89">
        <f t="shared" si="45"/>
        <v>5000</v>
      </c>
      <c r="I561" s="89">
        <f t="shared" si="45"/>
        <v>7743.170000000001</v>
      </c>
      <c r="J561" s="89">
        <f t="shared" si="45"/>
        <v>0</v>
      </c>
      <c r="K561" s="89">
        <f t="shared" si="45"/>
        <v>6184</v>
      </c>
      <c r="L561" s="89">
        <f t="shared" si="45"/>
        <v>1202448.3500000001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15123.09</v>
      </c>
      <c r="I569" s="87">
        <f t="shared" si="46"/>
        <v>15123.09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189413.02+526.68</f>
        <v>189939.69999999998</v>
      </c>
      <c r="G572" s="18">
        <f>162705.33+6743.01</f>
        <v>169448.34</v>
      </c>
      <c r="H572" s="18">
        <f>900510.47+16271.96</f>
        <v>916782.42999999993</v>
      </c>
      <c r="I572" s="87">
        <f t="shared" si="46"/>
        <v>1276170.47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182618.46</v>
      </c>
      <c r="I574" s="87">
        <f t="shared" si="46"/>
        <v>182618.46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955636.67</v>
      </c>
      <c r="I581" s="18">
        <v>477818.34</v>
      </c>
      <c r="J581" s="18">
        <v>441818.34</v>
      </c>
      <c r="K581" s="104">
        <f t="shared" ref="K581:K587" si="47">SUM(H581:J581)</f>
        <v>1875273.35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601686.38</v>
      </c>
      <c r="I582" s="18">
        <v>80224.850000000006</v>
      </c>
      <c r="J582" s="18">
        <v>120337.28</v>
      </c>
      <c r="K582" s="104">
        <f t="shared" si="47"/>
        <v>802248.51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36000</v>
      </c>
      <c r="K583" s="104">
        <f t="shared" si="47"/>
        <v>36000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13070.66</v>
      </c>
      <c r="J584" s="18">
        <v>64589.24</v>
      </c>
      <c r="K584" s="104">
        <f t="shared" si="47"/>
        <v>77659.899999999994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2043.7</v>
      </c>
      <c r="I585" s="18">
        <v>1188.4000000000001</v>
      </c>
      <c r="J585" s="18">
        <f>478.78+11811.63</f>
        <v>12290.41</v>
      </c>
      <c r="K585" s="104">
        <f t="shared" si="47"/>
        <v>15522.51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1559366.75</v>
      </c>
      <c r="I588" s="108">
        <f>SUM(I581:I587)</f>
        <v>572302.25000000012</v>
      </c>
      <c r="J588" s="108">
        <f>SUM(J581:J587)</f>
        <v>675035.27</v>
      </c>
      <c r="K588" s="108">
        <f>SUM(K581:K587)</f>
        <v>2806704.27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201717.65</v>
      </c>
      <c r="I594" s="18">
        <v>134784.19</v>
      </c>
      <c r="J594" s="18">
        <v>382755.01</v>
      </c>
      <c r="K594" s="104">
        <f>SUM(H594:J594)</f>
        <v>719256.85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201717.65</v>
      </c>
      <c r="I595" s="108">
        <f>SUM(I592:I594)</f>
        <v>134784.19</v>
      </c>
      <c r="J595" s="108">
        <f>SUM(J592:J594)</f>
        <v>382755.01</v>
      </c>
      <c r="K595" s="108">
        <f>SUM(K592:K594)</f>
        <v>719256.85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23794.42+6392.7</f>
        <v>30187.119999999999</v>
      </c>
      <c r="G601" s="18">
        <f>(F601*0.0765)+(F601*0.0802)</f>
        <v>4730.321704</v>
      </c>
      <c r="H601" s="18"/>
      <c r="I601" s="18">
        <f>964.01+2657.83</f>
        <v>3621.84</v>
      </c>
      <c r="J601" s="18"/>
      <c r="K601" s="18"/>
      <c r="L601" s="88">
        <f>SUM(F601:K601)</f>
        <v>38539.281703999994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5000.1899999999996</v>
      </c>
      <c r="G602" s="18">
        <f>(F602*0.0765)+(F602*0.0802)</f>
        <v>783.52977299999998</v>
      </c>
      <c r="H602" s="18"/>
      <c r="I602" s="18">
        <v>179.72</v>
      </c>
      <c r="J602" s="18"/>
      <c r="K602" s="18"/>
      <c r="L602" s="88">
        <f>SUM(F602:K602)</f>
        <v>5963.4397730000001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34464.65</v>
      </c>
      <c r="G603" s="18">
        <f>(F603*0.0765)+(F603*0.0802)</f>
        <v>5400.6106550000004</v>
      </c>
      <c r="H603" s="18"/>
      <c r="I603" s="18">
        <v>639.91</v>
      </c>
      <c r="J603" s="18"/>
      <c r="K603" s="18"/>
      <c r="L603" s="88">
        <f>SUM(F603:K603)</f>
        <v>40505.170655000009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69651.959999999992</v>
      </c>
      <c r="G604" s="108">
        <f t="shared" si="48"/>
        <v>10914.462132000001</v>
      </c>
      <c r="H604" s="108">
        <f t="shared" si="48"/>
        <v>0</v>
      </c>
      <c r="I604" s="108">
        <f t="shared" si="48"/>
        <v>4441.47</v>
      </c>
      <c r="J604" s="108">
        <f t="shared" si="48"/>
        <v>0</v>
      </c>
      <c r="K604" s="108">
        <f t="shared" si="48"/>
        <v>0</v>
      </c>
      <c r="L604" s="89">
        <f t="shared" si="48"/>
        <v>85007.892132000008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1358881.73</v>
      </c>
      <c r="H607" s="109">
        <f>SUM(F44)</f>
        <v>1358881.73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75030.02</v>
      </c>
      <c r="H608" s="109">
        <f>SUM(G44)</f>
        <v>75030.01999999999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544297.31999999995</v>
      </c>
      <c r="H609" s="109">
        <f>SUM(H44)</f>
        <v>544297.31999999995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371339.81</v>
      </c>
      <c r="H611" s="109">
        <f>SUM(J44)</f>
        <v>371339.81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342779.22</v>
      </c>
      <c r="H612" s="109">
        <f>F466</f>
        <v>342779.21999999881</v>
      </c>
      <c r="I612" s="121" t="s">
        <v>106</v>
      </c>
      <c r="J612" s="109">
        <f t="shared" ref="J612:J645" si="49">G612-H612</f>
        <v>1.1641532182693481E-9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24499.42</v>
      </c>
      <c r="H613" s="109">
        <f>G466</f>
        <v>24499.420000000158</v>
      </c>
      <c r="I613" s="121" t="s">
        <v>108</v>
      </c>
      <c r="J613" s="109">
        <f t="shared" si="49"/>
        <v>-1.6007106751203537E-10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76469.17</v>
      </c>
      <c r="H614" s="109">
        <f>H466</f>
        <v>76469.169999999925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305178.81</v>
      </c>
      <c r="H616" s="109">
        <f>J466</f>
        <v>305178.80999999994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64508572.139999993</v>
      </c>
      <c r="H617" s="104">
        <f>SUM(F458)</f>
        <v>64508572.140000001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1261772.58</v>
      </c>
      <c r="H618" s="104">
        <f>SUM(G458)</f>
        <v>1261772.58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2118525.1</v>
      </c>
      <c r="H619" s="104">
        <f>SUM(H458)</f>
        <v>2118525.1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550632.73</v>
      </c>
      <c r="H621" s="104">
        <f>SUM(J458)</f>
        <v>550632.73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64759336.289999999</v>
      </c>
      <c r="H622" s="104">
        <f>SUM(F462)</f>
        <v>64759336.289999999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2126656.64</v>
      </c>
      <c r="H623" s="104">
        <f>SUM(H462)</f>
        <v>2126656.64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769916.53</v>
      </c>
      <c r="H624" s="104">
        <f>I361</f>
        <v>769916.53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1394131.5</v>
      </c>
      <c r="H625" s="104">
        <f>SUM(G462)</f>
        <v>1394131.5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94594.45</v>
      </c>
      <c r="H626" s="104">
        <f>SUM(I462)</f>
        <v>94594.45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550632.73</v>
      </c>
      <c r="H627" s="164">
        <f>SUM(J458)</f>
        <v>550632.73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505994.86</v>
      </c>
      <c r="H628" s="164">
        <f>SUM(J462)</f>
        <v>505994.86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30782.18</v>
      </c>
      <c r="H629" s="104">
        <f>SUM(F451)</f>
        <v>30782.18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340557.63</v>
      </c>
      <c r="H630" s="104">
        <f>SUM(G451)</f>
        <v>340557.63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371339.81</v>
      </c>
      <c r="H632" s="104">
        <f>SUM(I451)</f>
        <v>371339.81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632.73</v>
      </c>
      <c r="H634" s="104">
        <f>H400</f>
        <v>632.73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550000</v>
      </c>
      <c r="H635" s="104">
        <f>G400</f>
        <v>550000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550632.73</v>
      </c>
      <c r="H636" s="104">
        <f>L400</f>
        <v>550632.73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2806704.27</v>
      </c>
      <c r="H637" s="104">
        <f>L200+L218+L236</f>
        <v>2806704.27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719256.85</v>
      </c>
      <c r="H638" s="104">
        <f>(J249+J330)-(J247+J328)</f>
        <v>719256.85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1559366.75</v>
      </c>
      <c r="H639" s="104">
        <f>H588</f>
        <v>1559366.75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572302.25</v>
      </c>
      <c r="H640" s="104">
        <f>I588</f>
        <v>572302.25000000012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675035.27</v>
      </c>
      <c r="H641" s="104">
        <f>J588</f>
        <v>675035.27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550000</v>
      </c>
      <c r="H645" s="104">
        <f>K258+K339</f>
        <v>550000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27308373.07</v>
      </c>
      <c r="G650" s="19">
        <f>(L221+L301+L351)</f>
        <v>14380781.929999996</v>
      </c>
      <c r="H650" s="19">
        <f>(L239+L320+L352)</f>
        <v>22935162.300000004</v>
      </c>
      <c r="I650" s="19">
        <f>SUM(F650:H650)</f>
        <v>64624317.300000004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327651.65816399455</v>
      </c>
      <c r="G651" s="19">
        <f>(L351/IF(SUM(L350:L352)=0,1,SUM(L350:L352))*(SUM(G89:G102)))</f>
        <v>298905.72842735198</v>
      </c>
      <c r="H651" s="19">
        <f>(L352/IF(SUM(L350:L352)=0,1,SUM(L350:L352))*(SUM(G89:G102)))</f>
        <v>329456.98340865353</v>
      </c>
      <c r="I651" s="19">
        <f>SUM(F651:H651)</f>
        <v>956014.37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1559366.75</v>
      </c>
      <c r="G652" s="19">
        <f>(L218+L298)-(J218+J298)</f>
        <v>572302.25</v>
      </c>
      <c r="H652" s="19">
        <f>(L236+L317)-(J236+J317)</f>
        <v>680159.27</v>
      </c>
      <c r="I652" s="19">
        <f>SUM(F652:H652)</f>
        <v>2811828.27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430196.63170399994</v>
      </c>
      <c r="G653" s="200">
        <f>SUM(G565:G577)+SUM(I592:I594)+L602</f>
        <v>310195.96977300005</v>
      </c>
      <c r="H653" s="200">
        <f>SUM(H565:H577)+SUM(J592:J594)+L603</f>
        <v>1537784.160655</v>
      </c>
      <c r="I653" s="19">
        <f>SUM(F653:H653)</f>
        <v>2278176.7621320002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24991158.030132007</v>
      </c>
      <c r="G654" s="19">
        <f>G650-SUM(G651:G653)</f>
        <v>13199377.981799643</v>
      </c>
      <c r="H654" s="19">
        <f>H650-SUM(H651:H653)</f>
        <v>20387761.88593635</v>
      </c>
      <c r="I654" s="19">
        <f>I650-SUM(I651:I653)</f>
        <v>58578297.897868007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1889.85</v>
      </c>
      <c r="G655" s="249">
        <v>1172.98</v>
      </c>
      <c r="H655" s="249">
        <v>1711.12</v>
      </c>
      <c r="I655" s="19">
        <f>SUM(F655:H655)</f>
        <v>4773.95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13223.88</v>
      </c>
      <c r="G657" s="19">
        <f>ROUND(G654/G655,2)</f>
        <v>11252.86</v>
      </c>
      <c r="H657" s="19">
        <f>ROUND(H654/H655,2)</f>
        <v>11914.86</v>
      </c>
      <c r="I657" s="19">
        <f>ROUND(I654/I655,2)</f>
        <v>12270.4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-45.04</v>
      </c>
      <c r="I660" s="19">
        <f>SUM(F660:H660)</f>
        <v>-45.04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13223.88</v>
      </c>
      <c r="G662" s="19">
        <f>ROUND((G654+G659)/(G655+G660),2)</f>
        <v>11252.86</v>
      </c>
      <c r="H662" s="19">
        <f>ROUND((H654+H659)/(H655+H660),2)</f>
        <v>12236.96</v>
      </c>
      <c r="I662" s="19">
        <f>ROUND((I654+I659)/(I655+I660),2)</f>
        <v>12387.27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1820-8F57-454B-A8BC-91C3115355F2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Londonderry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18461604.050000001</v>
      </c>
      <c r="C9" s="230">
        <f>'DOE25'!G189+'DOE25'!G207+'DOE25'!G225+'DOE25'!G268+'DOE25'!G287+'DOE25'!G306</f>
        <v>7154370.6899999995</v>
      </c>
    </row>
    <row r="10" spans="1:3" x14ac:dyDescent="0.2">
      <c r="A10" t="s">
        <v>810</v>
      </c>
      <c r="B10" s="241">
        <v>17037694.530000001</v>
      </c>
      <c r="C10" s="241">
        <v>6985455.7599999998</v>
      </c>
    </row>
    <row r="11" spans="1:3" x14ac:dyDescent="0.2">
      <c r="A11" t="s">
        <v>811</v>
      </c>
      <c r="B11" s="241">
        <v>927657.7</v>
      </c>
      <c r="C11" s="241">
        <v>119451.67</v>
      </c>
    </row>
    <row r="12" spans="1:3" x14ac:dyDescent="0.2">
      <c r="A12" t="s">
        <v>812</v>
      </c>
      <c r="B12" s="241">
        <v>496251.82</v>
      </c>
      <c r="C12" s="241">
        <v>49763.26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18461604.050000001</v>
      </c>
      <c r="C13" s="232">
        <f>SUM(C10:C12)</f>
        <v>7154670.6899999995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7926572.2300000004</v>
      </c>
      <c r="C18" s="230">
        <f>'DOE25'!G190+'DOE25'!G208+'DOE25'!G226+'DOE25'!G269+'DOE25'!G288+'DOE25'!G307</f>
        <v>3141367.5200000005</v>
      </c>
    </row>
    <row r="19" spans="1:3" x14ac:dyDescent="0.2">
      <c r="A19" t="s">
        <v>810</v>
      </c>
      <c r="B19" s="241">
        <v>4981409.0999999996</v>
      </c>
      <c r="C19" s="241">
        <v>2042377.73</v>
      </c>
    </row>
    <row r="20" spans="1:3" x14ac:dyDescent="0.2">
      <c r="A20" t="s">
        <v>811</v>
      </c>
      <c r="B20" s="241">
        <v>2386769.8199999998</v>
      </c>
      <c r="C20" s="241">
        <v>880123.87</v>
      </c>
    </row>
    <row r="21" spans="1:3" x14ac:dyDescent="0.2">
      <c r="A21" t="s">
        <v>812</v>
      </c>
      <c r="B21" s="241">
        <v>558393.31000000006</v>
      </c>
      <c r="C21" s="241">
        <v>218865.92000000001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7926572.2300000004</v>
      </c>
      <c r="C22" s="232">
        <f>SUM(C19:C21)</f>
        <v>3141367.52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13538.48</v>
      </c>
      <c r="C27" s="235">
        <f>'DOE25'!G191+'DOE25'!G209+'DOE25'!G227+'DOE25'!G270+'DOE25'!G289+'DOE25'!G308</f>
        <v>6219.96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>
        <v>13538.48</v>
      </c>
      <c r="C30" s="241">
        <v>6219.96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13538.48</v>
      </c>
      <c r="C31" s="232">
        <f>SUM(C28:C30)</f>
        <v>6219.96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785967.4</v>
      </c>
      <c r="C36" s="236">
        <f>'DOE25'!G192+'DOE25'!G210+'DOE25'!G228+'DOE25'!G271+'DOE25'!G290+'DOE25'!G309</f>
        <v>306330.37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785967.4</v>
      </c>
      <c r="C39" s="241">
        <v>306330.37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785967.4</v>
      </c>
      <c r="C40" s="232">
        <f>SUM(C37:C39)</f>
        <v>306330.37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AD96-E109-4269-904A-3B7736CFDB04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Londonderry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39308888.600000001</v>
      </c>
      <c r="D5" s="20">
        <f>SUM('DOE25'!L189:L192)+SUM('DOE25'!L207:L210)+SUM('DOE25'!L225:L228)-F5-G5</f>
        <v>39144867.810000002</v>
      </c>
      <c r="E5" s="244"/>
      <c r="F5" s="256">
        <f>SUM('DOE25'!J189:J192)+SUM('DOE25'!J207:J210)+SUM('DOE25'!J225:J228)</f>
        <v>125375.69</v>
      </c>
      <c r="G5" s="53">
        <f>SUM('DOE25'!K189:K192)+SUM('DOE25'!K207:K210)+SUM('DOE25'!K225:K228)</f>
        <v>38645.1</v>
      </c>
      <c r="H5" s="260"/>
    </row>
    <row r="6" spans="1:9" x14ac:dyDescent="0.2">
      <c r="A6" s="32">
        <v>2100</v>
      </c>
      <c r="B6" t="s">
        <v>832</v>
      </c>
      <c r="C6" s="246">
        <f t="shared" si="0"/>
        <v>5428808.1899999995</v>
      </c>
      <c r="D6" s="20">
        <f>'DOE25'!L194+'DOE25'!L212+'DOE25'!L230-F6-G6</f>
        <v>5426550.1899999995</v>
      </c>
      <c r="E6" s="244"/>
      <c r="F6" s="256">
        <f>'DOE25'!J194+'DOE25'!J212+'DOE25'!J230</f>
        <v>0</v>
      </c>
      <c r="G6" s="53">
        <f>'DOE25'!K194+'DOE25'!K212+'DOE25'!K230</f>
        <v>2258</v>
      </c>
      <c r="H6" s="260"/>
    </row>
    <row r="7" spans="1:9" x14ac:dyDescent="0.2">
      <c r="A7" s="32">
        <v>2200</v>
      </c>
      <c r="B7" t="s">
        <v>865</v>
      </c>
      <c r="C7" s="246">
        <f t="shared" si="0"/>
        <v>1965817.68</v>
      </c>
      <c r="D7" s="20">
        <f>'DOE25'!L195+'DOE25'!L213+'DOE25'!L231-F7-G7</f>
        <v>1899235.3399999999</v>
      </c>
      <c r="E7" s="244"/>
      <c r="F7" s="256">
        <f>'DOE25'!J195+'DOE25'!J213+'DOE25'!J231</f>
        <v>63650.34</v>
      </c>
      <c r="G7" s="53">
        <f>'DOE25'!K195+'DOE25'!K213+'DOE25'!K231</f>
        <v>2932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104537.90000000004</v>
      </c>
      <c r="D8" s="244"/>
      <c r="E8" s="20">
        <f>'DOE25'!L196+'DOE25'!L214+'DOE25'!L232-F8-G8-D9-D11</f>
        <v>88035.660000000033</v>
      </c>
      <c r="F8" s="256">
        <f>'DOE25'!J196+'DOE25'!J214+'DOE25'!J232</f>
        <v>1334.36</v>
      </c>
      <c r="G8" s="53">
        <f>'DOE25'!K196+'DOE25'!K214+'DOE25'!K232</f>
        <v>15167.88</v>
      </c>
      <c r="H8" s="260"/>
    </row>
    <row r="9" spans="1:9" x14ac:dyDescent="0.2">
      <c r="A9" s="32">
        <v>2310</v>
      </c>
      <c r="B9" t="s">
        <v>849</v>
      </c>
      <c r="C9" s="246">
        <f t="shared" si="0"/>
        <v>33595.49</v>
      </c>
      <c r="D9" s="245">
        <v>33595.49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20675</v>
      </c>
      <c r="D10" s="244"/>
      <c r="E10" s="245">
        <v>20675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745433.42</v>
      </c>
      <c r="D11" s="245">
        <v>745433.42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2834953.45</v>
      </c>
      <c r="D12" s="20">
        <f>'DOE25'!L197+'DOE25'!L215+'DOE25'!L233-F12-G12</f>
        <v>2822348.1700000004</v>
      </c>
      <c r="E12" s="244"/>
      <c r="F12" s="256">
        <f>'DOE25'!J197+'DOE25'!J215+'DOE25'!J233</f>
        <v>0</v>
      </c>
      <c r="G12" s="53">
        <f>'DOE25'!K197+'DOE25'!K215+'DOE25'!K233</f>
        <v>12605.279999999999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1607482.9300000002</v>
      </c>
      <c r="D13" s="244"/>
      <c r="E13" s="20">
        <f>'DOE25'!L198+'DOE25'!L216+'DOE25'!L234-F13-G13</f>
        <v>1607482.9300000002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5141488.3499999996</v>
      </c>
      <c r="D14" s="20">
        <f>'DOE25'!L199+'DOE25'!L217+'DOE25'!L235-F14-G14</f>
        <v>4976907.8</v>
      </c>
      <c r="E14" s="244"/>
      <c r="F14" s="256">
        <f>'DOE25'!J199+'DOE25'!J217+'DOE25'!J235</f>
        <v>164375.55000000002</v>
      </c>
      <c r="G14" s="53">
        <f>'DOE25'!K199+'DOE25'!K217+'DOE25'!K235</f>
        <v>205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2806704.27</v>
      </c>
      <c r="D15" s="20">
        <f>'DOE25'!L200+'DOE25'!L218+'DOE25'!L236-F15-G15</f>
        <v>2806704.27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1201110.8500000001</v>
      </c>
      <c r="D16" s="244"/>
      <c r="E16" s="20">
        <f>'DOE25'!L201+'DOE25'!L219+'DOE25'!L237-F16-G16</f>
        <v>907780.3</v>
      </c>
      <c r="F16" s="256">
        <f>'DOE25'!J201+'DOE25'!J219+'DOE25'!J237</f>
        <v>293330.55000000005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65137.590000000004</v>
      </c>
      <c r="D17" s="20">
        <f>'DOE25'!L243-F17-G17</f>
        <v>65137.590000000004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2965377.5700000003</v>
      </c>
      <c r="D25" s="244"/>
      <c r="E25" s="244"/>
      <c r="F25" s="259"/>
      <c r="G25" s="257"/>
      <c r="H25" s="258">
        <f>'DOE25'!L252+'DOE25'!L253+'DOE25'!L333+'DOE25'!L334</f>
        <v>2965377.5700000003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679239.41999999993</v>
      </c>
      <c r="D29" s="20">
        <f>'DOE25'!L350+'DOE25'!L351+'DOE25'!L352-'DOE25'!I359-F29-G29</f>
        <v>650430.39999999991</v>
      </c>
      <c r="E29" s="244"/>
      <c r="F29" s="256">
        <f>'DOE25'!J350+'DOE25'!J351+'DOE25'!J352</f>
        <v>28082.769999999997</v>
      </c>
      <c r="G29" s="53">
        <f>'DOE25'!K350+'DOE25'!K351+'DOE25'!K352</f>
        <v>726.25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2110181.64</v>
      </c>
      <c r="D31" s="20">
        <f>'DOE25'!L282+'DOE25'!L301+'DOE25'!L320+'DOE25'!L325+'DOE25'!L326+'DOE25'!L327-F31-G31</f>
        <v>2038971.28</v>
      </c>
      <c r="E31" s="244"/>
      <c r="F31" s="256">
        <f>'DOE25'!J282+'DOE25'!J301+'DOE25'!J320+'DOE25'!J325+'DOE25'!J326+'DOE25'!J327</f>
        <v>71190.36</v>
      </c>
      <c r="G31" s="53">
        <f>'DOE25'!K282+'DOE25'!K301+'DOE25'!K320+'DOE25'!K325+'DOE25'!K326+'DOE25'!K327</f>
        <v>20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60610181.760000013</v>
      </c>
      <c r="E33" s="247">
        <f>SUM(E5:E31)</f>
        <v>2623973.8900000006</v>
      </c>
      <c r="F33" s="247">
        <f>SUM(F5:F31)</f>
        <v>747339.62</v>
      </c>
      <c r="G33" s="247">
        <f>SUM(G5:G31)</f>
        <v>72559.509999999995</v>
      </c>
      <c r="H33" s="247">
        <f>SUM(H5:H31)</f>
        <v>2965377.5700000003</v>
      </c>
    </row>
    <row r="35" spans="2:8" ht="12" thickBot="1" x14ac:dyDescent="0.25">
      <c r="B35" s="254" t="s">
        <v>878</v>
      </c>
      <c r="D35" s="255">
        <f>E33</f>
        <v>2623973.8900000006</v>
      </c>
      <c r="E35" s="250"/>
    </row>
    <row r="36" spans="2:8" ht="12" thickTop="1" x14ac:dyDescent="0.2">
      <c r="B36" t="s">
        <v>846</v>
      </c>
      <c r="D36" s="20">
        <f>D33</f>
        <v>60610181.760000013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910F-F1EC-42B1-9522-7A2F68FE875C}">
  <sheetPr transitionEvaluation="1" codeName="Sheet2">
    <tabColor indexed="10"/>
  </sheetPr>
  <dimension ref="A1:I156"/>
  <sheetViews>
    <sheetView zoomScale="75" workbookViewId="0">
      <pane ySplit="2" topLeftCell="A6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871295.5</v>
      </c>
      <c r="D9" s="95">
        <f>'DOE25'!G9</f>
        <v>6600</v>
      </c>
      <c r="E9" s="95">
        <f>'DOE25'!H9</f>
        <v>0</v>
      </c>
      <c r="F9" s="95">
        <f>'DOE25'!I9</f>
        <v>0</v>
      </c>
      <c r="G9" s="95">
        <f>'DOE25'!J9</f>
        <v>371339.81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477361.3</v>
      </c>
      <c r="D12" s="95">
        <f>'DOE25'!G12</f>
        <v>30327.99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17322.439999999999</v>
      </c>
      <c r="E13" s="95">
        <f>'DOE25'!H13</f>
        <v>544297.31999999995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3844</v>
      </c>
      <c r="D14" s="95">
        <f>'DOE25'!G14</f>
        <v>1842.38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18937.21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6380.93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1358881.73</v>
      </c>
      <c r="D19" s="41">
        <f>SUM(D9:D18)</f>
        <v>75030.02</v>
      </c>
      <c r="E19" s="41">
        <f>SUM(E9:E18)</f>
        <v>544297.31999999995</v>
      </c>
      <c r="F19" s="41">
        <f>SUM(F9:F18)</f>
        <v>0</v>
      </c>
      <c r="G19" s="41">
        <f>SUM(G9:G18)</f>
        <v>371339.81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441528.29</v>
      </c>
      <c r="F22" s="95">
        <f>'DOE25'!I23</f>
        <v>0</v>
      </c>
      <c r="G22" s="95">
        <f>'DOE25'!J23</f>
        <v>66161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305908.45</v>
      </c>
      <c r="D24" s="95">
        <f>'DOE25'!G25</f>
        <v>36592.879999999997</v>
      </c>
      <c r="E24" s="95">
        <f>'DOE25'!H25</f>
        <v>2356.5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473842.38</v>
      </c>
      <c r="D28" s="95">
        <f>'DOE25'!G29</f>
        <v>13937.72</v>
      </c>
      <c r="E28" s="95">
        <f>'DOE25'!H29</f>
        <v>23943.360000000001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236351.68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1016102.51</v>
      </c>
      <c r="D32" s="41">
        <f>SUM(D22:D31)</f>
        <v>50530.6</v>
      </c>
      <c r="E32" s="41">
        <f>SUM(E22:E31)</f>
        <v>467828.14999999997</v>
      </c>
      <c r="F32" s="41">
        <f>SUM(F22:F31)</f>
        <v>0</v>
      </c>
      <c r="G32" s="41">
        <f>SUM(G22:G31)</f>
        <v>66161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18937.21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28743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76469.17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5562.21</v>
      </c>
      <c r="E40" s="95">
        <f>'DOE25'!H41</f>
        <v>0</v>
      </c>
      <c r="F40" s="95">
        <f>'DOE25'!I41</f>
        <v>0</v>
      </c>
      <c r="G40" s="95">
        <f>'DOE25'!J41</f>
        <v>305178.81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264036.21999999997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342779.22</v>
      </c>
      <c r="D42" s="41">
        <f>SUM(D34:D41)</f>
        <v>24499.42</v>
      </c>
      <c r="E42" s="41">
        <f>SUM(E34:E41)</f>
        <v>76469.17</v>
      </c>
      <c r="F42" s="41">
        <f>SUM(F34:F41)</f>
        <v>0</v>
      </c>
      <c r="G42" s="41">
        <f>SUM(G34:G41)</f>
        <v>305178.81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1358881.73</v>
      </c>
      <c r="D43" s="41">
        <f>D42+D32</f>
        <v>75030.01999999999</v>
      </c>
      <c r="E43" s="41">
        <f>E42+E32</f>
        <v>544297.31999999995</v>
      </c>
      <c r="F43" s="41">
        <f>F42+F32</f>
        <v>0</v>
      </c>
      <c r="G43" s="41">
        <f>G42+G32</f>
        <v>371339.81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40787487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231829.80000000002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338.11</v>
      </c>
      <c r="E51" s="95">
        <f>'DOE25'!H88</f>
        <v>0</v>
      </c>
      <c r="F51" s="95">
        <f>'DOE25'!I88</f>
        <v>0</v>
      </c>
      <c r="G51" s="95">
        <f>'DOE25'!J88</f>
        <v>632.73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942914.9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64967.76</v>
      </c>
      <c r="D53" s="95">
        <f>SUM('DOE25'!G90:G102)</f>
        <v>13099.47</v>
      </c>
      <c r="E53" s="95">
        <f>SUM('DOE25'!H90:H102)</f>
        <v>20755.240000000002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296797.56</v>
      </c>
      <c r="D54" s="130">
        <f>SUM(D49:D53)</f>
        <v>956352.48</v>
      </c>
      <c r="E54" s="130">
        <f>SUM(E49:E53)</f>
        <v>20755.240000000002</v>
      </c>
      <c r="F54" s="130">
        <f>SUM(F49:F53)</f>
        <v>0</v>
      </c>
      <c r="G54" s="130">
        <f>SUM(G49:G53)</f>
        <v>632.73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41084284.560000002</v>
      </c>
      <c r="D55" s="22">
        <f>D48+D54</f>
        <v>956352.48</v>
      </c>
      <c r="E55" s="22">
        <f>E48+E54</f>
        <v>20755.240000000002</v>
      </c>
      <c r="F55" s="22">
        <f>F48+F54</f>
        <v>0</v>
      </c>
      <c r="G55" s="22">
        <f>G48+G54</f>
        <v>632.73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14133897.529999999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6682660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512632.47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21329190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579376.66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421622.2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20064.73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19241.810000000001</v>
      </c>
      <c r="E69" s="95">
        <f>SUM('DOE25'!H123:H127)</f>
        <v>51600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1021063.5900000001</v>
      </c>
      <c r="D70" s="130">
        <f>SUM(D64:D69)</f>
        <v>19241.810000000001</v>
      </c>
      <c r="E70" s="130">
        <f>SUM(E64:E69)</f>
        <v>51600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22350253.59</v>
      </c>
      <c r="D73" s="130">
        <f>SUM(D71:D72)+D70+D62</f>
        <v>19241.810000000001</v>
      </c>
      <c r="E73" s="130">
        <f>SUM(E71:E72)+E70+E62</f>
        <v>51600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5669.77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162089.44</v>
      </c>
      <c r="D80" s="95">
        <f>SUM('DOE25'!G145:G153)</f>
        <v>286178.29000000004</v>
      </c>
      <c r="E80" s="95">
        <f>SUM('DOE25'!H145:H153)</f>
        <v>2046169.8599999999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167759.21</v>
      </c>
      <c r="D83" s="131">
        <f>SUM(D77:D82)</f>
        <v>286178.29000000004</v>
      </c>
      <c r="E83" s="131">
        <f>SUM(E77:E82)</f>
        <v>2046169.8599999999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94594.45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505994.86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305685.46999999997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906274.77999999991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550000</v>
      </c>
    </row>
    <row r="96" spans="1:7" ht="12.75" thickTop="1" thickBot="1" x14ac:dyDescent="0.25">
      <c r="A96" s="33" t="s">
        <v>796</v>
      </c>
      <c r="C96" s="86">
        <f>C55+C73+C83+C95</f>
        <v>64508572.140000008</v>
      </c>
      <c r="D96" s="86">
        <f>D55+D73+D83+D95</f>
        <v>1261772.58</v>
      </c>
      <c r="E96" s="86">
        <f>E55+E73+E83+E95</f>
        <v>2118525.1</v>
      </c>
      <c r="F96" s="86">
        <f>F55+F73+F83+F95</f>
        <v>0</v>
      </c>
      <c r="G96" s="86">
        <f>G55+G73+G95</f>
        <v>550632.73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26522398.189999998</v>
      </c>
      <c r="D101" s="24" t="s">
        <v>312</v>
      </c>
      <c r="E101" s="95">
        <f>('DOE25'!L268)+('DOE25'!L287)+('DOE25'!L306)</f>
        <v>166990.37999999998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11245762.1</v>
      </c>
      <c r="D102" s="24" t="s">
        <v>312</v>
      </c>
      <c r="E102" s="95">
        <f>('DOE25'!L269)+('DOE25'!L288)+('DOE25'!L307)</f>
        <v>1432762.3000000003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187802.71</v>
      </c>
      <c r="D103" s="24" t="s">
        <v>312</v>
      </c>
      <c r="E103" s="95">
        <f>('DOE25'!L270)+('DOE25'!L289)+('DOE25'!L308)</f>
        <v>20480.330000000002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1352925.6</v>
      </c>
      <c r="D104" s="24" t="s">
        <v>312</v>
      </c>
      <c r="E104" s="95">
        <f>+('DOE25'!L271)+('DOE25'!L290)+('DOE25'!L309)</f>
        <v>51600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16475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65137.590000000004</v>
      </c>
      <c r="D106" s="24" t="s">
        <v>312</v>
      </c>
      <c r="E106" s="95">
        <f>+ SUM('DOE25'!L325:L327)</f>
        <v>58816.97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39374026.190000005</v>
      </c>
      <c r="D107" s="86">
        <f>SUM(D101:D106)</f>
        <v>0</v>
      </c>
      <c r="E107" s="86">
        <f>SUM(E101:E106)</f>
        <v>1747124.9800000002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5428808.1899999995</v>
      </c>
      <c r="D110" s="24" t="s">
        <v>312</v>
      </c>
      <c r="E110" s="95">
        <f>+('DOE25'!L273)+('DOE25'!L292)+('DOE25'!L311)</f>
        <v>191089.53999999998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1965817.68</v>
      </c>
      <c r="D111" s="24" t="s">
        <v>312</v>
      </c>
      <c r="E111" s="95">
        <f>+('DOE25'!L274)+('DOE25'!L293)+('DOE25'!L312)</f>
        <v>171497.12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883566.81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2834953.45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1607482.9300000002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5141488.3499999996</v>
      </c>
      <c r="D115" s="24" t="s">
        <v>312</v>
      </c>
      <c r="E115" s="95">
        <f>+('DOE25'!L278)+('DOE25'!L297)+('DOE25'!L316)</f>
        <v>11821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2806704.27</v>
      </c>
      <c r="D116" s="24" t="s">
        <v>312</v>
      </c>
      <c r="E116" s="95">
        <f>+('DOE25'!L279)+('DOE25'!L298)+('DOE25'!L317)</f>
        <v>5124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1201110.8500000001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1394131.5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21869932.529999997</v>
      </c>
      <c r="D120" s="86">
        <f>SUM(D110:D119)</f>
        <v>1394131.5</v>
      </c>
      <c r="E120" s="86">
        <f>SUM(E110:E119)</f>
        <v>379531.66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1230377.57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94594.45</v>
      </c>
      <c r="G126" s="95">
        <f>'DOE25'!K426</f>
        <v>505994.86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31.99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550600.74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-632.72999999998137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3515377.5700000008</v>
      </c>
      <c r="D136" s="141">
        <f>SUM(D122:D135)</f>
        <v>0</v>
      </c>
      <c r="E136" s="141">
        <f>SUM(E122:E135)</f>
        <v>0</v>
      </c>
      <c r="F136" s="141">
        <f>SUM(F122:F135)</f>
        <v>94594.45</v>
      </c>
      <c r="G136" s="141">
        <f>SUM(G122:G135)</f>
        <v>505994.86</v>
      </c>
    </row>
    <row r="137" spans="1:9" ht="12.75" thickTop="1" thickBot="1" x14ac:dyDescent="0.25">
      <c r="A137" s="33" t="s">
        <v>267</v>
      </c>
      <c r="C137" s="86">
        <f>(C107+C120+C136)</f>
        <v>64759336.289999999</v>
      </c>
      <c r="D137" s="86">
        <f>(D107+D120+D136)</f>
        <v>1394131.5</v>
      </c>
      <c r="E137" s="86">
        <f>(E107+E120+E136)</f>
        <v>2126656.64</v>
      </c>
      <c r="F137" s="86">
        <f>(F107+F120+F136)</f>
        <v>94594.45</v>
      </c>
      <c r="G137" s="86">
        <f>(G107+G120+G136)</f>
        <v>505994.86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13</v>
      </c>
      <c r="D143" s="153">
        <f>'DOE25'!H480</f>
        <v>20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04/02</v>
      </c>
      <c r="C144" s="152" t="str">
        <f>'DOE25'!G481</f>
        <v>02/04</v>
      </c>
      <c r="D144" s="152" t="str">
        <f>'DOE25'!H481</f>
        <v>06/05</v>
      </c>
      <c r="E144" s="152" t="str">
        <f>'DOE25'!I481</f>
        <v>07/08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07/22</v>
      </c>
      <c r="C145" s="152" t="str">
        <f>'DOE25'!G482</f>
        <v>08/16</v>
      </c>
      <c r="D145" s="152" t="str">
        <f>'DOE25'!H482</f>
        <v>08/25</v>
      </c>
      <c r="E145" s="152" t="str">
        <f>'DOE25'!I482</f>
        <v>07/28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12030000</v>
      </c>
      <c r="C146" s="137">
        <f>'DOE25'!G483</f>
        <v>6935000</v>
      </c>
      <c r="D146" s="137">
        <f>'DOE25'!H483</f>
        <v>5500000</v>
      </c>
      <c r="E146" s="137">
        <f>'DOE25'!I483</f>
        <v>5100000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4.57</v>
      </c>
      <c r="C147" s="137">
        <f>'DOE25'!G484</f>
        <v>3.25</v>
      </c>
      <c r="D147" s="137">
        <f>'DOE25'!H484</f>
        <v>3.9</v>
      </c>
      <c r="E147" s="137">
        <f>'DOE25'!I484</f>
        <v>4.09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8680000</v>
      </c>
      <c r="C148" s="137">
        <f>'DOE25'!G485</f>
        <v>3555000</v>
      </c>
      <c r="D148" s="137">
        <f>'DOE25'!H485</f>
        <v>4400000</v>
      </c>
      <c r="E148" s="137">
        <f>'DOE25'!I485</f>
        <v>4845000</v>
      </c>
      <c r="F148" s="137">
        <f>'DOE25'!J485</f>
        <v>0</v>
      </c>
      <c r="G148" s="138">
        <f>SUM(B148:F148)</f>
        <v>21480000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670000</v>
      </c>
      <c r="C150" s="137">
        <f>'DOE25'!G487</f>
        <v>535000</v>
      </c>
      <c r="D150" s="137">
        <f>'DOE25'!H487</f>
        <v>275000</v>
      </c>
      <c r="E150" s="137">
        <f>'DOE25'!I487</f>
        <v>255000</v>
      </c>
      <c r="F150" s="137">
        <f>'DOE25'!J487</f>
        <v>0</v>
      </c>
      <c r="G150" s="138">
        <f t="shared" si="0"/>
        <v>1735000</v>
      </c>
    </row>
    <row r="151" spans="1:7" x14ac:dyDescent="0.2">
      <c r="A151" s="22" t="s">
        <v>35</v>
      </c>
      <c r="B151" s="137">
        <f>'DOE25'!F488</f>
        <v>8010000</v>
      </c>
      <c r="C151" s="137">
        <f>'DOE25'!G488</f>
        <v>3020000</v>
      </c>
      <c r="D151" s="137">
        <f>'DOE25'!H488</f>
        <v>4125000</v>
      </c>
      <c r="E151" s="137">
        <f>'DOE25'!I488</f>
        <v>4590000</v>
      </c>
      <c r="F151" s="137">
        <f>'DOE25'!J488</f>
        <v>0</v>
      </c>
      <c r="G151" s="138">
        <f t="shared" si="0"/>
        <v>19745000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8010000</v>
      </c>
      <c r="C153" s="137">
        <f>'DOE25'!G490</f>
        <v>3020000</v>
      </c>
      <c r="D153" s="137">
        <f>'DOE25'!H490</f>
        <v>4125000</v>
      </c>
      <c r="E153" s="137">
        <f>'DOE25'!I490</f>
        <v>4590000</v>
      </c>
      <c r="F153" s="137">
        <f>'DOE25'!J490</f>
        <v>0</v>
      </c>
      <c r="G153" s="138">
        <f t="shared" si="0"/>
        <v>19745000</v>
      </c>
    </row>
    <row r="154" spans="1:7" x14ac:dyDescent="0.2">
      <c r="A154" s="22" t="s">
        <v>38</v>
      </c>
      <c r="B154" s="137">
        <f>'DOE25'!F491</f>
        <v>670000</v>
      </c>
      <c r="C154" s="137">
        <f>'DOE25'!G491</f>
        <v>525000</v>
      </c>
      <c r="D154" s="137">
        <f>'DOE25'!H491</f>
        <v>275000</v>
      </c>
      <c r="E154" s="137">
        <f>'DOE25'!I491</f>
        <v>255000</v>
      </c>
      <c r="F154" s="137">
        <f>'DOE25'!J491</f>
        <v>0</v>
      </c>
      <c r="G154" s="138">
        <f t="shared" si="0"/>
        <v>1725000</v>
      </c>
    </row>
    <row r="155" spans="1:7" x14ac:dyDescent="0.2">
      <c r="A155" s="22" t="s">
        <v>39</v>
      </c>
      <c r="B155" s="137">
        <f>'DOE25'!F492</f>
        <v>355652</v>
      </c>
      <c r="C155" s="137">
        <f>'DOE25'!G492</f>
        <v>103812.5</v>
      </c>
      <c r="D155" s="137">
        <f>'DOE25'!H492</f>
        <v>154825</v>
      </c>
      <c r="E155" s="137">
        <f>'DOE25'!I492</f>
        <v>182006.26</v>
      </c>
      <c r="F155" s="137">
        <f>'DOE25'!J492</f>
        <v>0</v>
      </c>
      <c r="G155" s="138">
        <f t="shared" si="0"/>
        <v>796295.76</v>
      </c>
    </row>
    <row r="156" spans="1:7" x14ac:dyDescent="0.2">
      <c r="A156" s="22" t="s">
        <v>269</v>
      </c>
      <c r="B156" s="137">
        <f>'DOE25'!F493</f>
        <v>1025652</v>
      </c>
      <c r="C156" s="137">
        <f>'DOE25'!G493</f>
        <v>628812.5</v>
      </c>
      <c r="D156" s="137">
        <f>'DOE25'!H493</f>
        <v>429825</v>
      </c>
      <c r="E156" s="137">
        <f>'DOE25'!I493</f>
        <v>437006.26</v>
      </c>
      <c r="F156" s="137">
        <f>'DOE25'!J493</f>
        <v>0</v>
      </c>
      <c r="G156" s="138">
        <f t="shared" si="0"/>
        <v>2521295.7599999998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FFFD-717C-4EC1-BFC4-71EB3CAE5473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Londonderry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13224</v>
      </c>
    </row>
    <row r="5" spans="1:4" x14ac:dyDescent="0.2">
      <c r="B5" t="s">
        <v>735</v>
      </c>
      <c r="C5" s="179">
        <f>IF('DOE25'!G655+'DOE25'!G660=0,0,ROUND('DOE25'!G662,0))</f>
        <v>11253</v>
      </c>
    </row>
    <row r="6" spans="1:4" x14ac:dyDescent="0.2">
      <c r="B6" t="s">
        <v>62</v>
      </c>
      <c r="C6" s="179">
        <f>IF('DOE25'!H655+'DOE25'!H660=0,0,ROUND('DOE25'!H662,0))</f>
        <v>12237</v>
      </c>
    </row>
    <row r="7" spans="1:4" x14ac:dyDescent="0.2">
      <c r="B7" t="s">
        <v>736</v>
      </c>
      <c r="C7" s="179">
        <f>IF('DOE25'!I655+'DOE25'!I660=0,0,ROUND('DOE25'!I662,0))</f>
        <v>12387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26689389</v>
      </c>
      <c r="D10" s="182">
        <f>ROUND((C10/$C$28)*100,1)</f>
        <v>41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12678524</v>
      </c>
      <c r="D11" s="182">
        <f>ROUND((C11/$C$28)*100,1)</f>
        <v>19.5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208283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1404526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5619898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2137315</v>
      </c>
      <c r="D16" s="182">
        <f t="shared" si="0"/>
        <v>3.3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2084678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2834953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1607483</v>
      </c>
      <c r="D19" s="182">
        <f t="shared" si="0"/>
        <v>2.5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5153309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2811828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16475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123955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1230378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438117.63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65039111.630000003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65039111.630000003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1735000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40787487</v>
      </c>
      <c r="D35" s="182">
        <f t="shared" ref="D35:D40" si="1">ROUND((C35/$C$41)*100,1)</f>
        <v>61.5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318523.63999999315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21329190</v>
      </c>
      <c r="D37" s="182">
        <f t="shared" si="1"/>
        <v>32.200000000000003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1091905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2500107</v>
      </c>
      <c r="D39" s="182">
        <f t="shared" si="1"/>
        <v>3.8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305685</v>
      </c>
      <c r="D40" s="182">
        <f t="shared" si="1"/>
        <v>0.5</v>
      </c>
    </row>
    <row r="41" spans="1:4" x14ac:dyDescent="0.2">
      <c r="B41" s="187" t="s">
        <v>767</v>
      </c>
      <c r="C41" s="180">
        <f>SUM(C35:C40)</f>
        <v>66332897.639999993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FED2-0053-4715-AEF4-AE5902EB3F79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3" t="str">
        <f>'DOE25'!A2</f>
        <v>Londonderry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10</v>
      </c>
      <c r="B4" s="220">
        <v>10</v>
      </c>
      <c r="C4" s="292" t="s">
        <v>902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92" t="s">
        <v>903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92" t="s">
        <v>904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2011-11-04T17:55:01Z</cp:lastPrinted>
  <dcterms:created xsi:type="dcterms:W3CDTF">1997-12-04T19:04:30Z</dcterms:created>
  <dcterms:modified xsi:type="dcterms:W3CDTF">2025-01-10T20:06:54Z</dcterms:modified>
</cp:coreProperties>
</file>