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8C3E9128-9FFF-4948-BCE4-4928BF65A1CD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40FBD48B-0C6A-483F-B710-3A2541689A60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3" l="1"/>
  <c r="H565" i="1"/>
  <c r="B12" i="12"/>
  <c r="C9" i="12"/>
  <c r="C10" i="12"/>
  <c r="C13" i="12" s="1"/>
  <c r="G516" i="1"/>
  <c r="H225" i="1"/>
  <c r="F14" i="1"/>
  <c r="H194" i="1"/>
  <c r="C37" i="12"/>
  <c r="C40" i="12" s="1"/>
  <c r="C19" i="12"/>
  <c r="B37" i="12"/>
  <c r="B11" i="12"/>
  <c r="B10" i="12"/>
  <c r="B13" i="12" s="1"/>
  <c r="B19" i="12"/>
  <c r="B20" i="12"/>
  <c r="D9" i="13"/>
  <c r="C9" i="13"/>
  <c r="I581" i="1"/>
  <c r="H581" i="1"/>
  <c r="J581" i="1"/>
  <c r="J588" i="1" s="1"/>
  <c r="H641" i="1" s="1"/>
  <c r="H511" i="1"/>
  <c r="H514" i="1" s="1"/>
  <c r="H535" i="1" s="1"/>
  <c r="L511" i="1"/>
  <c r="F539" i="1" s="1"/>
  <c r="H199" i="1"/>
  <c r="H196" i="1"/>
  <c r="I196" i="1"/>
  <c r="G195" i="1"/>
  <c r="L195" i="1"/>
  <c r="H195" i="1"/>
  <c r="G194" i="1"/>
  <c r="F194" i="1"/>
  <c r="F203" i="1"/>
  <c r="I194" i="1"/>
  <c r="L194" i="1" s="1"/>
  <c r="H190" i="1"/>
  <c r="H279" i="1"/>
  <c r="I268" i="1"/>
  <c r="F274" i="1"/>
  <c r="J271" i="1"/>
  <c r="I271" i="1"/>
  <c r="G271" i="1"/>
  <c r="F271" i="1"/>
  <c r="L271" i="1" s="1"/>
  <c r="H147" i="1"/>
  <c r="H154" i="1" s="1"/>
  <c r="F359" i="1"/>
  <c r="F360" i="1"/>
  <c r="F361" i="1" s="1"/>
  <c r="C37" i="10"/>
  <c r="C60" i="2"/>
  <c r="B2" i="13"/>
  <c r="F8" i="13"/>
  <c r="G8" i="13"/>
  <c r="L214" i="1"/>
  <c r="L232" i="1"/>
  <c r="D39" i="13"/>
  <c r="F13" i="13"/>
  <c r="G13" i="13"/>
  <c r="L198" i="1"/>
  <c r="E13" i="13" s="1"/>
  <c r="C13" i="13" s="1"/>
  <c r="L216" i="1"/>
  <c r="C114" i="2" s="1"/>
  <c r="L234" i="1"/>
  <c r="F16" i="13"/>
  <c r="G16" i="13"/>
  <c r="L201" i="1"/>
  <c r="E16" i="13"/>
  <c r="C16" i="13" s="1"/>
  <c r="L219" i="1"/>
  <c r="L237" i="1"/>
  <c r="F5" i="13"/>
  <c r="G5" i="13"/>
  <c r="D5" i="13" s="1"/>
  <c r="L189" i="1"/>
  <c r="C101" i="2" s="1"/>
  <c r="L191" i="1"/>
  <c r="C103" i="2" s="1"/>
  <c r="L192" i="1"/>
  <c r="L207" i="1"/>
  <c r="L208" i="1"/>
  <c r="L209" i="1"/>
  <c r="L210" i="1"/>
  <c r="L225" i="1"/>
  <c r="L226" i="1"/>
  <c r="L227" i="1"/>
  <c r="L228" i="1"/>
  <c r="L239" i="1" s="1"/>
  <c r="F6" i="13"/>
  <c r="G6" i="13"/>
  <c r="L212" i="1"/>
  <c r="L230" i="1"/>
  <c r="F7" i="13"/>
  <c r="G7" i="13"/>
  <c r="L213" i="1"/>
  <c r="L231" i="1"/>
  <c r="F12" i="13"/>
  <c r="G12" i="13"/>
  <c r="L197" i="1"/>
  <c r="L215" i="1"/>
  <c r="C113" i="2" s="1"/>
  <c r="L233" i="1"/>
  <c r="F14" i="13"/>
  <c r="G14" i="13"/>
  <c r="L199" i="1"/>
  <c r="D14" i="13" s="1"/>
  <c r="C14" i="13" s="1"/>
  <c r="L217" i="1"/>
  <c r="L235" i="1"/>
  <c r="F15" i="13"/>
  <c r="G15" i="13"/>
  <c r="D15" i="13"/>
  <c r="C15" i="13"/>
  <c r="L200" i="1"/>
  <c r="L218" i="1"/>
  <c r="L236" i="1"/>
  <c r="H652" i="1"/>
  <c r="F17" i="13"/>
  <c r="G17" i="13"/>
  <c r="L243" i="1"/>
  <c r="F18" i="13"/>
  <c r="G18" i="13"/>
  <c r="L244" i="1"/>
  <c r="C24" i="10" s="1"/>
  <c r="F19" i="13"/>
  <c r="G19" i="13"/>
  <c r="L245" i="1"/>
  <c r="D19" i="13" s="1"/>
  <c r="C19" i="13" s="1"/>
  <c r="G29" i="13"/>
  <c r="L350" i="1"/>
  <c r="F651" i="1" s="1"/>
  <c r="L351" i="1"/>
  <c r="L352" i="1"/>
  <c r="J282" i="1"/>
  <c r="J301" i="1"/>
  <c r="F31" i="13" s="1"/>
  <c r="F33" i="13" s="1"/>
  <c r="J320" i="1"/>
  <c r="K282" i="1"/>
  <c r="K301" i="1"/>
  <c r="K320" i="1"/>
  <c r="L268" i="1"/>
  <c r="L269" i="1"/>
  <c r="L270" i="1"/>
  <c r="L273" i="1"/>
  <c r="L274" i="1"/>
  <c r="L275" i="1"/>
  <c r="E112" i="2"/>
  <c r="L276" i="1"/>
  <c r="E113" i="2" s="1"/>
  <c r="L277" i="1"/>
  <c r="L278" i="1"/>
  <c r="L279" i="1"/>
  <c r="F652" i="1"/>
  <c r="L280" i="1"/>
  <c r="L287" i="1"/>
  <c r="L288" i="1"/>
  <c r="L289" i="1"/>
  <c r="L290" i="1"/>
  <c r="L301" i="1" s="1"/>
  <c r="L292" i="1"/>
  <c r="E110" i="2" s="1"/>
  <c r="L293" i="1"/>
  <c r="L294" i="1"/>
  <c r="L295" i="1"/>
  <c r="L296" i="1"/>
  <c r="L297" i="1"/>
  <c r="L298" i="1"/>
  <c r="L299" i="1"/>
  <c r="L306" i="1"/>
  <c r="L307" i="1"/>
  <c r="E102" i="2" s="1"/>
  <c r="L308" i="1"/>
  <c r="E103" i="2" s="1"/>
  <c r="L309" i="1"/>
  <c r="L311" i="1"/>
  <c r="L312" i="1"/>
  <c r="L313" i="1"/>
  <c r="L314" i="1"/>
  <c r="L315" i="1"/>
  <c r="L316" i="1"/>
  <c r="L317" i="1"/>
  <c r="L318" i="1"/>
  <c r="L325" i="1"/>
  <c r="L326" i="1"/>
  <c r="L327" i="1"/>
  <c r="E106" i="2" s="1"/>
  <c r="L252" i="1"/>
  <c r="H25" i="13" s="1"/>
  <c r="L253" i="1"/>
  <c r="C25" i="10" s="1"/>
  <c r="L333" i="1"/>
  <c r="L334" i="1"/>
  <c r="L247" i="1"/>
  <c r="L328" i="1"/>
  <c r="C11" i="13"/>
  <c r="C10" i="13"/>
  <c r="L353" i="1"/>
  <c r="B4" i="12"/>
  <c r="B36" i="12"/>
  <c r="B40" i="12"/>
  <c r="B27" i="12"/>
  <c r="C27" i="12"/>
  <c r="B31" i="12"/>
  <c r="C31" i="12"/>
  <c r="B9" i="12"/>
  <c r="B18" i="12"/>
  <c r="B22" i="12"/>
  <c r="C18" i="12"/>
  <c r="A22" i="12" s="1"/>
  <c r="C22" i="12"/>
  <c r="B1" i="12"/>
  <c r="L379" i="1"/>
  <c r="L380" i="1"/>
  <c r="L381" i="1"/>
  <c r="L382" i="1"/>
  <c r="L383" i="1"/>
  <c r="L384" i="1"/>
  <c r="L387" i="1"/>
  <c r="L388" i="1"/>
  <c r="L389" i="1"/>
  <c r="L393" i="1" s="1"/>
  <c r="C131" i="2" s="1"/>
  <c r="L390" i="1"/>
  <c r="L391" i="1"/>
  <c r="L392" i="1"/>
  <c r="L395" i="1"/>
  <c r="L396" i="1"/>
  <c r="L397" i="1"/>
  <c r="L398" i="1"/>
  <c r="L258" i="1"/>
  <c r="J52" i="1"/>
  <c r="G48" i="2"/>
  <c r="G51" i="2"/>
  <c r="G54" i="2" s="1"/>
  <c r="G55" i="2" s="1"/>
  <c r="G53" i="2"/>
  <c r="F2" i="11"/>
  <c r="L603" i="1"/>
  <c r="H653" i="1" s="1"/>
  <c r="L602" i="1"/>
  <c r="G653" i="1"/>
  <c r="L601" i="1"/>
  <c r="F653" i="1" s="1"/>
  <c r="I653" i="1" s="1"/>
  <c r="C40" i="10"/>
  <c r="F52" i="1"/>
  <c r="G52" i="1"/>
  <c r="G104" i="1" s="1"/>
  <c r="H52" i="1"/>
  <c r="E48" i="2" s="1"/>
  <c r="E55" i="2" s="1"/>
  <c r="I52" i="1"/>
  <c r="F48" i="2" s="1"/>
  <c r="F55" i="2" s="1"/>
  <c r="F96" i="2" s="1"/>
  <c r="F71" i="1"/>
  <c r="C49" i="2"/>
  <c r="F86" i="1"/>
  <c r="F103" i="1"/>
  <c r="G103" i="1"/>
  <c r="H71" i="1"/>
  <c r="E49" i="2"/>
  <c r="H86" i="1"/>
  <c r="H103" i="1"/>
  <c r="I103" i="1"/>
  <c r="J103" i="1"/>
  <c r="J104" i="1"/>
  <c r="F113" i="1"/>
  <c r="F128" i="1"/>
  <c r="G113" i="1"/>
  <c r="G132" i="1"/>
  <c r="G128" i="1"/>
  <c r="H113" i="1"/>
  <c r="H128" i="1"/>
  <c r="H132" i="1"/>
  <c r="I113" i="1"/>
  <c r="I132" i="1" s="1"/>
  <c r="I128" i="1"/>
  <c r="J113" i="1"/>
  <c r="J132" i="1"/>
  <c r="J128" i="1"/>
  <c r="F139" i="1"/>
  <c r="F154" i="1"/>
  <c r="F161" i="1" s="1"/>
  <c r="G139" i="1"/>
  <c r="G154" i="1"/>
  <c r="G161" i="1" s="1"/>
  <c r="H139" i="1"/>
  <c r="H161" i="1" s="1"/>
  <c r="I139" i="1"/>
  <c r="I154" i="1"/>
  <c r="I161" i="1" s="1"/>
  <c r="L242" i="1"/>
  <c r="L324" i="1"/>
  <c r="C23" i="10"/>
  <c r="L246" i="1"/>
  <c r="C116" i="2" s="1"/>
  <c r="L260" i="1"/>
  <c r="C26" i="10" s="1"/>
  <c r="C134" i="2"/>
  <c r="L261" i="1"/>
  <c r="C135" i="2" s="1"/>
  <c r="L341" i="1"/>
  <c r="L342" i="1"/>
  <c r="I655" i="1"/>
  <c r="I660" i="1"/>
  <c r="I659" i="1"/>
  <c r="C42" i="10"/>
  <c r="L366" i="1"/>
  <c r="F122" i="2" s="1"/>
  <c r="F136" i="2" s="1"/>
  <c r="F137" i="2" s="1"/>
  <c r="L367" i="1"/>
  <c r="F126" i="2"/>
  <c r="L368" i="1"/>
  <c r="L369" i="1"/>
  <c r="L370" i="1"/>
  <c r="L371" i="1"/>
  <c r="L372" i="1"/>
  <c r="B2" i="10"/>
  <c r="L336" i="1"/>
  <c r="L343" i="1" s="1"/>
  <c r="E126" i="2"/>
  <c r="L337" i="1"/>
  <c r="E127" i="2" s="1"/>
  <c r="L338" i="1"/>
  <c r="L339" i="1"/>
  <c r="K343" i="1"/>
  <c r="L512" i="1"/>
  <c r="F540" i="1" s="1"/>
  <c r="L513" i="1"/>
  <c r="F541" i="1" s="1"/>
  <c r="K541" i="1" s="1"/>
  <c r="L516" i="1"/>
  <c r="G539" i="1"/>
  <c r="L517" i="1"/>
  <c r="G540" i="1"/>
  <c r="L518" i="1"/>
  <c r="G541" i="1" s="1"/>
  <c r="L521" i="1"/>
  <c r="H539" i="1"/>
  <c r="L522" i="1"/>
  <c r="H540" i="1" s="1"/>
  <c r="L523" i="1"/>
  <c r="H541" i="1" s="1"/>
  <c r="L526" i="1"/>
  <c r="I539" i="1"/>
  <c r="I542" i="1" s="1"/>
  <c r="L527" i="1"/>
  <c r="L529" i="1" s="1"/>
  <c r="I540" i="1"/>
  <c r="L528" i="1"/>
  <c r="I541" i="1"/>
  <c r="L531" i="1"/>
  <c r="J539" i="1" s="1"/>
  <c r="J542" i="1" s="1"/>
  <c r="L532" i="1"/>
  <c r="J540" i="1"/>
  <c r="L533" i="1"/>
  <c r="J541" i="1"/>
  <c r="E124" i="2"/>
  <c r="E123" i="2"/>
  <c r="E136" i="2" s="1"/>
  <c r="K262" i="1"/>
  <c r="L262" i="1" s="1"/>
  <c r="J262" i="1"/>
  <c r="I262" i="1"/>
  <c r="H262" i="1"/>
  <c r="G262" i="1"/>
  <c r="F262" i="1"/>
  <c r="C124" i="2"/>
  <c r="A1" i="2"/>
  <c r="A2" i="2"/>
  <c r="C9" i="2"/>
  <c r="C19" i="2" s="1"/>
  <c r="D9" i="2"/>
  <c r="D19" i="2" s="1"/>
  <c r="E9" i="2"/>
  <c r="E19" i="2" s="1"/>
  <c r="F9" i="2"/>
  <c r="I431" i="1"/>
  <c r="J9" i="1"/>
  <c r="C10" i="2"/>
  <c r="D10" i="2"/>
  <c r="E10" i="2"/>
  <c r="F10" i="2"/>
  <c r="I432" i="1"/>
  <c r="J10" i="1"/>
  <c r="G10" i="2"/>
  <c r="C11" i="2"/>
  <c r="C12" i="2"/>
  <c r="D12" i="2"/>
  <c r="E12" i="2"/>
  <c r="F12" i="2"/>
  <c r="I433" i="1"/>
  <c r="J12" i="1" s="1"/>
  <c r="C13" i="2"/>
  <c r="D13" i="2"/>
  <c r="E13" i="2"/>
  <c r="F13" i="2"/>
  <c r="F19" i="2" s="1"/>
  <c r="I434" i="1"/>
  <c r="I438" i="1" s="1"/>
  <c r="G632" i="1" s="1"/>
  <c r="J13" i="1"/>
  <c r="G13" i="2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 s="1"/>
  <c r="G18" i="2" s="1"/>
  <c r="C22" i="2"/>
  <c r="C32" i="2" s="1"/>
  <c r="C43" i="2" s="1"/>
  <c r="C23" i="2"/>
  <c r="C24" i="2"/>
  <c r="C25" i="2"/>
  <c r="C26" i="2"/>
  <c r="C27" i="2"/>
  <c r="C28" i="2"/>
  <c r="C29" i="2"/>
  <c r="C30" i="2"/>
  <c r="C31" i="2"/>
  <c r="D22" i="2"/>
  <c r="E22" i="2"/>
  <c r="F22" i="2"/>
  <c r="I440" i="1"/>
  <c r="J23" i="1"/>
  <c r="G22" i="2" s="1"/>
  <c r="D23" i="2"/>
  <c r="E23" i="2"/>
  <c r="F23" i="2"/>
  <c r="I441" i="1"/>
  <c r="I444" i="1" s="1"/>
  <c r="J24" i="1"/>
  <c r="G23" i="2" s="1"/>
  <c r="D24" i="2"/>
  <c r="E24" i="2"/>
  <c r="F24" i="2"/>
  <c r="F25" i="2"/>
  <c r="F26" i="2"/>
  <c r="F27" i="2"/>
  <c r="F28" i="2"/>
  <c r="F29" i="2"/>
  <c r="F30" i="2"/>
  <c r="F31" i="2"/>
  <c r="F32" i="2"/>
  <c r="F43" i="2" s="1"/>
  <c r="I442" i="1"/>
  <c r="J25" i="1" s="1"/>
  <c r="G24" i="2" s="1"/>
  <c r="D25" i="2"/>
  <c r="E25" i="2"/>
  <c r="D28" i="2"/>
  <c r="E28" i="2"/>
  <c r="D29" i="2"/>
  <c r="E29" i="2"/>
  <c r="D30" i="2"/>
  <c r="E30" i="2"/>
  <c r="D31" i="2"/>
  <c r="D32" i="2" s="1"/>
  <c r="E31" i="2"/>
  <c r="I443" i="1"/>
  <c r="J32" i="1" s="1"/>
  <c r="G31" i="2" s="1"/>
  <c r="C34" i="2"/>
  <c r="C35" i="2"/>
  <c r="C36" i="2"/>
  <c r="C37" i="2"/>
  <c r="C38" i="2"/>
  <c r="C40" i="2"/>
  <c r="C41" i="2"/>
  <c r="C42" i="2"/>
  <c r="D34" i="2"/>
  <c r="E34" i="2"/>
  <c r="F34" i="2"/>
  <c r="D35" i="2"/>
  <c r="E35" i="2"/>
  <c r="F35" i="2"/>
  <c r="D36" i="2"/>
  <c r="E36" i="2"/>
  <c r="F36" i="2"/>
  <c r="I446" i="1"/>
  <c r="I450" i="1" s="1"/>
  <c r="J37" i="1"/>
  <c r="J43" i="1" s="1"/>
  <c r="G36" i="2"/>
  <c r="D37" i="2"/>
  <c r="E37" i="2"/>
  <c r="F37" i="2"/>
  <c r="I447" i="1"/>
  <c r="J38" i="1" s="1"/>
  <c r="G37" i="2" s="1"/>
  <c r="D38" i="2"/>
  <c r="E38" i="2"/>
  <c r="F38" i="2"/>
  <c r="I448" i="1"/>
  <c r="D40" i="2"/>
  <c r="E40" i="2"/>
  <c r="E42" i="2" s="1"/>
  <c r="E43" i="2" s="1"/>
  <c r="F40" i="2"/>
  <c r="I449" i="1"/>
  <c r="J41" i="1"/>
  <c r="G40" i="2"/>
  <c r="D41" i="2"/>
  <c r="E41" i="2"/>
  <c r="F41" i="2"/>
  <c r="C50" i="2"/>
  <c r="C54" i="2" s="1"/>
  <c r="C55" i="2" s="1"/>
  <c r="E50" i="2"/>
  <c r="C51" i="2"/>
  <c r="D51" i="2"/>
  <c r="E51" i="2"/>
  <c r="F51" i="2"/>
  <c r="D52" i="2"/>
  <c r="C53" i="2"/>
  <c r="D53" i="2"/>
  <c r="E53" i="2"/>
  <c r="F53" i="2"/>
  <c r="C58" i="2"/>
  <c r="C59" i="2"/>
  <c r="C61" i="2"/>
  <c r="C62" i="2" s="1"/>
  <c r="D61" i="2"/>
  <c r="D62" i="2" s="1"/>
  <c r="D73" i="2" s="1"/>
  <c r="E61" i="2"/>
  <c r="E62" i="2" s="1"/>
  <c r="E73" i="2" s="1"/>
  <c r="F61" i="2"/>
  <c r="F62" i="2"/>
  <c r="G61" i="2"/>
  <c r="G62" i="2" s="1"/>
  <c r="C64" i="2"/>
  <c r="F64" i="2"/>
  <c r="C65" i="2"/>
  <c r="F65" i="2"/>
  <c r="C66" i="2"/>
  <c r="C67" i="2"/>
  <c r="C68" i="2"/>
  <c r="E68" i="2"/>
  <c r="F68" i="2"/>
  <c r="C69" i="2"/>
  <c r="D69" i="2"/>
  <c r="D70" i="2"/>
  <c r="E69" i="2"/>
  <c r="E70" i="2"/>
  <c r="F69" i="2"/>
  <c r="F70" i="2"/>
  <c r="F73" i="2"/>
  <c r="G69" i="2"/>
  <c r="G70" i="2" s="1"/>
  <c r="G73" i="2" s="1"/>
  <c r="C71" i="2"/>
  <c r="D71" i="2"/>
  <c r="E71" i="2"/>
  <c r="C72" i="2"/>
  <c r="E72" i="2"/>
  <c r="C77" i="2"/>
  <c r="D77" i="2"/>
  <c r="D83" i="2" s="1"/>
  <c r="E79" i="2"/>
  <c r="E81" i="2"/>
  <c r="F77" i="2"/>
  <c r="C79" i="2"/>
  <c r="F79" i="2"/>
  <c r="F80" i="2"/>
  <c r="F81" i="2"/>
  <c r="F83" i="2"/>
  <c r="C80" i="2"/>
  <c r="D80" i="2"/>
  <c r="C81" i="2"/>
  <c r="C83" i="2" s="1"/>
  <c r="D81" i="2"/>
  <c r="C82" i="2"/>
  <c r="C85" i="2"/>
  <c r="F85" i="2"/>
  <c r="C86" i="2"/>
  <c r="F86" i="2"/>
  <c r="D88" i="2"/>
  <c r="E88" i="2"/>
  <c r="F88" i="2"/>
  <c r="G88" i="2"/>
  <c r="G95" i="2" s="1"/>
  <c r="C89" i="2"/>
  <c r="C95" i="2" s="1"/>
  <c r="D89" i="2"/>
  <c r="D95" i="2" s="1"/>
  <c r="E89" i="2"/>
  <c r="E90" i="2"/>
  <c r="E91" i="2"/>
  <c r="E92" i="2"/>
  <c r="E93" i="2"/>
  <c r="E94" i="2"/>
  <c r="E95" i="2"/>
  <c r="F89" i="2"/>
  <c r="G89" i="2"/>
  <c r="C90" i="2"/>
  <c r="D90" i="2"/>
  <c r="G90" i="2"/>
  <c r="C91" i="2"/>
  <c r="D91" i="2"/>
  <c r="F91" i="2"/>
  <c r="C92" i="2"/>
  <c r="D92" i="2"/>
  <c r="F92" i="2"/>
  <c r="C93" i="2"/>
  <c r="D93" i="2"/>
  <c r="F93" i="2"/>
  <c r="C94" i="2"/>
  <c r="D94" i="2"/>
  <c r="F94" i="2"/>
  <c r="F95" i="2" s="1"/>
  <c r="E101" i="2"/>
  <c r="C105" i="2"/>
  <c r="E105" i="2"/>
  <c r="D107" i="2"/>
  <c r="F107" i="2"/>
  <c r="G107" i="2"/>
  <c r="E114" i="2"/>
  <c r="E115" i="2"/>
  <c r="E116" i="2"/>
  <c r="C117" i="2"/>
  <c r="E117" i="2"/>
  <c r="F120" i="2"/>
  <c r="G120" i="2"/>
  <c r="C122" i="2"/>
  <c r="E122" i="2"/>
  <c r="D126" i="2"/>
  <c r="D136" i="2"/>
  <c r="K411" i="1"/>
  <c r="K426" i="1" s="1"/>
  <c r="G126" i="2" s="1"/>
  <c r="G136" i="2" s="1"/>
  <c r="G137" i="2" s="1"/>
  <c r="K419" i="1"/>
  <c r="K425" i="1"/>
  <c r="L255" i="1"/>
  <c r="C127" i="2" s="1"/>
  <c r="L256" i="1"/>
  <c r="C128" i="2" s="1"/>
  <c r="L257" i="1"/>
  <c r="C129" i="2" s="1"/>
  <c r="E129" i="2"/>
  <c r="E134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B151" i="2"/>
  <c r="C151" i="2"/>
  <c r="D151" i="2"/>
  <c r="E151" i="2"/>
  <c r="F151" i="2"/>
  <c r="B152" i="2"/>
  <c r="G152" i="2" s="1"/>
  <c r="C152" i="2"/>
  <c r="D152" i="2"/>
  <c r="E152" i="2"/>
  <c r="F152" i="2"/>
  <c r="F490" i="1"/>
  <c r="K490" i="1" s="1"/>
  <c r="G490" i="1"/>
  <c r="C153" i="2" s="1"/>
  <c r="H490" i="1"/>
  <c r="D153" i="2" s="1"/>
  <c r="I490" i="1"/>
  <c r="E153" i="2"/>
  <c r="J490" i="1"/>
  <c r="F153" i="2"/>
  <c r="B154" i="2"/>
  <c r="C154" i="2"/>
  <c r="D154" i="2"/>
  <c r="E154" i="2"/>
  <c r="F154" i="2"/>
  <c r="B155" i="2"/>
  <c r="C155" i="2"/>
  <c r="D155" i="2"/>
  <c r="E155" i="2"/>
  <c r="F155" i="2"/>
  <c r="G155" i="2" s="1"/>
  <c r="F493" i="1"/>
  <c r="B156" i="2"/>
  <c r="G493" i="1"/>
  <c r="C156" i="2" s="1"/>
  <c r="H493" i="1"/>
  <c r="D156" i="2" s="1"/>
  <c r="I493" i="1"/>
  <c r="E156" i="2" s="1"/>
  <c r="J493" i="1"/>
  <c r="F156" i="2" s="1"/>
  <c r="F19" i="1"/>
  <c r="G607" i="1" s="1"/>
  <c r="G19" i="1"/>
  <c r="G608" i="1"/>
  <c r="H19" i="1"/>
  <c r="G609" i="1" s="1"/>
  <c r="I19" i="1"/>
  <c r="G610" i="1"/>
  <c r="F33" i="1"/>
  <c r="G33" i="1"/>
  <c r="H33" i="1"/>
  <c r="I33" i="1"/>
  <c r="F43" i="1"/>
  <c r="F44" i="1" s="1"/>
  <c r="H607" i="1" s="1"/>
  <c r="G43" i="1"/>
  <c r="G44" i="1" s="1"/>
  <c r="H608" i="1" s="1"/>
  <c r="J608" i="1" s="1"/>
  <c r="G613" i="1"/>
  <c r="H43" i="1"/>
  <c r="G614" i="1" s="1"/>
  <c r="J614" i="1" s="1"/>
  <c r="I43" i="1"/>
  <c r="I44" i="1"/>
  <c r="H610" i="1"/>
  <c r="J610" i="1" s="1"/>
  <c r="F169" i="1"/>
  <c r="I169" i="1"/>
  <c r="F175" i="1"/>
  <c r="F184" i="1" s="1"/>
  <c r="G175" i="1"/>
  <c r="H175" i="1"/>
  <c r="I175" i="1"/>
  <c r="I184" i="1" s="1"/>
  <c r="J175" i="1"/>
  <c r="G635" i="1" s="1"/>
  <c r="J184" i="1"/>
  <c r="J185" i="1" s="1"/>
  <c r="F180" i="1"/>
  <c r="G180" i="1"/>
  <c r="H180" i="1"/>
  <c r="I180" i="1"/>
  <c r="G203" i="1"/>
  <c r="H203" i="1"/>
  <c r="J203" i="1"/>
  <c r="J249" i="1" s="1"/>
  <c r="K203" i="1"/>
  <c r="K249" i="1" s="1"/>
  <c r="K263" i="1" s="1"/>
  <c r="F221" i="1"/>
  <c r="F249" i="1" s="1"/>
  <c r="F263" i="1" s="1"/>
  <c r="G221" i="1"/>
  <c r="H221" i="1"/>
  <c r="I221" i="1"/>
  <c r="J221" i="1"/>
  <c r="K221" i="1"/>
  <c r="F239" i="1"/>
  <c r="G239" i="1"/>
  <c r="G249" i="1" s="1"/>
  <c r="G263" i="1" s="1"/>
  <c r="H239" i="1"/>
  <c r="H249" i="1" s="1"/>
  <c r="H263" i="1" s="1"/>
  <c r="I239" i="1"/>
  <c r="J239" i="1"/>
  <c r="K239" i="1"/>
  <c r="F248" i="1"/>
  <c r="G248" i="1"/>
  <c r="H248" i="1"/>
  <c r="L248" i="1" s="1"/>
  <c r="I248" i="1"/>
  <c r="J248" i="1"/>
  <c r="K248" i="1"/>
  <c r="F282" i="1"/>
  <c r="F330" i="1" s="1"/>
  <c r="F344" i="1" s="1"/>
  <c r="G282" i="1"/>
  <c r="G330" i="1" s="1"/>
  <c r="G344" i="1" s="1"/>
  <c r="H282" i="1"/>
  <c r="H330" i="1" s="1"/>
  <c r="H344" i="1" s="1"/>
  <c r="I282" i="1"/>
  <c r="F301" i="1"/>
  <c r="G301" i="1"/>
  <c r="H301" i="1"/>
  <c r="I301" i="1"/>
  <c r="I330" i="1" s="1"/>
  <c r="I344" i="1" s="1"/>
  <c r="F320" i="1"/>
  <c r="G320" i="1"/>
  <c r="H320" i="1"/>
  <c r="I320" i="1"/>
  <c r="F329" i="1"/>
  <c r="G329" i="1"/>
  <c r="H329" i="1"/>
  <c r="I329" i="1"/>
  <c r="J329" i="1"/>
  <c r="K329" i="1"/>
  <c r="K330" i="1"/>
  <c r="K344" i="1"/>
  <c r="F354" i="1"/>
  <c r="G354" i="1"/>
  <c r="G374" i="1"/>
  <c r="H354" i="1"/>
  <c r="I354" i="1"/>
  <c r="J354" i="1"/>
  <c r="K354" i="1"/>
  <c r="G361" i="1"/>
  <c r="H361" i="1"/>
  <c r="H374" i="1"/>
  <c r="L373" i="1"/>
  <c r="J374" i="1"/>
  <c r="K374" i="1"/>
  <c r="F385" i="1"/>
  <c r="F400" i="1" s="1"/>
  <c r="H633" i="1" s="1"/>
  <c r="G385" i="1"/>
  <c r="G400" i="1" s="1"/>
  <c r="H635" i="1" s="1"/>
  <c r="H385" i="1"/>
  <c r="I385" i="1"/>
  <c r="F393" i="1"/>
  <c r="G393" i="1"/>
  <c r="H393" i="1"/>
  <c r="I393" i="1"/>
  <c r="F399" i="1"/>
  <c r="G399" i="1"/>
  <c r="H399" i="1"/>
  <c r="H400" i="1" s="1"/>
  <c r="H634" i="1" s="1"/>
  <c r="I399" i="1"/>
  <c r="I400" i="1" s="1"/>
  <c r="L405" i="1"/>
  <c r="L406" i="1"/>
  <c r="L407" i="1"/>
  <c r="L408" i="1"/>
  <c r="L409" i="1"/>
  <c r="L411" i="1" s="1"/>
  <c r="L410" i="1"/>
  <c r="F411" i="1"/>
  <c r="F426" i="1" s="1"/>
  <c r="G411" i="1"/>
  <c r="G426" i="1" s="1"/>
  <c r="H411" i="1"/>
  <c r="I411" i="1"/>
  <c r="J411" i="1"/>
  <c r="L413" i="1"/>
  <c r="L414" i="1"/>
  <c r="L415" i="1"/>
  <c r="L416" i="1"/>
  <c r="L417" i="1"/>
  <c r="L419" i="1" s="1"/>
  <c r="L418" i="1"/>
  <c r="F419" i="1"/>
  <c r="G419" i="1"/>
  <c r="H419" i="1"/>
  <c r="I419" i="1"/>
  <c r="I426" i="1"/>
  <c r="J419" i="1"/>
  <c r="L421" i="1"/>
  <c r="L422" i="1"/>
  <c r="L423" i="1"/>
  <c r="L425" i="1" s="1"/>
  <c r="L424" i="1"/>
  <c r="F425" i="1"/>
  <c r="G425" i="1"/>
  <c r="H425" i="1"/>
  <c r="H426" i="1" s="1"/>
  <c r="I425" i="1"/>
  <c r="J425" i="1"/>
  <c r="F438" i="1"/>
  <c r="G438" i="1"/>
  <c r="H438" i="1"/>
  <c r="F444" i="1"/>
  <c r="F451" i="1"/>
  <c r="H629" i="1"/>
  <c r="G444" i="1"/>
  <c r="G451" i="1" s="1"/>
  <c r="H630" i="1" s="1"/>
  <c r="H444" i="1"/>
  <c r="F450" i="1"/>
  <c r="G450" i="1"/>
  <c r="H450" i="1"/>
  <c r="H451" i="1" s="1"/>
  <c r="H631" i="1" s="1"/>
  <c r="J631" i="1" s="1"/>
  <c r="F460" i="1"/>
  <c r="G460" i="1"/>
  <c r="G466" i="1" s="1"/>
  <c r="H613" i="1" s="1"/>
  <c r="H460" i="1"/>
  <c r="H466" i="1" s="1"/>
  <c r="H614" i="1" s="1"/>
  <c r="I460" i="1"/>
  <c r="I466" i="1" s="1"/>
  <c r="H615" i="1" s="1"/>
  <c r="J615" i="1" s="1"/>
  <c r="J460" i="1"/>
  <c r="F464" i="1"/>
  <c r="G464" i="1"/>
  <c r="H464" i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I514" i="1"/>
  <c r="I535" i="1" s="1"/>
  <c r="J514" i="1"/>
  <c r="J535" i="1" s="1"/>
  <c r="K514" i="1"/>
  <c r="F519" i="1"/>
  <c r="G519" i="1"/>
  <c r="H519" i="1"/>
  <c r="I519" i="1"/>
  <c r="J519" i="1"/>
  <c r="K519" i="1"/>
  <c r="F524" i="1"/>
  <c r="F535" i="1" s="1"/>
  <c r="G524" i="1"/>
  <c r="G535" i="1" s="1"/>
  <c r="H524" i="1"/>
  <c r="I524" i="1"/>
  <c r="J524" i="1"/>
  <c r="K524" i="1"/>
  <c r="L524" i="1"/>
  <c r="F529" i="1"/>
  <c r="G529" i="1"/>
  <c r="H529" i="1"/>
  <c r="I529" i="1"/>
  <c r="J529" i="1"/>
  <c r="K529" i="1"/>
  <c r="K535" i="1" s="1"/>
  <c r="F534" i="1"/>
  <c r="G534" i="1"/>
  <c r="H534" i="1"/>
  <c r="I534" i="1"/>
  <c r="J534" i="1"/>
  <c r="K534" i="1"/>
  <c r="L534" i="1"/>
  <c r="L547" i="1"/>
  <c r="L550" i="1" s="1"/>
  <c r="L561" i="1" s="1"/>
  <c r="L548" i="1"/>
  <c r="L549" i="1"/>
  <c r="F550" i="1"/>
  <c r="F561" i="1"/>
  <c r="G550" i="1"/>
  <c r="H550" i="1"/>
  <c r="I550" i="1"/>
  <c r="J550" i="1"/>
  <c r="K550" i="1"/>
  <c r="L552" i="1"/>
  <c r="L553" i="1"/>
  <c r="L554" i="1"/>
  <c r="L555" i="1"/>
  <c r="F555" i="1"/>
  <c r="G555" i="1"/>
  <c r="G561" i="1" s="1"/>
  <c r="H555" i="1"/>
  <c r="H561" i="1" s="1"/>
  <c r="I555" i="1"/>
  <c r="J555" i="1"/>
  <c r="K555" i="1"/>
  <c r="L557" i="1"/>
  <c r="L558" i="1"/>
  <c r="L559" i="1"/>
  <c r="F560" i="1"/>
  <c r="G560" i="1"/>
  <c r="H560" i="1"/>
  <c r="I560" i="1"/>
  <c r="I561" i="1" s="1"/>
  <c r="J560" i="1"/>
  <c r="J561" i="1" s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2" i="1"/>
  <c r="K583" i="1"/>
  <c r="K584" i="1"/>
  <c r="K585" i="1"/>
  <c r="K586" i="1"/>
  <c r="K587" i="1"/>
  <c r="H588" i="1"/>
  <c r="H639" i="1"/>
  <c r="J639" i="1"/>
  <c r="I588" i="1"/>
  <c r="K592" i="1"/>
  <c r="K593" i="1"/>
  <c r="K594" i="1"/>
  <c r="K595" i="1" s="1"/>
  <c r="G638" i="1" s="1"/>
  <c r="H595" i="1"/>
  <c r="I595" i="1"/>
  <c r="J595" i="1"/>
  <c r="F604" i="1"/>
  <c r="G604" i="1"/>
  <c r="H604" i="1"/>
  <c r="I604" i="1"/>
  <c r="J604" i="1"/>
  <c r="K604" i="1"/>
  <c r="L604" i="1"/>
  <c r="G612" i="1"/>
  <c r="J612" i="1" s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29" i="1"/>
  <c r="J629" i="1" s="1"/>
  <c r="G630" i="1"/>
  <c r="J630" i="1" s="1"/>
  <c r="G631" i="1"/>
  <c r="G633" i="1"/>
  <c r="J633" i="1" s="1"/>
  <c r="G634" i="1"/>
  <c r="J634" i="1" s="1"/>
  <c r="G639" i="1"/>
  <c r="H640" i="1"/>
  <c r="G641" i="1"/>
  <c r="G642" i="1"/>
  <c r="H642" i="1"/>
  <c r="J642" i="1" s="1"/>
  <c r="G643" i="1"/>
  <c r="J643" i="1" s="1"/>
  <c r="H643" i="1"/>
  <c r="G644" i="1"/>
  <c r="J644" i="1" s="1"/>
  <c r="H644" i="1"/>
  <c r="G645" i="1"/>
  <c r="H645" i="1"/>
  <c r="G9" i="2"/>
  <c r="L354" i="1"/>
  <c r="G625" i="1" s="1"/>
  <c r="J625" i="1" s="1"/>
  <c r="C27" i="10"/>
  <c r="F104" i="1"/>
  <c r="G31" i="13"/>
  <c r="L196" i="1"/>
  <c r="C112" i="2" s="1"/>
  <c r="L190" i="1"/>
  <c r="C11" i="10" s="1"/>
  <c r="F132" i="1"/>
  <c r="C21" i="10"/>
  <c r="G652" i="1"/>
  <c r="D42" i="2"/>
  <c r="D43" i="2" s="1"/>
  <c r="E32" i="2"/>
  <c r="C20" i="10"/>
  <c r="G640" i="1"/>
  <c r="J640" i="1" s="1"/>
  <c r="H637" i="1"/>
  <c r="C10" i="10"/>
  <c r="J645" i="1"/>
  <c r="G151" i="2"/>
  <c r="G148" i="2"/>
  <c r="E54" i="2"/>
  <c r="G154" i="2"/>
  <c r="C70" i="2"/>
  <c r="C73" i="2" s="1"/>
  <c r="F54" i="2"/>
  <c r="D54" i="2"/>
  <c r="F42" i="2"/>
  <c r="D17" i="13"/>
  <c r="C17" i="13"/>
  <c r="J466" i="1"/>
  <c r="H616" i="1" s="1"/>
  <c r="F466" i="1"/>
  <c r="H612" i="1"/>
  <c r="C111" i="2"/>
  <c r="C16" i="10"/>
  <c r="D7" i="13"/>
  <c r="C7" i="13"/>
  <c r="L399" i="1"/>
  <c r="C132" i="2"/>
  <c r="D18" i="13"/>
  <c r="C18" i="13" s="1"/>
  <c r="G615" i="1"/>
  <c r="K561" i="1"/>
  <c r="L519" i="1"/>
  <c r="B153" i="2"/>
  <c r="J40" i="1"/>
  <c r="G39" i="2" s="1"/>
  <c r="K493" i="1"/>
  <c r="H44" i="1"/>
  <c r="H609" i="1" s="1"/>
  <c r="G651" i="1"/>
  <c r="E111" i="2"/>
  <c r="I652" i="1"/>
  <c r="C48" i="2"/>
  <c r="H184" i="1"/>
  <c r="D119" i="2"/>
  <c r="D120" i="2" s="1"/>
  <c r="D137" i="2" s="1"/>
  <c r="L385" i="1"/>
  <c r="C130" i="2" s="1"/>
  <c r="F22" i="13"/>
  <c r="C22" i="13" s="1"/>
  <c r="G184" i="1"/>
  <c r="C36" i="12"/>
  <c r="L560" i="1"/>
  <c r="A31" i="12"/>
  <c r="J426" i="1"/>
  <c r="L329" i="1"/>
  <c r="C5" i="10"/>
  <c r="C6" i="10"/>
  <c r="J263" i="1" l="1"/>
  <c r="G156" i="2"/>
  <c r="G42" i="2"/>
  <c r="G43" i="2" s="1"/>
  <c r="G32" i="2"/>
  <c r="K540" i="1"/>
  <c r="G96" i="2"/>
  <c r="F542" i="1"/>
  <c r="K539" i="1"/>
  <c r="K542" i="1" s="1"/>
  <c r="L426" i="1"/>
  <c r="G628" i="1" s="1"/>
  <c r="J628" i="1" s="1"/>
  <c r="H542" i="1"/>
  <c r="G185" i="1"/>
  <c r="G618" i="1" s="1"/>
  <c r="J618" i="1" s="1"/>
  <c r="J609" i="1"/>
  <c r="E120" i="2"/>
  <c r="F374" i="1"/>
  <c r="G616" i="1"/>
  <c r="J616" i="1" s="1"/>
  <c r="G153" i="2"/>
  <c r="C38" i="10"/>
  <c r="H33" i="13"/>
  <c r="C25" i="13"/>
  <c r="C96" i="2"/>
  <c r="C5" i="13"/>
  <c r="L282" i="1"/>
  <c r="E104" i="2"/>
  <c r="E107" i="2" s="1"/>
  <c r="E137" i="2" s="1"/>
  <c r="C13" i="10"/>
  <c r="C15" i="10"/>
  <c r="D6" i="13"/>
  <c r="C6" i="13" s="1"/>
  <c r="C110" i="2"/>
  <c r="J641" i="1"/>
  <c r="G621" i="1"/>
  <c r="J621" i="1" s="1"/>
  <c r="G636" i="1"/>
  <c r="J613" i="1"/>
  <c r="J607" i="1"/>
  <c r="A40" i="12"/>
  <c r="C133" i="2"/>
  <c r="J635" i="1"/>
  <c r="I451" i="1"/>
  <c r="H632" i="1" s="1"/>
  <c r="J632" i="1" s="1"/>
  <c r="G12" i="2"/>
  <c r="J19" i="1"/>
  <c r="G611" i="1" s="1"/>
  <c r="G542" i="1"/>
  <c r="A13" i="12"/>
  <c r="G19" i="2"/>
  <c r="C39" i="10"/>
  <c r="F185" i="1"/>
  <c r="G617" i="1" s="1"/>
  <c r="J617" i="1" s="1"/>
  <c r="C18" i="10"/>
  <c r="C29" i="10"/>
  <c r="H104" i="1"/>
  <c r="H185" i="1" s="1"/>
  <c r="G619" i="1" s="1"/>
  <c r="J619" i="1" s="1"/>
  <c r="C17" i="10"/>
  <c r="D12" i="13"/>
  <c r="C12" i="13" s="1"/>
  <c r="C35" i="10"/>
  <c r="I359" i="1"/>
  <c r="L203" i="1"/>
  <c r="J330" i="1"/>
  <c r="J344" i="1" s="1"/>
  <c r="E8" i="13"/>
  <c r="C12" i="10"/>
  <c r="I360" i="1"/>
  <c r="D48" i="2"/>
  <c r="D55" i="2" s="1"/>
  <c r="D96" i="2" s="1"/>
  <c r="C115" i="2"/>
  <c r="L221" i="1"/>
  <c r="G650" i="1" s="1"/>
  <c r="G654" i="1" s="1"/>
  <c r="I203" i="1"/>
  <c r="I249" i="1" s="1"/>
  <c r="I263" i="1" s="1"/>
  <c r="C123" i="2"/>
  <c r="H651" i="1"/>
  <c r="I651" i="1" s="1"/>
  <c r="E77" i="2"/>
  <c r="C32" i="10"/>
  <c r="J33" i="1"/>
  <c r="J44" i="1" s="1"/>
  <c r="H611" i="1" s="1"/>
  <c r="C104" i="2"/>
  <c r="C106" i="2"/>
  <c r="C19" i="10"/>
  <c r="L320" i="1"/>
  <c r="H650" i="1" s="1"/>
  <c r="H654" i="1" s="1"/>
  <c r="C102" i="2"/>
  <c r="C107" i="2" s="1"/>
  <c r="G33" i="13"/>
  <c r="L514" i="1"/>
  <c r="L535" i="1" s="1"/>
  <c r="L400" i="1"/>
  <c r="L374" i="1"/>
  <c r="G626" i="1" s="1"/>
  <c r="J626" i="1" s="1"/>
  <c r="K581" i="1"/>
  <c r="K588" i="1" s="1"/>
  <c r="G637" i="1" s="1"/>
  <c r="J637" i="1" s="1"/>
  <c r="E80" i="2"/>
  <c r="I104" i="1"/>
  <c r="I185" i="1" s="1"/>
  <c r="G620" i="1" s="1"/>
  <c r="J620" i="1" s="1"/>
  <c r="H657" i="1" l="1"/>
  <c r="H662" i="1"/>
  <c r="D12" i="10"/>
  <c r="C8" i="13"/>
  <c r="E33" i="13"/>
  <c r="D35" i="13" s="1"/>
  <c r="L330" i="1"/>
  <c r="L344" i="1" s="1"/>
  <c r="G623" i="1" s="1"/>
  <c r="J623" i="1" s="1"/>
  <c r="D31" i="13"/>
  <c r="C31" i="13" s="1"/>
  <c r="H636" i="1"/>
  <c r="J636" i="1" s="1"/>
  <c r="G627" i="1"/>
  <c r="J627" i="1" s="1"/>
  <c r="C136" i="2"/>
  <c r="C36" i="10"/>
  <c r="C41" i="10"/>
  <c r="D39" i="10" s="1"/>
  <c r="D29" i="13"/>
  <c r="I361" i="1"/>
  <c r="H624" i="1" s="1"/>
  <c r="J624" i="1" s="1"/>
  <c r="J611" i="1"/>
  <c r="G662" i="1"/>
  <c r="G657" i="1"/>
  <c r="D17" i="10"/>
  <c r="C28" i="10"/>
  <c r="L249" i="1"/>
  <c r="L263" i="1" s="1"/>
  <c r="G622" i="1" s="1"/>
  <c r="J622" i="1" s="1"/>
  <c r="F650" i="1"/>
  <c r="C120" i="2"/>
  <c r="C137" i="2" s="1"/>
  <c r="D38" i="10"/>
  <c r="D19" i="10"/>
  <c r="D18" i="10"/>
  <c r="D15" i="10"/>
  <c r="H638" i="1"/>
  <c r="J638" i="1" s="1"/>
  <c r="E83" i="2"/>
  <c r="E96" i="2" s="1"/>
  <c r="D13" i="10"/>
  <c r="I374" i="1" l="1"/>
  <c r="C29" i="13"/>
  <c r="D33" i="13"/>
  <c r="D36" i="13" s="1"/>
  <c r="D37" i="10"/>
  <c r="D40" i="10"/>
  <c r="F654" i="1"/>
  <c r="I650" i="1"/>
  <c r="I654" i="1" s="1"/>
  <c r="D36" i="10"/>
  <c r="D35" i="10"/>
  <c r="H646" i="1"/>
  <c r="D23" i="10"/>
  <c r="C30" i="10"/>
  <c r="D20" i="10"/>
  <c r="D22" i="10"/>
  <c r="D21" i="10"/>
  <c r="D24" i="10"/>
  <c r="D11" i="10"/>
  <c r="D27" i="10"/>
  <c r="D10" i="10"/>
  <c r="D26" i="10"/>
  <c r="D25" i="10"/>
  <c r="D16" i="10"/>
  <c r="D41" i="10" l="1"/>
  <c r="D28" i="10"/>
  <c r="I662" i="1"/>
  <c r="C7" i="10" s="1"/>
  <c r="I657" i="1"/>
  <c r="F657" i="1"/>
  <c r="F662" i="1"/>
  <c r="C4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30129284-D73E-4F83-A219-7C8CAB17A36E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6D4DC47D-6717-4718-B51B-3041B75804EF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6684F687-157B-4236-99BA-85AE047E5440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693CB3B7-D588-4A9B-B63F-39B791A45E96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91205970-E0A0-40FC-B029-C9C1F63E588E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331A205A-52D8-4B8B-9812-16562832A0A9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367874A2-EC07-491D-9DB5-676A4E2D49DE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4FB5FA4A-125A-4599-9E93-AFD5AAC5BD78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954C9FDB-4A52-4ACE-8FDF-ED071ED51ED0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89310E71-6F3F-4296-B013-96C31FAA6A13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9922BED7-C358-471F-8C70-ADB9366DA00A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88B78F10-B185-48B8-81F7-D50B950C6270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<sst xmlns="http://schemas.openxmlformats.org/spreadsheetml/2006/main" count="3861" uniqueCount="898">
  <si>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</si>
  <si>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</si>
  <si>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</si>
  <si>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</si>
  <si>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</si>
  <si>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</si>
  <si>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</si>
  <si>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</si>
  <si>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</si>
  <si>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</si>
  <si>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</si>
  <si>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</si>
  <si>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</si>
  <si>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</si>
  <si>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</si>
  <si>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</si>
  <si>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</si>
  <si>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</si>
  <si>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</si>
  <si>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</si>
  <si>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</si>
  <si>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</si>
  <si>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</si>
  <si>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</si>
  <si>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</si>
  <si>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</si>
  <si>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</si>
  <si>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</si>
  <si>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</si>
  <si>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</si>
  <si>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</si>
  <si>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</si>
  <si>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</si>
  <si>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</si>
  <si>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</si>
  <si>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</si>
  <si>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</si>
  <si>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</si>
  <si>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</si>
  <si>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</si>
  <si>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</si>
  <si>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</si>
  <si>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</si>
  <si>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</si>
  <si>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</si>
  <si>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</si>
  <si>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</si>
  <si>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</si>
  <si>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</si>
  <si>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</si>
  <si>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</si>
  <si>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</si>
  <si>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</si>
  <si>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</si>
  <si>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</si>
  <si>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</si>
  <si>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</si>
  <si>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</si>
  <si>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</si>
  <si>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</si>
  <si>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</si>
  <si>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</si>
  <si>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</si>
  <si>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</si>
  <si>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</si>
  <si>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</si>
  <si>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</si>
  <si>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</si>
  <si>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</si>
  <si>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</si>
  <si>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</si>
  <si>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</si>
  <si>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</si>
  <si>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</si>
  <si>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</si>
  <si>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</si>
  <si>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</si>
  <si>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</si>
  <si>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</si>
  <si>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</si>
  <si>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</si>
  <si>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</si>
  <si>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</si>
  <si>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</si>
  <si>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</si>
  <si>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</si>
  <si>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</si>
  <si>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</si>
  <si>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</si>
  <si>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</si>
  <si>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</si>
  <si>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</si>
  <si>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</si>
  <si>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</si>
  <si>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</si>
  <si>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</si>
  <si>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</si>
  <si>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</si>
  <si>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</si>
  <si>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</si>
  <si>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</si>
  <si>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</si>
  <si>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</si>
  <si>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</si>
  <si>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</si>
  <si>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</si>
  <si>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</si>
  <si>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</si>
  <si>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</si>
  <si>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</si>
  <si>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</si>
  <si>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</si>
  <si>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</si>
  <si>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</si>
  <si>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</si>
  <si>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</si>
  <si>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</si>
  <si>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</si>
  <si>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</si>
  <si>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</si>
  <si>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</si>
  <si>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</si>
  <si>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</si>
  <si>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</si>
  <si>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</si>
  <si>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</si>
  <si>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</si>
  <si>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</si>
  <si>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</si>
  <si>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</si>
  <si>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</si>
  <si>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</si>
  <si>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</si>
  <si>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</si>
  <si>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</si>
  <si>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</si>
  <si>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</si>
  <si>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</si>
  <si>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</si>
  <si>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</si>
  <si>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</si>
  <si>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</si>
  <si>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</si>
  <si>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</si>
  <si>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</si>
  <si>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</si>
  <si>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</si>
  <si>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</si>
  <si>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</si>
  <si>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</si>
  <si>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</si>
  <si>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</si>
  <si>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</si>
  <si>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</si>
  <si>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</si>
  <si>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</si>
  <si>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</si>
  <si>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</si>
  <si>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</si>
  <si>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</si>
  <si>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</si>
  <si>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</si>
  <si>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</si>
  <si>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</si>
  <si>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</si>
  <si>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</si>
  <si>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</si>
  <si>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</si>
  <si>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</si>
  <si>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</si>
  <si>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</si>
  <si>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</si>
  <si>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</si>
  <si>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</si>
  <si>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</si>
  <si>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</si>
  <si>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</si>
  <si>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</si>
  <si>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</si>
  <si>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</si>
  <si>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</si>
  <si>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</si>
  <si>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</si>
  <si>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</si>
  <si>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</si>
  <si>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</si>
  <si>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</si>
  <si>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</si>
  <si>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</si>
  <si>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</si>
  <si>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</si>
  <si>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</si>
  <si>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</si>
  <si>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</si>
  <si>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</si>
  <si>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</si>
  <si>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</si>
  <si>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</si>
  <si>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</si>
  <si>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</si>
  <si>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</si>
  <si>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</si>
  <si>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</si>
  <si>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</si>
  <si>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</si>
  <si>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</si>
  <si>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</si>
  <si>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</si>
  <si>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</si>
  <si>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</si>
  <si>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</si>
  <si>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</si>
  <si>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</si>
  <si>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</si>
  <si>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</si>
  <si>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</si>
  <si>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</si>
  <si>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</si>
  <si>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</si>
  <si>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</si>
  <si>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</si>
  <si>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</si>
  <si>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</si>
  <si>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</si>
  <si>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</si>
  <si>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</si>
  <si>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</si>
  <si>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</si>
  <si>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</si>
  <si>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</si>
  <si>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</si>
  <si>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</si>
  <si>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</si>
  <si>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</si>
  <si>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</si>
  <si>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</si>
  <si>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</si>
  <si>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</si>
  <si>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</si>
  <si>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</si>
  <si>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</si>
  <si>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</si>
  <si>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</si>
  <si>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</si>
  <si>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</si>
  <si>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</si>
  <si>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</si>
  <si>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</si>
  <si>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</si>
  <si>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</si>
  <si>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</si>
  <si>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</si>
  <si>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</si>
  <si>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</si>
  <si>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</si>
  <si>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</si>
  <si>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</si>
  <si>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</si>
  <si>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</si>
  <si>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</si>
  <si>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</si>
  <si>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</si>
  <si>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</si>
  <si>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</si>
  <si>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</si>
  <si>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</si>
  <si>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</si>
  <si>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</si>
  <si>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</si>
  <si>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</si>
  <si>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</si>
  <si>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</si>
  <si>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</si>
  <si>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</si>
  <si>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</si>
  <si>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</si>
  <si>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</si>
  <si>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</si>
  <si>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</si>
  <si>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</si>
  <si>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</si>
  <si>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</si>
  <si>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</si>
  <si>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</si>
  <si>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</si>
  <si>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</si>
  <si>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</si>
  <si>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</si>
  <si>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</si>
  <si>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</si>
  <si>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</si>
  <si>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</si>
  <si>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</si>
  <si>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</si>
  <si>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</si>
  <si>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</si>
  <si>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</si>
  <si>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</si>
  <si>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</si>
  <si>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</si>
  <si>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</si>
  <si>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</si>
  <si>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</si>
  <si>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</si>
  <si>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</si>
  <si>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</si>
  <si>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</si>
  <si>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</si>
  <si>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</si>
  <si>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</si>
  <si>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</si>
  <si>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</si>
  <si>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</si>
  <si>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</si>
  <si>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</si>
  <si>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</si>
  <si>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</si>
  <si>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</si>
  <si>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</si>
  <si>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</si>
  <si>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</si>
  <si>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</si>
  <si>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</si>
  <si>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</si>
  <si>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</si>
  <si>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</si>
  <si>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</si>
  <si>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</si>
  <si>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</si>
  <si>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</si>
  <si>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</si>
  <si>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</si>
  <si>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</si>
  <si>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</si>
  <si>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</si>
  <si>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</si>
  <si>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</si>
  <si>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</si>
  <si>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</si>
  <si>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</si>
  <si>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</si>
  <si>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</si>
  <si>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</si>
  <si>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</si>
  <si>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</si>
  <si>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</si>
  <si>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</si>
  <si>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</si>
  <si>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</si>
  <si>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</si>
  <si>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</si>
  <si>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</si>
  <si>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</si>
  <si>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</si>
  <si>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</si>
  <si>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</si>
  <si>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</si>
  <si>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</si>
  <si>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</si>
  <si>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</si>
  <si>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</si>
  <si>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</si>
  <si>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</si>
  <si>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</si>
  <si>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</si>
  <si>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</si>
  <si>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</si>
  <si>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</si>
  <si>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</si>
  <si>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</si>
  <si>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</si>
  <si>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</si>
  <si>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</si>
  <si>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</si>
  <si>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</si>
  <si>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</si>
  <si>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</si>
  <si>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</si>
  <si>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</si>
  <si>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</si>
  <si>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</si>
  <si>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</si>
  <si>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</si>
  <si>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</si>
  <si>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</si>
  <si>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</si>
  <si>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</si>
  <si>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</si>
  <si>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</si>
  <si>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</si>
  <si>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</si>
  <si>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</si>
  <si>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</si>
  <si>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</si>
  <si>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</si>
  <si>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</si>
  <si>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</si>
  <si>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</si>
  <si>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</si>
  <si>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</si>
  <si>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</si>
  <si>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</si>
  <si>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</si>
  <si>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</si>
  <si>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</si>
  <si>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</si>
  <si>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</si>
  <si>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</si>
  <si>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</si>
  <si>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</si>
  <si>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</si>
  <si>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</si>
  <si>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</si>
  <si>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</si>
  <si>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</si>
  <si>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</si>
  <si>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</si>
  <si>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</si>
  <si>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</si>
  <si>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</si>
  <si>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</si>
  <si>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</si>
  <si>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</si>
  <si>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</si>
  <si>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</si>
  <si>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</si>
  <si>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</si>
  <si>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</si>
  <si>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</si>
  <si>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</si>
  <si>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</si>
  <si>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</si>
  <si>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</si>
  <si>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</si>
  <si>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</si>
  <si>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</si>
  <si>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</si>
  <si>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</si>
  <si>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</si>
  <si>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</si>
  <si>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</si>
  <si>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</si>
  <si>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</si>
  <si>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</si>
  <si>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</si>
  <si>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</si>
  <si>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</si>
  <si>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</si>
  <si>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</si>
  <si>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</si>
  <si>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</si>
  <si>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</si>
  <si>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</si>
  <si>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</si>
  <si>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</si>
  <si>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</si>
  <si>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</si>
  <si>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</si>
  <si>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</si>
  <si>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</si>
  <si>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</si>
  <si>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</si>
  <si>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</si>
  <si>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</si>
  <si>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</si>
  <si>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</si>
  <si>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</si>
  <si>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</si>
  <si>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</si>
  <si>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</si>
  <si>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</si>
  <si>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</si>
  <si>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</si>
  <si>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</si>
  <si>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</si>
  <si>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</si>
  <si>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</si>
  <si>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</si>
  <si>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</si>
  <si>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</si>
  <si>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</si>
  <si>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</si>
  <si>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</si>
  <si>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</si>
  <si>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</si>
  <si>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</si>
  <si>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</si>
  <si>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</si>
  <si>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</si>
  <si>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</si>
  <si>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</si>
  <si>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</si>
  <si>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</si>
  <si>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</si>
  <si>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</si>
  <si>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</si>
  <si>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</si>
  <si>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</si>
  <si>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</si>
  <si>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</si>
  <si>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</si>
  <si>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</si>
  <si>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</si>
  <si>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</si>
  <si>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</si>
  <si>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</si>
  <si>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</si>
  <si>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</si>
  <si>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</si>
  <si>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</si>
  <si>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</si>
  <si>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</si>
  <si>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</si>
  <si>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</si>
  <si>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</si>
  <si>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</si>
  <si>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</si>
  <si>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</si>
  <si>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</si>
  <si>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</si>
  <si>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</si>
  <si>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</si>
  <si>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</si>
  <si>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</si>
  <si>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</si>
  <si>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</si>
  <si>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</si>
  <si>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</si>
  <si>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</si>
  <si>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</si>
  <si>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</si>
  <si>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</si>
  <si>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</si>
  <si>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</si>
  <si>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</si>
  <si>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</si>
  <si>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</si>
  <si>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</si>
  <si>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</si>
  <si>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</si>
  <si>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</si>
  <si>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</si>
  <si>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</si>
  <si>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</si>
  <si>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</si>
  <si>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</si>
  <si>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</si>
  <si>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</si>
  <si>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</si>
  <si>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</si>
  <si>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</si>
  <si>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</si>
  <si>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</si>
  <si>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</si>
  <si>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</si>
  <si>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</si>
  <si>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</si>
  <si>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</si>
  <si>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</si>
  <si>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</si>
  <si>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</si>
  <si>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</si>
  <si>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</si>
  <si>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</si>
  <si>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</si>
  <si>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</si>
  <si>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</si>
  <si>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</si>
  <si>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</si>
  <si>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</si>
  <si>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</si>
  <si>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</si>
  <si>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</si>
  <si>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</si>
  <si>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</si>
  <si>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</si>
  <si>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</si>
  <si>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</si>
  <si>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</si>
  <si>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</si>
  <si>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</si>
  <si>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</si>
  <si>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</si>
  <si>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</si>
  <si>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</si>
  <si>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</si>
  <si>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</si>
  <si>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</si>
  <si>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</si>
  <si>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</si>
  <si>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</si>
  <si>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</si>
  <si>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</si>
  <si>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</si>
  <si>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</si>
  <si>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</si>
  <si>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</si>
  <si>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</si>
  <si>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</si>
  <si>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</si>
  <si>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</si>
  <si>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</si>
  <si>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</si>
  <si>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</si>
  <si>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</si>
  <si>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</si>
  <si>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</si>
  <si>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</si>
  <si>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</si>
  <si>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</si>
  <si>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</si>
  <si>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</si>
  <si>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</si>
  <si>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</si>
  <si>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</si>
  <si>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</si>
  <si>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</si>
  <si>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</si>
  <si>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</si>
  <si>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</si>
  <si>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</si>
  <si>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</si>
  <si>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</si>
  <si>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</si>
  <si>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</si>
  <si>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</si>
  <si>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</si>
  <si>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</si>
  <si>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</si>
  <si>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</si>
  <si>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</si>
  <si>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</si>
  <si>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</si>
  <si>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</si>
  <si>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</si>
  <si>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</si>
  <si>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</si>
  <si>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</si>
  <si>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</si>
  <si>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</si>
  <si>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</si>
  <si>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</si>
  <si>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</si>
  <si>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</si>
  <si>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</si>
  <si>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</si>
  <si>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</si>
  <si>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</si>
  <si>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</si>
  <si>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</si>
  <si>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</si>
  <si>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</si>
  <si>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</si>
  <si>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</si>
  <si>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</si>
  <si>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</si>
  <si>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</si>
  <si>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</si>
  <si>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</si>
  <si>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</si>
  <si>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</si>
  <si>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</si>
  <si>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</si>
  <si>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</si>
  <si>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</si>
  <si>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</si>
  <si>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</si>
  <si>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</si>
  <si>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</si>
  <si>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</si>
  <si>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</si>
  <si>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</si>
  <si>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</si>
  <si>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</si>
  <si>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</si>
  <si>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</si>
  <si>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</si>
  <si>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</si>
  <si>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</si>
  <si>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</si>
  <si>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</si>
  <si>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</si>
  <si>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</si>
  <si>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</si>
  <si>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</si>
  <si>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</si>
  <si>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</si>
  <si>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</si>
  <si>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</si>
  <si>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</si>
  <si>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</si>
  <si>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</si>
  <si>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</si>
  <si>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</si>
  <si>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</si>
  <si>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</si>
  <si>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</si>
  <si>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</si>
  <si>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</si>
  <si>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</si>
  <si>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</si>
  <si>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</si>
  <si>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</si>
  <si>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</si>
  <si>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</si>
  <si>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</si>
  <si>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</si>
  <si>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</si>
  <si>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</si>
  <si>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</si>
  <si>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</si>
  <si>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</si>
  <si>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</si>
  <si>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</si>
  <si>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</si>
  <si>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</si>
  <si>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</si>
  <si>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</si>
  <si>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</si>
  <si>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</si>
  <si>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</si>
  <si>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</si>
  <si>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</si>
  <si>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</si>
  <si>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</si>
  <si>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</si>
  <si>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</si>
  <si>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</si>
  <si>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</si>
  <si>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</si>
  <si>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</si>
  <si>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</si>
  <si>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</si>
  <si>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</si>
  <si>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</si>
  <si>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</si>
  <si>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</si>
  <si>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</si>
  <si>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</si>
  <si>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</si>
  <si>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</si>
  <si>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</si>
  <si>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</si>
  <si>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</si>
  <si>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</si>
  <si>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</si>
  <si>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</si>
  <si>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</si>
  <si>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</si>
  <si>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</si>
  <si>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</si>
  <si>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</si>
  <si>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</si>
  <si>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</si>
  <si>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</si>
  <si>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</si>
  <si>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</si>
  <si>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</si>
  <si>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</si>
  <si>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</si>
  <si>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</si>
  <si>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</si>
  <si>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</si>
  <si>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</si>
  <si>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</si>
  <si>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</si>
  <si>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</si>
  <si>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</si>
  <si>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</si>
  <si>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</si>
  <si>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</si>
  <si>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</si>
  <si>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</si>
  <si>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</si>
  <si>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</si>
  <si>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</si>
  <si>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</si>
  <si>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</si>
  <si>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</si>
  <si>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</si>
  <si>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</si>
  <si>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</si>
  <si>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</si>
  <si>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</si>
  <si>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</si>
  <si>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</si>
  <si>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</si>
  <si>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</si>
  <si>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</si>
  <si>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</si>
  <si>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</si>
  <si>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</si>
  <si>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</si>
  <si>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</si>
  <si>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</si>
  <si>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</si>
  <si>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</si>
  <si>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</si>
  <si>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</si>
  <si>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</si>
  <si>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</si>
  <si>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</si>
  <si>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</si>
  <si>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</si>
  <si>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</si>
  <si>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</si>
  <si>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</si>
  <si>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</si>
  <si>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</si>
  <si>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</si>
  <si>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</si>
  <si>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</si>
  <si>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</si>
  <si>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</si>
  <si>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</si>
  <si>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</si>
  <si>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</si>
  <si>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</si>
  <si>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</si>
  <si>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</si>
  <si>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</si>
  <si>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</si>
  <si>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</si>
  <si>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</si>
  <si>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</si>
  <si>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</si>
  <si>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</si>
  <si>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</si>
  <si>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</si>
  <si>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</si>
  <si>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</si>
  <si>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</si>
  <si>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</si>
  <si>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</si>
  <si>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</si>
  <si>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</si>
  <si>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</si>
  <si>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</si>
  <si>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</si>
  <si>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</si>
  <si>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</si>
  <si>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</si>
  <si>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</si>
  <si>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</si>
  <si>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</si>
  <si>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</si>
  <si>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</si>
  <si>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</si>
  <si>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</si>
  <si>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</si>
  <si>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</si>
  <si>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</si>
  <si>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</si>
  <si>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</si>
  <si>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</si>
  <si>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</si>
  <si>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</si>
  <si>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</si>
  <si>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</si>
  <si>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</si>
  <si>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</si>
  <si>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</si>
  <si>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</si>
  <si>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</si>
  <si>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</si>
  <si>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</si>
  <si>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</si>
  <si>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</si>
  <si>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</si>
  <si>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</si>
  <si>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</si>
  <si>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</si>
  <si>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</si>
  <si>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</si>
  <si>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</si>
  <si>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</si>
  <si>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</si>
  <si>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</si>
  <si>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</si>
  <si>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</si>
  <si>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</si>
  <si>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</si>
  <si>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</si>
  <si>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</si>
  <si>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</si>
  <si>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</si>
  <si>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</si>
  <si>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</si>
  <si>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</si>
  <si>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</si>
  <si>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</si>
  <si>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</si>
  <si>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</si>
  <si>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</si>
  <si>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08/10</t>
  </si>
  <si>
    <t>5.12-5.20%</t>
  </si>
  <si>
    <t>07/00</t>
  </si>
  <si>
    <t>Madison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</si>
</sst>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0" fontId="2" fillId="0" borderId="0" xfId="0" quotePrefix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869D-8B3A-4288-B1CE-AAE336E661D1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17" activePane="bottomRight" state="frozen"/>
      <selection pane="topRight" activeCell="F1" sqref="F1"/>
      <selection pane="bottomLeft" activeCell="A4" sqref="A4"/>
      <selection pane="bottomRight" activeCell="J585" sqref="J58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897</v>
      </c>
      <c r="B2" s="21">
        <v>333</v>
      </c>
      <c r="C2" s="21">
        <v>333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51191.7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105317.85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34644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112057.23</v>
      </c>
      <c r="G12" s="18"/>
      <c r="H12" s="18">
        <v>32615.48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20394.169999999998</v>
      </c>
      <c r="G13" s="18">
        <v>7904.86</v>
      </c>
      <c r="H13" s="18">
        <v>43803.87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f>3753.64+0.57</f>
        <v>3754.21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222041.30999999997</v>
      </c>
      <c r="G19" s="41">
        <f>SUM(G9:G18)</f>
        <v>7904.86</v>
      </c>
      <c r="H19" s="41">
        <f>SUM(H9:H18)</f>
        <v>76419.350000000006</v>
      </c>
      <c r="I19" s="41">
        <f>SUM(I9:I18)</f>
        <v>0</v>
      </c>
      <c r="J19" s="41">
        <f>SUM(J9:J18)</f>
        <v>105317.85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34644.57</v>
      </c>
      <c r="G23" s="18">
        <v>7474.47</v>
      </c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63523.18</v>
      </c>
      <c r="G24" s="18">
        <v>7.07</v>
      </c>
      <c r="H24" s="18">
        <v>39354.81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9393.5300000000007</v>
      </c>
      <c r="G25" s="18">
        <v>423.32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107561.28</v>
      </c>
      <c r="G33" s="41">
        <f>SUM(G23:G32)</f>
        <v>7904.86</v>
      </c>
      <c r="H33" s="41">
        <f>SUM(H23:H32)</f>
        <v>39354.81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41357.46</v>
      </c>
      <c r="G37" s="18"/>
      <c r="H37" s="18">
        <v>37064.54</v>
      </c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105317.85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73122.570000000007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114480.03</v>
      </c>
      <c r="G43" s="41">
        <f>SUM(G35:G42)</f>
        <v>0</v>
      </c>
      <c r="H43" s="41">
        <f>SUM(H35:H42)</f>
        <v>37064.54</v>
      </c>
      <c r="I43" s="41">
        <f>SUM(I35:I42)</f>
        <v>0</v>
      </c>
      <c r="J43" s="41">
        <f>SUM(J35:J42)</f>
        <v>105317.85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222041.31</v>
      </c>
      <c r="G44" s="41">
        <f>G43+G33</f>
        <v>7904.86</v>
      </c>
      <c r="H44" s="41">
        <f>H43+H33</f>
        <v>76419.350000000006</v>
      </c>
      <c r="I44" s="41">
        <f>I43+I33</f>
        <v>0</v>
      </c>
      <c r="J44" s="41">
        <f>J43+J33</f>
        <v>105317.85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3449868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3449868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32073.14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32073.14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127.73</v>
      </c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33309.129999999997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27408.63</v>
      </c>
      <c r="G97" s="18">
        <v>29110.21</v>
      </c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27536.36</v>
      </c>
      <c r="G103" s="41">
        <f>SUM(G88:G102)</f>
        <v>62419.34</v>
      </c>
      <c r="H103" s="41">
        <f>SUM(H88:H102)</f>
        <v>0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3509477.5</v>
      </c>
      <c r="G104" s="41">
        <f>G52+G103</f>
        <v>62419.34</v>
      </c>
      <c r="H104" s="41">
        <f>H52+H71+H86+H103</f>
        <v>0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463048.37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1034509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16794.63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1514352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62676.19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33029.31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8739.9500000000007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95705.5</v>
      </c>
      <c r="G128" s="41">
        <f>SUM(G115:G127)</f>
        <v>8739.9500000000007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1610057.5</v>
      </c>
      <c r="G132" s="41">
        <f>G113+SUM(G128:G129)</f>
        <v>8739.9500000000007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82947.289999999994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5001.77+540+38113.72+91843.5</f>
        <v>135498.99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43201.83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14225.92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49486</v>
      </c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63711.92</v>
      </c>
      <c r="G154" s="41">
        <f>SUM(G142:G153)</f>
        <v>43201.83</v>
      </c>
      <c r="H154" s="41">
        <f>SUM(H142:H153)</f>
        <v>218446.27999999997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>
        <v>18366.32</v>
      </c>
      <c r="G160" s="18"/>
      <c r="H160" s="18">
        <v>6500</v>
      </c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82078.239999999991</v>
      </c>
      <c r="G161" s="41">
        <f>G139+G154+SUM(G155:G160)</f>
        <v>43201.83</v>
      </c>
      <c r="H161" s="41">
        <f>H139+H154+SUM(H155:H160)</f>
        <v>224946.27999999997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22058.560000000001</v>
      </c>
      <c r="H171" s="18"/>
      <c r="I171" s="18"/>
      <c r="J171" s="18">
        <v>84000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22058.560000000001</v>
      </c>
      <c r="H175" s="41">
        <f>SUM(H171:H174)</f>
        <v>0</v>
      </c>
      <c r="I175" s="41">
        <f>SUM(I171:I174)</f>
        <v>0</v>
      </c>
      <c r="J175" s="41">
        <f>SUM(J171:J174)</f>
        <v>84000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7960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7960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7960</v>
      </c>
      <c r="G184" s="41">
        <f>G175+SUM(G180:G183)</f>
        <v>22058.560000000001</v>
      </c>
      <c r="H184" s="41">
        <f>+H175+SUM(H180:H183)</f>
        <v>0</v>
      </c>
      <c r="I184" s="41">
        <f>I169+I175+SUM(I180:I183)</f>
        <v>0</v>
      </c>
      <c r="J184" s="41">
        <f>J175</f>
        <v>84000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5209573.24</v>
      </c>
      <c r="G185" s="47">
        <f>G104+G132+G161+G184</f>
        <v>136419.68</v>
      </c>
      <c r="H185" s="47">
        <f>H104+H132+H161+H184</f>
        <v>224946.27999999997</v>
      </c>
      <c r="I185" s="47">
        <f>I104+I132+I161+I184</f>
        <v>0</v>
      </c>
      <c r="J185" s="47">
        <f>J104+J132+J184</f>
        <v>84000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806385.7</v>
      </c>
      <c r="G189" s="18">
        <v>367346.74</v>
      </c>
      <c r="H189" s="18">
        <v>24274.52</v>
      </c>
      <c r="I189" s="18">
        <v>29024.55</v>
      </c>
      <c r="J189" s="18">
        <v>8998.76</v>
      </c>
      <c r="K189" s="18">
        <v>21.36</v>
      </c>
      <c r="L189" s="19">
        <f>SUM(F189:K189)</f>
        <v>1236051.6300000001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208220.71</v>
      </c>
      <c r="G190" s="18">
        <v>126988.39</v>
      </c>
      <c r="H190" s="18">
        <f>47605.79+12516.44+20186.86</f>
        <v>80309.09</v>
      </c>
      <c r="I190" s="18">
        <v>398.8</v>
      </c>
      <c r="J190" s="18"/>
      <c r="K190" s="18"/>
      <c r="L190" s="19">
        <f>SUM(F190:K190)</f>
        <v>415916.98999999993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2200</v>
      </c>
      <c r="G192" s="18">
        <v>238.97</v>
      </c>
      <c r="H192" s="18">
        <v>1195.75</v>
      </c>
      <c r="I192" s="18">
        <v>623.62</v>
      </c>
      <c r="J192" s="18"/>
      <c r="K192" s="18"/>
      <c r="L192" s="19">
        <f>SUM(F192:K192)</f>
        <v>4258.34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33889+47964+50184</f>
        <v>132037</v>
      </c>
      <c r="G194" s="18">
        <f>12383.46+25126.79+25043.16</f>
        <v>62553.41</v>
      </c>
      <c r="H194" s="18">
        <f>2446.5+38055-7864.55</f>
        <v>32636.95</v>
      </c>
      <c r="I194" s="18">
        <f>145.2+487.54+698.3</f>
        <v>1331.04</v>
      </c>
      <c r="J194" s="18">
        <v>201.65</v>
      </c>
      <c r="K194" s="18">
        <v>465</v>
      </c>
      <c r="L194" s="19">
        <f t="shared" ref="L194:L200" si="0">SUM(F194:K194)</f>
        <v>229225.05000000002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35050</v>
      </c>
      <c r="G195" s="18">
        <f>15884.77+23614.19</f>
        <v>39498.959999999999</v>
      </c>
      <c r="H195" s="18">
        <f>7640.77</f>
        <v>7640.77</v>
      </c>
      <c r="I195" s="18">
        <v>4221.8100000000004</v>
      </c>
      <c r="J195" s="18"/>
      <c r="K195" s="18"/>
      <c r="L195" s="19">
        <f t="shared" si="0"/>
        <v>86411.54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>
        <f>2730.33+20857.7+900+18551.8+27.84+3841.08+100950.21</f>
        <v>147858.96000000002</v>
      </c>
      <c r="I196" s="18">
        <f>13</f>
        <v>13</v>
      </c>
      <c r="J196" s="18"/>
      <c r="K196" s="18">
        <v>3071.19</v>
      </c>
      <c r="L196" s="19">
        <f t="shared" si="0"/>
        <v>150943.15000000002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104449.04</v>
      </c>
      <c r="G197" s="18">
        <v>52615.31</v>
      </c>
      <c r="H197" s="18">
        <v>1504.2</v>
      </c>
      <c r="I197" s="18">
        <v>4773.8100000000004</v>
      </c>
      <c r="J197" s="18"/>
      <c r="K197" s="18">
        <v>244</v>
      </c>
      <c r="L197" s="19">
        <f t="shared" si="0"/>
        <v>163586.35999999999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>
        <v>22970.81</v>
      </c>
      <c r="I198" s="18"/>
      <c r="J198" s="18"/>
      <c r="K198" s="18"/>
      <c r="L198" s="19">
        <f t="shared" si="0"/>
        <v>22970.81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78503.16</v>
      </c>
      <c r="G199" s="18">
        <v>39502.43</v>
      </c>
      <c r="H199" s="18">
        <f>39827.86+14815.89</f>
        <v>54643.75</v>
      </c>
      <c r="I199" s="18">
        <v>92116.25</v>
      </c>
      <c r="J199" s="18">
        <v>11305.64</v>
      </c>
      <c r="K199" s="18"/>
      <c r="L199" s="19">
        <f t="shared" si="0"/>
        <v>276071.23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37463.82</v>
      </c>
      <c r="G200" s="18">
        <v>17400.2</v>
      </c>
      <c r="H200" s="18">
        <v>29878.83</v>
      </c>
      <c r="I200" s="18">
        <v>21613.09</v>
      </c>
      <c r="J200" s="18">
        <v>9160.17</v>
      </c>
      <c r="K200" s="18"/>
      <c r="L200" s="19">
        <f t="shared" si="0"/>
        <v>115516.11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1404309.43</v>
      </c>
      <c r="G203" s="41">
        <f t="shared" si="1"/>
        <v>706144.41</v>
      </c>
      <c r="H203" s="41">
        <f t="shared" si="1"/>
        <v>402913.63000000006</v>
      </c>
      <c r="I203" s="41">
        <f t="shared" si="1"/>
        <v>154115.97</v>
      </c>
      <c r="J203" s="41">
        <f t="shared" si="1"/>
        <v>29666.22</v>
      </c>
      <c r="K203" s="41">
        <f t="shared" si="1"/>
        <v>3801.55</v>
      </c>
      <c r="L203" s="41">
        <f t="shared" si="1"/>
        <v>2700951.21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783168</v>
      </c>
      <c r="I207" s="18"/>
      <c r="J207" s="18"/>
      <c r="K207" s="18"/>
      <c r="L207" s="19">
        <f>SUM(F207:K207)</f>
        <v>783168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>
        <v>59280.52</v>
      </c>
      <c r="I208" s="18"/>
      <c r="J208" s="18"/>
      <c r="K208" s="18"/>
      <c r="L208" s="19">
        <f>SUM(F208:K208)</f>
        <v>59280.52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>
        <v>34244.089999999997</v>
      </c>
      <c r="I214" s="18"/>
      <c r="J214" s="18"/>
      <c r="K214" s="18"/>
      <c r="L214" s="19">
        <f t="shared" si="2"/>
        <v>34244.089999999997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12708.39</v>
      </c>
      <c r="G218" s="18">
        <v>5902.45</v>
      </c>
      <c r="H218" s="18">
        <v>10135.43</v>
      </c>
      <c r="I218" s="18">
        <v>7331.54</v>
      </c>
      <c r="J218" s="18">
        <v>3107.29</v>
      </c>
      <c r="K218" s="18"/>
      <c r="L218" s="19">
        <f t="shared" si="2"/>
        <v>39185.1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12708.39</v>
      </c>
      <c r="G221" s="41">
        <f>SUM(G207:G220)</f>
        <v>5902.45</v>
      </c>
      <c r="H221" s="41">
        <f>SUM(H207:H220)</f>
        <v>886828.04</v>
      </c>
      <c r="I221" s="41">
        <f>SUM(I207:I220)</f>
        <v>7331.54</v>
      </c>
      <c r="J221" s="41">
        <f>SUM(J207:J220)</f>
        <v>3107.29</v>
      </c>
      <c r="K221" s="41">
        <f t="shared" si="3"/>
        <v>0</v>
      </c>
      <c r="L221" s="41">
        <f t="shared" si="3"/>
        <v>915877.71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f>1126992-0.01</f>
        <v>1126991.99</v>
      </c>
      <c r="I225" s="18"/>
      <c r="J225" s="18"/>
      <c r="K225" s="18"/>
      <c r="L225" s="19">
        <f>SUM(F225:K225)</f>
        <v>1126991.99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57634.080000000002</v>
      </c>
      <c r="I226" s="18"/>
      <c r="J226" s="18"/>
      <c r="K226" s="18"/>
      <c r="L226" s="19">
        <f>SUM(F226:K226)</f>
        <v>57634.080000000002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>
        <v>67313.64</v>
      </c>
      <c r="I232" s="18"/>
      <c r="J232" s="18"/>
      <c r="K232" s="18"/>
      <c r="L232" s="19">
        <f t="shared" si="4"/>
        <v>67313.64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24980.89</v>
      </c>
      <c r="G236" s="18">
        <v>11602.46</v>
      </c>
      <c r="H236" s="18">
        <v>19923.22</v>
      </c>
      <c r="I236" s="18">
        <v>14411.62</v>
      </c>
      <c r="J236" s="18">
        <v>6108.01</v>
      </c>
      <c r="K236" s="18"/>
      <c r="L236" s="19">
        <f t="shared" si="4"/>
        <v>77026.2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24980.89</v>
      </c>
      <c r="G239" s="41">
        <f t="shared" si="5"/>
        <v>11602.46</v>
      </c>
      <c r="H239" s="41">
        <f t="shared" si="5"/>
        <v>1271862.93</v>
      </c>
      <c r="I239" s="41">
        <f t="shared" si="5"/>
        <v>14411.62</v>
      </c>
      <c r="J239" s="41">
        <f t="shared" si="5"/>
        <v>6108.01</v>
      </c>
      <c r="K239" s="41">
        <f t="shared" si="5"/>
        <v>0</v>
      </c>
      <c r="L239" s="41">
        <f t="shared" si="5"/>
        <v>1328965.9099999999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1441998.7099999997</v>
      </c>
      <c r="G249" s="41">
        <f t="shared" si="8"/>
        <v>723649.32</v>
      </c>
      <c r="H249" s="41">
        <f t="shared" si="8"/>
        <v>2561604.6</v>
      </c>
      <c r="I249" s="41">
        <f t="shared" si="8"/>
        <v>175859.13</v>
      </c>
      <c r="J249" s="41">
        <f t="shared" si="8"/>
        <v>38881.520000000004</v>
      </c>
      <c r="K249" s="41">
        <f t="shared" si="8"/>
        <v>3801.55</v>
      </c>
      <c r="L249" s="41">
        <f t="shared" si="8"/>
        <v>4945794.83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200000</v>
      </c>
      <c r="L252" s="19">
        <f>SUM(F252:K252)</f>
        <v>200000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5200</v>
      </c>
      <c r="L253" s="19">
        <f>SUM(F253:K253)</f>
        <v>5200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22058.560000000001</v>
      </c>
      <c r="L255" s="19">
        <f>SUM(F255:K255)</f>
        <v>22058.560000000001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84000</v>
      </c>
      <c r="L258" s="19">
        <f t="shared" si="9"/>
        <v>84000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311258.56</v>
      </c>
      <c r="L262" s="41">
        <f t="shared" si="9"/>
        <v>311258.56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1441998.7099999997</v>
      </c>
      <c r="G263" s="42">
        <f t="shared" si="11"/>
        <v>723649.32</v>
      </c>
      <c r="H263" s="42">
        <f t="shared" si="11"/>
        <v>2561604.6</v>
      </c>
      <c r="I263" s="42">
        <f t="shared" si="11"/>
        <v>175859.13</v>
      </c>
      <c r="J263" s="42">
        <f t="shared" si="11"/>
        <v>38881.520000000004</v>
      </c>
      <c r="K263" s="42">
        <f t="shared" si="11"/>
        <v>315060.11</v>
      </c>
      <c r="L263" s="42">
        <f t="shared" si="11"/>
        <v>5257053.3899999997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23616.560000000001</v>
      </c>
      <c r="G268" s="18">
        <v>3239.41</v>
      </c>
      <c r="H268" s="18">
        <v>1959.98</v>
      </c>
      <c r="I268" s="18">
        <f>4643.65+5070.78</f>
        <v>9714.43</v>
      </c>
      <c r="J268" s="18">
        <v>459.09</v>
      </c>
      <c r="K268" s="18"/>
      <c r="L268" s="19">
        <f>SUM(F268:K268)</f>
        <v>38989.47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39893.35</v>
      </c>
      <c r="G269" s="18">
        <v>18443.349999999999</v>
      </c>
      <c r="H269" s="18">
        <v>1919</v>
      </c>
      <c r="I269" s="18">
        <v>118.48</v>
      </c>
      <c r="J269" s="18">
        <v>11807</v>
      </c>
      <c r="K269" s="18"/>
      <c r="L269" s="19">
        <f>SUM(F269:K269)</f>
        <v>72181.179999999993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f>26013.64+48436.98</f>
        <v>74450.62</v>
      </c>
      <c r="G271" s="18">
        <f>2557.16+5425.04</f>
        <v>7982.2</v>
      </c>
      <c r="H271" s="18">
        <v>432.97</v>
      </c>
      <c r="I271" s="18">
        <f>14204.13+1368.04</f>
        <v>15572.169999999998</v>
      </c>
      <c r="J271" s="18">
        <f>3292.41+1000</f>
        <v>4292.41</v>
      </c>
      <c r="K271" s="18"/>
      <c r="L271" s="19">
        <f>SUM(F271:K271)</f>
        <v>102730.37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1113+7395</f>
        <v>8508</v>
      </c>
      <c r="G274" s="18">
        <v>1039.81</v>
      </c>
      <c r="H274" s="18">
        <v>19621.8</v>
      </c>
      <c r="I274" s="18">
        <v>2113.04</v>
      </c>
      <c r="J274" s="18"/>
      <c r="K274" s="18">
        <v>9525.56</v>
      </c>
      <c r="L274" s="19">
        <f t="shared" si="12"/>
        <v>40808.21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935</v>
      </c>
      <c r="G275" s="18">
        <v>155.78</v>
      </c>
      <c r="H275" s="18"/>
      <c r="I275" s="18"/>
      <c r="J275" s="18"/>
      <c r="K275" s="18"/>
      <c r="L275" s="19">
        <f t="shared" si="12"/>
        <v>1090.78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3974.25</v>
      </c>
      <c r="G277" s="18">
        <v>668.06</v>
      </c>
      <c r="H277" s="18"/>
      <c r="I277" s="18"/>
      <c r="J277" s="18"/>
      <c r="K277" s="18"/>
      <c r="L277" s="19">
        <f t="shared" si="12"/>
        <v>4642.3099999999995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v>5342.55</v>
      </c>
      <c r="G279" s="18">
        <v>1110.31</v>
      </c>
      <c r="H279" s="18">
        <f>1850+5733.5+1000</f>
        <v>8583.5</v>
      </c>
      <c r="I279" s="18"/>
      <c r="J279" s="18"/>
      <c r="K279" s="18"/>
      <c r="L279" s="19">
        <f t="shared" si="12"/>
        <v>15036.36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156720.32999999999</v>
      </c>
      <c r="G282" s="42">
        <f>SUM(G268:G281)</f>
        <v>32638.920000000002</v>
      </c>
      <c r="H282" s="42">
        <f t="shared" si="13"/>
        <v>32517.25</v>
      </c>
      <c r="I282" s="42">
        <f t="shared" si="13"/>
        <v>27518.12</v>
      </c>
      <c r="J282" s="42">
        <f t="shared" si="13"/>
        <v>16558.5</v>
      </c>
      <c r="K282" s="42">
        <f t="shared" si="13"/>
        <v>9525.56</v>
      </c>
      <c r="L282" s="41">
        <f t="shared" si="13"/>
        <v>275478.68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156720.32999999999</v>
      </c>
      <c r="G330" s="41">
        <f t="shared" si="20"/>
        <v>32638.920000000002</v>
      </c>
      <c r="H330" s="41">
        <f t="shared" si="20"/>
        <v>32517.25</v>
      </c>
      <c r="I330" s="41">
        <f t="shared" si="20"/>
        <v>27518.12</v>
      </c>
      <c r="J330" s="41">
        <f t="shared" si="20"/>
        <v>16558.5</v>
      </c>
      <c r="K330" s="41">
        <f t="shared" si="20"/>
        <v>9525.56</v>
      </c>
      <c r="L330" s="41">
        <f t="shared" si="20"/>
        <v>275478.68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156720.32999999999</v>
      </c>
      <c r="G344" s="41">
        <f>G330</f>
        <v>32638.920000000002</v>
      </c>
      <c r="H344" s="41">
        <f>H330</f>
        <v>32517.25</v>
      </c>
      <c r="I344" s="41">
        <f>I330</f>
        <v>27518.12</v>
      </c>
      <c r="J344" s="41">
        <f>J330</f>
        <v>16558.5</v>
      </c>
      <c r="K344" s="47">
        <f>K330+K343</f>
        <v>9525.56</v>
      </c>
      <c r="L344" s="41">
        <f>L330+L343</f>
        <v>275478.68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54791.62</v>
      </c>
      <c r="G350" s="18">
        <v>33027.71</v>
      </c>
      <c r="H350" s="18">
        <v>4452.3100000000004</v>
      </c>
      <c r="I350" s="18">
        <v>42792.66</v>
      </c>
      <c r="J350" s="18">
        <v>1362.45</v>
      </c>
      <c r="K350" s="18"/>
      <c r="L350" s="13">
        <f>SUM(F350:K350)</f>
        <v>136426.75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54791.62</v>
      </c>
      <c r="G354" s="47">
        <f t="shared" si="22"/>
        <v>33027.71</v>
      </c>
      <c r="H354" s="47">
        <f t="shared" si="22"/>
        <v>4452.3100000000004</v>
      </c>
      <c r="I354" s="47">
        <f t="shared" si="22"/>
        <v>42792.66</v>
      </c>
      <c r="J354" s="47">
        <f t="shared" si="22"/>
        <v>1362.45</v>
      </c>
      <c r="K354" s="47">
        <f t="shared" si="22"/>
        <v>0</v>
      </c>
      <c r="L354" s="47">
        <f t="shared" si="22"/>
        <v>136426.75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31691.56+6045.45</f>
        <v>37737.01</v>
      </c>
      <c r="G359" s="18"/>
      <c r="H359" s="18"/>
      <c r="I359" s="56">
        <f>SUM(F359:H359)</f>
        <v>37737.01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2721.67+443.32+1890.66</f>
        <v>5055.6500000000005</v>
      </c>
      <c r="G360" s="63"/>
      <c r="H360" s="63"/>
      <c r="I360" s="56">
        <f>SUM(F360:H360)</f>
        <v>5055.6500000000005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42792.66</v>
      </c>
      <c r="G361" s="47">
        <f>SUM(G359:G360)</f>
        <v>0</v>
      </c>
      <c r="H361" s="47">
        <f>SUM(H359:H360)</f>
        <v>0</v>
      </c>
      <c r="I361" s="47">
        <f>SUM(I359:I360)</f>
        <v>42792.66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4"/>
      <c r="G366" s="4"/>
      <c r="H366" s="4"/>
      <c r="I366" s="4"/>
      <c r="J366" s="4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SUM(F350:F373)</f>
        <v>195168.56</v>
      </c>
      <c r="G374" s="139">
        <f>SUM(G350:G373)</f>
        <v>66055.42</v>
      </c>
      <c r="H374" s="139">
        <f>SUM(H350:H373)</f>
        <v>8904.6200000000008</v>
      </c>
      <c r="I374" s="41">
        <f>SUM(I350:I373)</f>
        <v>171170.64</v>
      </c>
      <c r="J374" s="47">
        <f>SUM(J350:J373)</f>
        <v>2724.9</v>
      </c>
      <c r="K374" s="47">
        <f>SUM(K366:K373)</f>
        <v>0</v>
      </c>
      <c r="L374" s="47">
        <f>SUM(L366:L373)</f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4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4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10000</v>
      </c>
      <c r="H381" s="18"/>
      <c r="I381" s="18"/>
      <c r="J381" s="24" t="s">
        <v>312</v>
      </c>
      <c r="K381" s="24" t="s">
        <v>312</v>
      </c>
      <c r="L381" s="56">
        <f t="shared" si="24"/>
        <v>10000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4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4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4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10000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10000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5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20000</v>
      </c>
      <c r="H389" s="18"/>
      <c r="I389" s="18"/>
      <c r="J389" s="24" t="s">
        <v>312</v>
      </c>
      <c r="K389" s="24" t="s">
        <v>312</v>
      </c>
      <c r="L389" s="56">
        <f t="shared" si="25"/>
        <v>20000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5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>
        <v>8000</v>
      </c>
      <c r="H391" s="18"/>
      <c r="I391" s="18"/>
      <c r="J391" s="24" t="s">
        <v>312</v>
      </c>
      <c r="K391" s="24" t="s">
        <v>312</v>
      </c>
      <c r="L391" s="56">
        <f t="shared" si="25"/>
        <v>8000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>
        <v>46000</v>
      </c>
      <c r="H392" s="18"/>
      <c r="I392" s="18"/>
      <c r="J392" s="24" t="s">
        <v>312</v>
      </c>
      <c r="K392" s="24" t="s">
        <v>312</v>
      </c>
      <c r="L392" s="56">
        <f t="shared" si="25"/>
        <v>46000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74000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74000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84000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84000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6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6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>
        <v>7960</v>
      </c>
      <c r="L407" s="56">
        <f t="shared" si="26"/>
        <v>7960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6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6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6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7">SUM(F405:F410)</f>
        <v>0</v>
      </c>
      <c r="G411" s="139">
        <f t="shared" si="27"/>
        <v>0</v>
      </c>
      <c r="H411" s="139">
        <f t="shared" si="27"/>
        <v>0</v>
      </c>
      <c r="I411" s="139">
        <f t="shared" si="27"/>
        <v>0</v>
      </c>
      <c r="J411" s="139">
        <f t="shared" si="27"/>
        <v>0</v>
      </c>
      <c r="K411" s="139">
        <f t="shared" si="27"/>
        <v>7960</v>
      </c>
      <c r="L411" s="47">
        <f t="shared" si="27"/>
        <v>7960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8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8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8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8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8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8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29">SUM(F413:F418)</f>
        <v>0</v>
      </c>
      <c r="G419" s="47">
        <f t="shared" si="29"/>
        <v>0</v>
      </c>
      <c r="H419" s="47">
        <f t="shared" si="29"/>
        <v>0</v>
      </c>
      <c r="I419" s="47">
        <f t="shared" si="29"/>
        <v>0</v>
      </c>
      <c r="J419" s="47">
        <f t="shared" si="29"/>
        <v>0</v>
      </c>
      <c r="K419" s="47">
        <f t="shared" si="29"/>
        <v>0</v>
      </c>
      <c r="L419" s="47">
        <f t="shared" si="29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0">SUM(F421:F424)</f>
        <v>0</v>
      </c>
      <c r="G425" s="47">
        <f t="shared" si="30"/>
        <v>0</v>
      </c>
      <c r="H425" s="47">
        <f t="shared" si="30"/>
        <v>0</v>
      </c>
      <c r="I425" s="47">
        <f t="shared" si="30"/>
        <v>0</v>
      </c>
      <c r="J425" s="47">
        <f t="shared" si="30"/>
        <v>0</v>
      </c>
      <c r="K425" s="47">
        <f t="shared" si="30"/>
        <v>0</v>
      </c>
      <c r="L425" s="47">
        <f t="shared" si="30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1">F411+F419+F425</f>
        <v>0</v>
      </c>
      <c r="G426" s="47">
        <f t="shared" si="31"/>
        <v>0</v>
      </c>
      <c r="H426" s="47">
        <f t="shared" si="31"/>
        <v>0</v>
      </c>
      <c r="I426" s="47">
        <f t="shared" si="31"/>
        <v>0</v>
      </c>
      <c r="J426" s="47">
        <f t="shared" si="31"/>
        <v>0</v>
      </c>
      <c r="K426" s="47">
        <f t="shared" si="31"/>
        <v>7960</v>
      </c>
      <c r="L426" s="47">
        <f t="shared" si="31"/>
        <v>7960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2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>
        <v>105317.85</v>
      </c>
      <c r="I432" s="56">
        <f t="shared" si="32"/>
        <v>105317.85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2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2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2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2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2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0</v>
      </c>
      <c r="H438" s="13">
        <f>SUM(H431:H437)</f>
        <v>105317.85</v>
      </c>
      <c r="I438" s="13">
        <f>SUM(I431:I437)</f>
        <v>105317.85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>
        <v>105317.85</v>
      </c>
      <c r="I449" s="56">
        <f>SUM(F449:H449)</f>
        <v>105317.85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0</v>
      </c>
      <c r="H450" s="83">
        <f>SUM(H446:H449)</f>
        <v>105317.85</v>
      </c>
      <c r="I450" s="83">
        <f>SUM(I446:I449)</f>
        <v>105317.85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0</v>
      </c>
      <c r="H451" s="42">
        <f>H444+H450</f>
        <v>105317.85</v>
      </c>
      <c r="I451" s="42">
        <f>I444+I450</f>
        <v>105317.85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161960.18</v>
      </c>
      <c r="G455" s="18">
        <v>0</v>
      </c>
      <c r="H455" s="18">
        <v>87596.94</v>
      </c>
      <c r="I455" s="18">
        <v>0</v>
      </c>
      <c r="J455" s="18">
        <v>21317.85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5209573.24</v>
      </c>
      <c r="G458" s="18">
        <v>136419.68</v>
      </c>
      <c r="H458" s="18">
        <v>224946.28</v>
      </c>
      <c r="I458" s="18"/>
      <c r="J458" s="18">
        <v>84000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>
        <v>7.07</v>
      </c>
      <c r="H459" s="18"/>
      <c r="I459" s="18"/>
      <c r="J459" s="18">
        <v>7960</v>
      </c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5209573.24</v>
      </c>
      <c r="G460" s="53">
        <f>SUM(G458:G459)</f>
        <v>136426.75</v>
      </c>
      <c r="H460" s="53">
        <f>SUM(H458:H459)</f>
        <v>224946.28</v>
      </c>
      <c r="I460" s="53">
        <f>SUM(I458:I459)</f>
        <v>0</v>
      </c>
      <c r="J460" s="53">
        <f>SUM(J458:J459)</f>
        <v>91960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5257053.3899999997</v>
      </c>
      <c r="G462" s="18">
        <v>136426.75</v>
      </c>
      <c r="H462" s="18">
        <v>275478.68</v>
      </c>
      <c r="I462" s="18"/>
      <c r="J462" s="18">
        <v>7960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5257053.3899999997</v>
      </c>
      <c r="G464" s="53">
        <f>SUM(G462:G463)</f>
        <v>136426.75</v>
      </c>
      <c r="H464" s="53">
        <f>SUM(H462:H463)</f>
        <v>275478.68</v>
      </c>
      <c r="I464" s="53">
        <f>SUM(I462:I463)</f>
        <v>0</v>
      </c>
      <c r="J464" s="53">
        <f>SUM(J462:J463)</f>
        <v>7960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114480.03000000026</v>
      </c>
      <c r="G466" s="53">
        <f>(G455+G460)- G464</f>
        <v>0</v>
      </c>
      <c r="H466" s="53">
        <f>(H455+H460)- H464</f>
        <v>37064.539999999979</v>
      </c>
      <c r="I466" s="53">
        <f>(I455+I460)- I464</f>
        <v>0</v>
      </c>
      <c r="J466" s="53">
        <f>(J455+J460)- J464</f>
        <v>105317.85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896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894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2000000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271" t="s">
        <v>895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400000</v>
      </c>
      <c r="G485" s="18"/>
      <c r="H485" s="18"/>
      <c r="I485" s="18"/>
      <c r="J485" s="18"/>
      <c r="K485" s="53">
        <f>SUM(F485:J485)</f>
        <v>400000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3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200000</v>
      </c>
      <c r="G487" s="18"/>
      <c r="H487" s="18"/>
      <c r="I487" s="18"/>
      <c r="J487" s="18"/>
      <c r="K487" s="53">
        <f t="shared" si="33"/>
        <v>200000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0</v>
      </c>
      <c r="G488" s="205"/>
      <c r="H488" s="205"/>
      <c r="I488" s="205"/>
      <c r="J488" s="205"/>
      <c r="K488" s="206">
        <f t="shared" si="33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0</v>
      </c>
      <c r="G489" s="18"/>
      <c r="H489" s="18"/>
      <c r="I489" s="18"/>
      <c r="J489" s="18"/>
      <c r="K489" s="53">
        <f t="shared" si="33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3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3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3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3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208220.71</v>
      </c>
      <c r="G511" s="18">
        <v>126988.39</v>
      </c>
      <c r="H511" s="18">
        <f>47605.79+12516.44+20186.86</f>
        <v>80309.09</v>
      </c>
      <c r="I511" s="18">
        <v>398.8</v>
      </c>
      <c r="J511" s="18"/>
      <c r="K511" s="18"/>
      <c r="L511" s="88">
        <f>SUM(F511:K511)</f>
        <v>415916.98999999993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>
        <v>59280.52</v>
      </c>
      <c r="I512" s="18"/>
      <c r="J512" s="18"/>
      <c r="K512" s="18"/>
      <c r="L512" s="88">
        <f>SUM(F512:K512)</f>
        <v>59280.52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57634.080000000002</v>
      </c>
      <c r="I513" s="18"/>
      <c r="J513" s="18"/>
      <c r="K513" s="18"/>
      <c r="L513" s="88">
        <f>SUM(F513:K513)</f>
        <v>57634.080000000002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208220.71</v>
      </c>
      <c r="G514" s="108">
        <f t="shared" ref="G514:L514" si="34">SUM(G511:G513)</f>
        <v>126988.39</v>
      </c>
      <c r="H514" s="108">
        <f t="shared" si="34"/>
        <v>197223.69</v>
      </c>
      <c r="I514" s="108">
        <f t="shared" si="34"/>
        <v>398.8</v>
      </c>
      <c r="J514" s="108">
        <f t="shared" si="34"/>
        <v>0</v>
      </c>
      <c r="K514" s="108">
        <f t="shared" si="34"/>
        <v>0</v>
      </c>
      <c r="L514" s="89">
        <f t="shared" si="34"/>
        <v>532831.59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50184</v>
      </c>
      <c r="G516" s="18">
        <f>19438.98+3638.31+1646.47+130.7+188.7</f>
        <v>25043.160000000003</v>
      </c>
      <c r="H516" s="18">
        <v>38055</v>
      </c>
      <c r="I516" s="18">
        <v>698.3</v>
      </c>
      <c r="J516" s="18"/>
      <c r="K516" s="18"/>
      <c r="L516" s="88">
        <f>SUM(F516:K516)</f>
        <v>113980.46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50184</v>
      </c>
      <c r="G519" s="89">
        <f t="shared" ref="G519:L519" si="35">SUM(G516:G518)</f>
        <v>25043.160000000003</v>
      </c>
      <c r="H519" s="89">
        <f t="shared" si="35"/>
        <v>38055</v>
      </c>
      <c r="I519" s="89">
        <f t="shared" si="35"/>
        <v>698.3</v>
      </c>
      <c r="J519" s="89">
        <f t="shared" si="35"/>
        <v>0</v>
      </c>
      <c r="K519" s="89">
        <f t="shared" si="35"/>
        <v>0</v>
      </c>
      <c r="L519" s="89">
        <f t="shared" si="35"/>
        <v>113980.46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49629.2</v>
      </c>
      <c r="G521" s="18">
        <v>25918.3</v>
      </c>
      <c r="H521" s="18"/>
      <c r="I521" s="18"/>
      <c r="J521" s="18"/>
      <c r="K521" s="18"/>
      <c r="L521" s="88">
        <f>SUM(F521:K521)</f>
        <v>75547.5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16821.77</v>
      </c>
      <c r="G522" s="18">
        <v>8784.98</v>
      </c>
      <c r="H522" s="18"/>
      <c r="I522" s="18"/>
      <c r="J522" s="18"/>
      <c r="K522" s="18"/>
      <c r="L522" s="88">
        <f>SUM(F522:K522)</f>
        <v>25606.75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33086.129999999997</v>
      </c>
      <c r="G523" s="18">
        <v>17278.87</v>
      </c>
      <c r="H523" s="18"/>
      <c r="I523" s="18"/>
      <c r="J523" s="18"/>
      <c r="K523" s="18"/>
      <c r="L523" s="88">
        <f>SUM(F523:K523)</f>
        <v>50365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99537.1</v>
      </c>
      <c r="G524" s="89">
        <f t="shared" ref="G524:L524" si="36">SUM(G521:G523)</f>
        <v>51982.149999999994</v>
      </c>
      <c r="H524" s="89">
        <f t="shared" si="36"/>
        <v>0</v>
      </c>
      <c r="I524" s="89">
        <f t="shared" si="36"/>
        <v>0</v>
      </c>
      <c r="J524" s="89">
        <f t="shared" si="36"/>
        <v>0</v>
      </c>
      <c r="K524" s="89">
        <f t="shared" si="36"/>
        <v>0</v>
      </c>
      <c r="L524" s="89">
        <f t="shared" si="36"/>
        <v>151519.25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13050.61</v>
      </c>
      <c r="I531" s="18"/>
      <c r="J531" s="18"/>
      <c r="K531" s="18"/>
      <c r="L531" s="88">
        <f>SUM(F531:K531)</f>
        <v>13050.61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4427</v>
      </c>
      <c r="I532" s="18"/>
      <c r="J532" s="18"/>
      <c r="K532" s="18"/>
      <c r="L532" s="88">
        <f>SUM(F532:K532)</f>
        <v>4427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8702.15</v>
      </c>
      <c r="I533" s="18"/>
      <c r="J533" s="18"/>
      <c r="K533" s="18"/>
      <c r="L533" s="88">
        <f>SUM(F533:K533)</f>
        <v>8702.15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8">SUM(G531:G533)</f>
        <v>0</v>
      </c>
      <c r="H534" s="194">
        <f t="shared" si="38"/>
        <v>26179.760000000002</v>
      </c>
      <c r="I534" s="194">
        <f t="shared" si="38"/>
        <v>0</v>
      </c>
      <c r="J534" s="194">
        <f t="shared" si="38"/>
        <v>0</v>
      </c>
      <c r="K534" s="194">
        <f t="shared" si="38"/>
        <v>0</v>
      </c>
      <c r="L534" s="194">
        <f t="shared" si="38"/>
        <v>26179.760000000002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357941.81</v>
      </c>
      <c r="G535" s="89">
        <f t="shared" ref="G535:L535" si="39">G514+G519+G524+G529+G534</f>
        <v>204013.69999999998</v>
      </c>
      <c r="H535" s="89">
        <f t="shared" si="39"/>
        <v>261458.45</v>
      </c>
      <c r="I535" s="89">
        <f t="shared" si="39"/>
        <v>1097.0999999999999</v>
      </c>
      <c r="J535" s="89">
        <f t="shared" si="39"/>
        <v>0</v>
      </c>
      <c r="K535" s="89">
        <f t="shared" si="39"/>
        <v>0</v>
      </c>
      <c r="L535" s="89">
        <f t="shared" si="39"/>
        <v>824511.05999999994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415916.98999999993</v>
      </c>
      <c r="G539" s="87">
        <f>L516</f>
        <v>113980.46</v>
      </c>
      <c r="H539" s="87">
        <f>L521</f>
        <v>75547.5</v>
      </c>
      <c r="I539" s="87">
        <f>L526</f>
        <v>0</v>
      </c>
      <c r="J539" s="87">
        <f>L531</f>
        <v>13050.61</v>
      </c>
      <c r="K539" s="87">
        <f>SUM(F539:J539)</f>
        <v>618495.55999999994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59280.52</v>
      </c>
      <c r="G540" s="87">
        <f>L517</f>
        <v>0</v>
      </c>
      <c r="H540" s="87">
        <f>L522</f>
        <v>25606.75</v>
      </c>
      <c r="I540" s="87">
        <f>L527</f>
        <v>0</v>
      </c>
      <c r="J540" s="87">
        <f>L532</f>
        <v>4427</v>
      </c>
      <c r="K540" s="87">
        <f>SUM(F540:J540)</f>
        <v>89314.26999999999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57634.080000000002</v>
      </c>
      <c r="G541" s="87">
        <f>L518</f>
        <v>0</v>
      </c>
      <c r="H541" s="87">
        <f>L523</f>
        <v>50365</v>
      </c>
      <c r="I541" s="87">
        <f>L528</f>
        <v>0</v>
      </c>
      <c r="J541" s="87">
        <f>L533</f>
        <v>8702.15</v>
      </c>
      <c r="K541" s="87">
        <f>SUM(F541:J541)</f>
        <v>116701.23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0">SUM(F539:F541)</f>
        <v>532831.59</v>
      </c>
      <c r="G542" s="89">
        <f t="shared" si="40"/>
        <v>113980.46</v>
      </c>
      <c r="H542" s="89">
        <f t="shared" si="40"/>
        <v>151519.25</v>
      </c>
      <c r="I542" s="89">
        <f t="shared" si="40"/>
        <v>0</v>
      </c>
      <c r="J542" s="89">
        <f t="shared" si="40"/>
        <v>26179.760000000002</v>
      </c>
      <c r="K542" s="89">
        <f t="shared" si="40"/>
        <v>824511.05999999994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1">SUM(F547:F549)</f>
        <v>0</v>
      </c>
      <c r="G550" s="108">
        <f t="shared" si="41"/>
        <v>0</v>
      </c>
      <c r="H550" s="108">
        <f t="shared" si="41"/>
        <v>0</v>
      </c>
      <c r="I550" s="108">
        <f t="shared" si="41"/>
        <v>0</v>
      </c>
      <c r="J550" s="108">
        <f t="shared" si="41"/>
        <v>0</v>
      </c>
      <c r="K550" s="108">
        <f t="shared" si="41"/>
        <v>0</v>
      </c>
      <c r="L550" s="89">
        <f t="shared" si="41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2">SUM(F552:F554)</f>
        <v>0</v>
      </c>
      <c r="G555" s="89">
        <f t="shared" si="42"/>
        <v>0</v>
      </c>
      <c r="H555" s="89">
        <f t="shared" si="42"/>
        <v>0</v>
      </c>
      <c r="I555" s="89">
        <f t="shared" si="42"/>
        <v>0</v>
      </c>
      <c r="J555" s="89">
        <f t="shared" si="42"/>
        <v>0</v>
      </c>
      <c r="K555" s="89">
        <f t="shared" si="42"/>
        <v>0</v>
      </c>
      <c r="L555" s="89">
        <f t="shared" si="42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3">SUM(G557:G559)</f>
        <v>0</v>
      </c>
      <c r="H560" s="194">
        <f t="shared" si="43"/>
        <v>0</v>
      </c>
      <c r="I560" s="194">
        <f t="shared" si="43"/>
        <v>0</v>
      </c>
      <c r="J560" s="194">
        <f t="shared" si="43"/>
        <v>0</v>
      </c>
      <c r="K560" s="194">
        <f t="shared" si="43"/>
        <v>0</v>
      </c>
      <c r="L560" s="194">
        <f t="shared" si="43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4">G550+G555+G560</f>
        <v>0</v>
      </c>
      <c r="H561" s="89">
        <f t="shared" si="44"/>
        <v>0</v>
      </c>
      <c r="I561" s="89">
        <f t="shared" si="44"/>
        <v>0</v>
      </c>
      <c r="J561" s="89">
        <f t="shared" si="44"/>
        <v>0</v>
      </c>
      <c r="K561" s="89">
        <f t="shared" si="44"/>
        <v>0</v>
      </c>
      <c r="L561" s="89">
        <f t="shared" si="44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12516.44</v>
      </c>
      <c r="G565" s="18">
        <v>783168</v>
      </c>
      <c r="H565" s="18">
        <f>1126992-0.01</f>
        <v>1126991.99</v>
      </c>
      <c r="I565" s="87">
        <f>SUM(F565:H565)</f>
        <v>1922676.43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5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5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5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>
        <v>26390.52</v>
      </c>
      <c r="H569" s="18"/>
      <c r="I569" s="87">
        <f t="shared" si="45"/>
        <v>26390.52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>
        <v>32890</v>
      </c>
      <c r="H570" s="18"/>
      <c r="I570" s="87">
        <f t="shared" si="45"/>
        <v>32890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5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20186.86</v>
      </c>
      <c r="G572" s="18"/>
      <c r="H572" s="18">
        <v>57634.080000000002</v>
      </c>
      <c r="I572" s="87">
        <f t="shared" si="45"/>
        <v>77820.94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5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5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5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5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5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54502.6+47449.7</f>
        <v>101952.29999999999</v>
      </c>
      <c r="I581" s="18">
        <f>18488.25+16095.78-0.01</f>
        <v>34584.019999999997</v>
      </c>
      <c r="J581" s="18">
        <f>36342.36+31639.48</f>
        <v>67981.84</v>
      </c>
      <c r="K581" s="104">
        <f t="shared" ref="K581:K587" si="46">SUM(H581:J581)</f>
        <v>204518.15999999997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13050.61</v>
      </c>
      <c r="I582" s="18">
        <v>4427</v>
      </c>
      <c r="J582" s="18">
        <v>8702.15</v>
      </c>
      <c r="K582" s="104">
        <f t="shared" si="46"/>
        <v>26179.760000000002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6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6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513.20000000000005</v>
      </c>
      <c r="I585" s="18">
        <v>174.08</v>
      </c>
      <c r="J585" s="18">
        <v>342.21</v>
      </c>
      <c r="K585" s="104">
        <f t="shared" si="46"/>
        <v>1029.49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6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6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115516.10999999999</v>
      </c>
      <c r="I588" s="108">
        <f>SUM(I581:I587)</f>
        <v>39185.1</v>
      </c>
      <c r="J588" s="108">
        <f>SUM(J581:J587)</f>
        <v>77026.2</v>
      </c>
      <c r="K588" s="108">
        <f>SUM(K581:K587)</f>
        <v>231727.40999999997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55440.02</v>
      </c>
      <c r="I594" s="18"/>
      <c r="J594" s="18"/>
      <c r="K594" s="104">
        <f>SUM(H594:J594)</f>
        <v>55440.02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55440.02</v>
      </c>
      <c r="I595" s="108">
        <f>SUM(I592:I594)</f>
        <v>0</v>
      </c>
      <c r="J595" s="108">
        <f>SUM(J592:J594)</f>
        <v>0</v>
      </c>
      <c r="K595" s="108">
        <f>SUM(K592:K594)</f>
        <v>55440.02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7">SUM(F601:F603)</f>
        <v>0</v>
      </c>
      <c r="G604" s="108">
        <f t="shared" si="47"/>
        <v>0</v>
      </c>
      <c r="H604" s="108">
        <f t="shared" si="47"/>
        <v>0</v>
      </c>
      <c r="I604" s="108">
        <f t="shared" si="47"/>
        <v>0</v>
      </c>
      <c r="J604" s="108">
        <f t="shared" si="47"/>
        <v>0</v>
      </c>
      <c r="K604" s="108">
        <f t="shared" si="47"/>
        <v>0</v>
      </c>
      <c r="L604" s="89">
        <f t="shared" si="47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222041.30999999997</v>
      </c>
      <c r="H607" s="109">
        <f>SUM(F44)</f>
        <v>222041.31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7904.86</v>
      </c>
      <c r="H608" s="109">
        <f>SUM(G44)</f>
        <v>7904.86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76419.350000000006</v>
      </c>
      <c r="H609" s="109">
        <f>SUM(H44)</f>
        <v>76419.350000000006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105317.85</v>
      </c>
      <c r="H611" s="109">
        <f>SUM(J44)</f>
        <v>105317.85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114480.03</v>
      </c>
      <c r="H612" s="109">
        <f>F466</f>
        <v>114480.03000000026</v>
      </c>
      <c r="I612" s="121" t="s">
        <v>106</v>
      </c>
      <c r="J612" s="109">
        <f t="shared" ref="J612:J645" si="48">G612-H612</f>
        <v>-2.6193447411060333E-10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8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37064.54</v>
      </c>
      <c r="H614" s="109">
        <f>H466</f>
        <v>37064.539999999979</v>
      </c>
      <c r="I614" s="121" t="s">
        <v>110</v>
      </c>
      <c r="J614" s="109">
        <f t="shared" si="48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8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105317.85</v>
      </c>
      <c r="H616" s="109">
        <f>J466</f>
        <v>105317.85</v>
      </c>
      <c r="I616" s="140" t="s">
        <v>114</v>
      </c>
      <c r="J616" s="109">
        <f t="shared" si="48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5209573.24</v>
      </c>
      <c r="H617" s="104">
        <f>SUM(F458)</f>
        <v>5209573.24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136419.68</v>
      </c>
      <c r="H618" s="104">
        <f>SUM(G458)</f>
        <v>136419.68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224946.27999999997</v>
      </c>
      <c r="H619" s="104">
        <f>SUM(H458)</f>
        <v>224946.28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84000</v>
      </c>
      <c r="H621" s="104">
        <f>SUM(J458)</f>
        <v>84000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5257053.3899999997</v>
      </c>
      <c r="H622" s="104">
        <f>SUM(F462)</f>
        <v>5257053.3899999997</v>
      </c>
      <c r="I622" s="140" t="s">
        <v>120</v>
      </c>
      <c r="J622" s="109">
        <f t="shared" si="48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275478.68</v>
      </c>
      <c r="H623" s="104">
        <f>SUM(H462)</f>
        <v>275478.68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42792.66</v>
      </c>
      <c r="H624" s="104">
        <f>I361</f>
        <v>42792.66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136426.75</v>
      </c>
      <c r="H625" s="104">
        <f>SUM(G462)</f>
        <v>136426.75</v>
      </c>
      <c r="I625" s="140" t="s">
        <v>123</v>
      </c>
      <c r="J625" s="109">
        <f t="shared" si="48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8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84000</v>
      </c>
      <c r="H627" s="164">
        <f>SUM(J458)</f>
        <v>84000</v>
      </c>
      <c r="I627" s="165" t="s">
        <v>119</v>
      </c>
      <c r="J627" s="151">
        <f t="shared" si="48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7960</v>
      </c>
      <c r="H628" s="164">
        <f>SUM(J462)</f>
        <v>7960</v>
      </c>
      <c r="I628" s="165" t="s">
        <v>126</v>
      </c>
      <c r="J628" s="151">
        <f t="shared" si="48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8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8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105317.85</v>
      </c>
      <c r="H631" s="104">
        <f>SUM(H451)</f>
        <v>105317.85</v>
      </c>
      <c r="I631" s="140" t="s">
        <v>132</v>
      </c>
      <c r="J631" s="109">
        <f t="shared" si="48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105317.85</v>
      </c>
      <c r="H632" s="104">
        <f>SUM(I451)</f>
        <v>105317.85</v>
      </c>
      <c r="I632" s="140" t="s">
        <v>134</v>
      </c>
      <c r="J632" s="109">
        <f t="shared" si="48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8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8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84000</v>
      </c>
      <c r="H635" s="104">
        <f>G400</f>
        <v>84000</v>
      </c>
      <c r="I635" s="140" t="s">
        <v>505</v>
      </c>
      <c r="J635" s="109">
        <f t="shared" si="48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84000</v>
      </c>
      <c r="H636" s="104">
        <f>L400</f>
        <v>84000</v>
      </c>
      <c r="I636" s="140" t="s">
        <v>501</v>
      </c>
      <c r="J636" s="109">
        <f t="shared" si="48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231727.40999999997</v>
      </c>
      <c r="H637" s="104">
        <f>L200+L218+L236</f>
        <v>231727.40999999997</v>
      </c>
      <c r="I637" s="140" t="s">
        <v>420</v>
      </c>
      <c r="J637" s="109">
        <f t="shared" si="48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55440.02</v>
      </c>
      <c r="H638" s="104">
        <f>(J249+J330)-(J247+J328)</f>
        <v>55440.020000000004</v>
      </c>
      <c r="I638" s="140" t="s">
        <v>734</v>
      </c>
      <c r="J638" s="109">
        <f t="shared" si="48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115516.11</v>
      </c>
      <c r="H639" s="104">
        <f>H588</f>
        <v>115516.10999999999</v>
      </c>
      <c r="I639" s="140" t="s">
        <v>412</v>
      </c>
      <c r="J639" s="109">
        <f t="shared" si="48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39185.1</v>
      </c>
      <c r="H640" s="104">
        <f>I588</f>
        <v>39185.1</v>
      </c>
      <c r="I640" s="140" t="s">
        <v>413</v>
      </c>
      <c r="J640" s="109">
        <f t="shared" si="48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77026.2</v>
      </c>
      <c r="H641" s="104">
        <f>J588</f>
        <v>77026.2</v>
      </c>
      <c r="I641" s="140" t="s">
        <v>414</v>
      </c>
      <c r="J641" s="109">
        <f t="shared" si="48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22058.560000000001</v>
      </c>
      <c r="H642" s="104">
        <f>K255+K337</f>
        <v>22058.560000000001</v>
      </c>
      <c r="I642" s="140" t="s">
        <v>421</v>
      </c>
      <c r="J642" s="109">
        <f t="shared" si="48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8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8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84000</v>
      </c>
      <c r="H645" s="104">
        <f>K258+K339</f>
        <v>84000</v>
      </c>
      <c r="I645" s="140" t="s">
        <v>424</v>
      </c>
      <c r="J645" s="109">
        <f t="shared" si="48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3112856.64</v>
      </c>
      <c r="G650" s="19">
        <f>(L221+L301+L351)</f>
        <v>915877.71</v>
      </c>
      <c r="H650" s="19">
        <f>(L239+L320+L352)</f>
        <v>1328965.9099999999</v>
      </c>
      <c r="I650" s="19">
        <f>SUM(F650:H650)</f>
        <v>5357700.26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62419.34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62419.34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121392.3</v>
      </c>
      <c r="G652" s="19">
        <f>(L218+L298)-(J218+J298)</f>
        <v>36077.81</v>
      </c>
      <c r="H652" s="19">
        <f>(L236+L317)-(J236+J317)</f>
        <v>70918.19</v>
      </c>
      <c r="I652" s="19">
        <f>SUM(F652:H652)</f>
        <v>228388.3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88143.32</v>
      </c>
      <c r="G653" s="200">
        <f>SUM(G565:G577)+SUM(I592:I594)+L602</f>
        <v>842448.52</v>
      </c>
      <c r="H653" s="200">
        <f>SUM(H565:H577)+SUM(J592:J594)+L603</f>
        <v>1184626.07</v>
      </c>
      <c r="I653" s="19">
        <f>SUM(F653:H653)</f>
        <v>2115217.91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2840901.68</v>
      </c>
      <c r="G654" s="19">
        <f>G650-SUM(G651:G653)</f>
        <v>37351.379999999888</v>
      </c>
      <c r="H654" s="19">
        <f>H650-SUM(H651:H653)</f>
        <v>73421.649999999907</v>
      </c>
      <c r="I654" s="19">
        <f>I650-SUM(I651:I653)</f>
        <v>2951674.7099999995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167.36</v>
      </c>
      <c r="G655" s="249"/>
      <c r="H655" s="249"/>
      <c r="I655" s="19">
        <f>SUM(F655:H655)</f>
        <v>167.36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16974.79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17636.68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>
        <v>-37351.379999999997</v>
      </c>
      <c r="H659" s="18">
        <v>-73421.649999999994</v>
      </c>
      <c r="I659" s="19">
        <f>SUM(F659:H659)</f>
        <v>-110773.03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16974.79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16974.79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45E5-2E36-4C85-8E23-07E3C85256BF}">
  <sheetPr>
    <tabColor indexed="20"/>
  </sheetPr>
  <dimension ref="A1:C52"/>
  <sheetViews>
    <sheetView workbookViewId="0">
      <selection activeCell="B12" sqref="B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Madison</v>
      </c>
      <c r="C1" s="239" t="s">
        <v>870</v>
      </c>
    </row>
    <row r="2" spans="1:3" x14ac:dyDescent="0.2">
      <c r="A2" s="234"/>
      <c r="B2" s="233"/>
    </row>
    <row r="3" spans="1:3" x14ac:dyDescent="0.2">
      <c r="A3" s="275" t="s">
        <v>815</v>
      </c>
      <c r="B3" s="275"/>
      <c r="C3" s="275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814</v>
      </c>
      <c r="C6" s="274"/>
    </row>
    <row r="7" spans="1:3" x14ac:dyDescent="0.2">
      <c r="A7" s="240" t="s">
        <v>817</v>
      </c>
      <c r="B7" s="272" t="s">
        <v>813</v>
      </c>
      <c r="C7" s="273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830002.26</v>
      </c>
      <c r="C9" s="230">
        <f>'DOE25'!G189+'DOE25'!G207+'DOE25'!G225+'DOE25'!G268+'DOE25'!G287+'DOE25'!G306</f>
        <v>370586.14999999997</v>
      </c>
    </row>
    <row r="10" spans="1:3" x14ac:dyDescent="0.2">
      <c r="A10" t="s">
        <v>810</v>
      </c>
      <c r="B10" s="241">
        <f>13092+20425.6+36595+637588.25</f>
        <v>707700.85</v>
      </c>
      <c r="C10" s="241">
        <f>236065.47+58551.3+66471.33+3084.49+2174.15</f>
        <v>366346.74000000005</v>
      </c>
    </row>
    <row r="11" spans="1:3" x14ac:dyDescent="0.2">
      <c r="A11" t="s">
        <v>811</v>
      </c>
      <c r="B11" s="241">
        <f>75150.79+2998+20216.56</f>
        <v>98365.349999999991</v>
      </c>
      <c r="C11" s="241">
        <v>4239.41</v>
      </c>
    </row>
    <row r="12" spans="1:3" x14ac:dyDescent="0.2">
      <c r="A12" t="s">
        <v>812</v>
      </c>
      <c r="B12" s="241">
        <f>22821.23+712.83+402</f>
        <v>23936.06</v>
      </c>
      <c r="C12" s="241">
        <v>0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830002.26</v>
      </c>
      <c r="C13" s="232">
        <f>SUM(C10:C12)</f>
        <v>370586.15</v>
      </c>
    </row>
    <row r="14" spans="1:3" x14ac:dyDescent="0.2">
      <c r="B14" s="231"/>
      <c r="C14" s="231"/>
    </row>
    <row r="15" spans="1:3" x14ac:dyDescent="0.2">
      <c r="B15" s="274" t="s">
        <v>814</v>
      </c>
      <c r="C15" s="274"/>
    </row>
    <row r="16" spans="1:3" x14ac:dyDescent="0.2">
      <c r="A16" s="240" t="s">
        <v>818</v>
      </c>
      <c r="B16" s="272" t="s">
        <v>738</v>
      </c>
      <c r="C16" s="273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'DOE25'!F190+'DOE25'!F208+'DOE25'!F226+'DOE25'!G268+'DOE25'!F288+'DOE25'!F307</f>
        <v>211460.12</v>
      </c>
      <c r="C18" s="230">
        <f>'DOE25'!G190+'DOE25'!G208+'DOE25'!G226+'DOE25'!G269+'DOE25'!G288+'DOE25'!G307</f>
        <v>145431.74</v>
      </c>
    </row>
    <row r="19" spans="1:3" x14ac:dyDescent="0.2">
      <c r="A19" t="s">
        <v>810</v>
      </c>
      <c r="B19" s="241">
        <f>119304+3239.41</f>
        <v>122543.41</v>
      </c>
      <c r="C19" s="241">
        <f>105872.68+15107.8+4142.16+1110.95+754.8+3840+9358.79+2814.48+190.84+222.24+1664.56+176.44+64+112</f>
        <v>145431.74</v>
      </c>
    </row>
    <row r="20" spans="1:3" x14ac:dyDescent="0.2">
      <c r="A20" t="s">
        <v>811</v>
      </c>
      <c r="B20" s="241">
        <f>80259.37+8657.34</f>
        <v>88916.709999999992</v>
      </c>
      <c r="C20" s="241">
        <v>0</v>
      </c>
    </row>
    <row r="21" spans="1:3" x14ac:dyDescent="0.2">
      <c r="A21" t="s">
        <v>812</v>
      </c>
      <c r="B21" s="241">
        <v>0</v>
      </c>
      <c r="C21" s="241">
        <v>0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211460.12</v>
      </c>
      <c r="C22" s="232">
        <f>SUM(C19:C21)</f>
        <v>145431.74</v>
      </c>
    </row>
    <row r="23" spans="1:3" x14ac:dyDescent="0.2">
      <c r="B23" s="231"/>
      <c r="C23" s="231"/>
    </row>
    <row r="24" spans="1:3" x14ac:dyDescent="0.2">
      <c r="B24" s="274" t="s">
        <v>814</v>
      </c>
      <c r="C24" s="274"/>
    </row>
    <row r="25" spans="1:3" x14ac:dyDescent="0.2">
      <c r="A25" s="240" t="s">
        <v>819</v>
      </c>
      <c r="B25" s="272" t="s">
        <v>739</v>
      </c>
      <c r="C25" s="273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>
        <v>0</v>
      </c>
      <c r="C28" s="241"/>
    </row>
    <row r="29" spans="1:3" x14ac:dyDescent="0.2">
      <c r="A29" t="s">
        <v>811</v>
      </c>
      <c r="B29" s="241">
        <v>0</v>
      </c>
      <c r="C29" s="241"/>
    </row>
    <row r="30" spans="1:3" x14ac:dyDescent="0.2">
      <c r="A30" t="s">
        <v>812</v>
      </c>
      <c r="B30" s="241">
        <v>0</v>
      </c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4" t="s">
        <v>814</v>
      </c>
      <c r="C33" s="274"/>
    </row>
    <row r="34" spans="1:3" x14ac:dyDescent="0.2">
      <c r="A34" s="240" t="s">
        <v>820</v>
      </c>
      <c r="B34" s="272" t="s">
        <v>740</v>
      </c>
      <c r="C34" s="273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76650.62</v>
      </c>
      <c r="C36" s="236">
        <f>'DOE25'!G192+'DOE25'!G210+'DOE25'!G228+'DOE25'!G271+'DOE25'!G290+'DOE25'!G309</f>
        <v>8221.17</v>
      </c>
    </row>
    <row r="37" spans="1:3" x14ac:dyDescent="0.2">
      <c r="A37" t="s">
        <v>810</v>
      </c>
      <c r="B37" s="241">
        <f>2200+26013.64+48436.98</f>
        <v>76650.62</v>
      </c>
      <c r="C37" s="241">
        <f>149.04+89.93+1989.19+272.51+98.52+83.28+670.37+3794.89+68.01+9.12+530.42+202.01+150.22+113.66</f>
        <v>8221.17</v>
      </c>
    </row>
    <row r="38" spans="1:3" x14ac:dyDescent="0.2">
      <c r="A38" t="s">
        <v>811</v>
      </c>
      <c r="B38" s="241">
        <v>0</v>
      </c>
      <c r="C38" s="241"/>
    </row>
    <row r="39" spans="1:3" x14ac:dyDescent="0.2">
      <c r="A39" t="s">
        <v>812</v>
      </c>
      <c r="B39" s="241">
        <v>0</v>
      </c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76650.62</v>
      </c>
      <c r="C40" s="232">
        <f>SUM(C37:C39)</f>
        <v>8221.17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DA831-01A9-464F-91DB-8B33A26732F2}">
  <sheetPr>
    <tabColor indexed="11"/>
  </sheetPr>
  <dimension ref="A1:I51"/>
  <sheetViews>
    <sheetView zoomScale="75" zoomScaleNormal="130"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4.6640625" bestFit="1" customWidth="1"/>
    <col min="4" max="5" width="17.83203125" customWidth="1"/>
    <col min="6" max="6" width="22.6640625" bestFit="1" customWidth="1"/>
    <col min="7" max="8" width="17.83203125" customWidth="1"/>
  </cols>
  <sheetData>
    <row r="1" spans="1:9" x14ac:dyDescent="0.2">
      <c r="A1" s="274" t="s">
        <v>821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748</v>
      </c>
      <c r="B2" s="266" t="str">
        <f>'DOE25'!A2</f>
        <v>Madison</v>
      </c>
      <c r="C2" s="181"/>
      <c r="D2" s="181" t="s">
        <v>823</v>
      </c>
      <c r="E2" s="181" t="s">
        <v>825</v>
      </c>
      <c r="F2" s="276" t="s">
        <v>852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3683301.5500000007</v>
      </c>
      <c r="D5" s="20">
        <f>SUM('DOE25'!L189:L192)+SUM('DOE25'!L207:L210)+SUM('DOE25'!L225:L228)-F5-G5</f>
        <v>3674281.4300000011</v>
      </c>
      <c r="E5" s="244"/>
      <c r="F5" s="256">
        <f>SUM('DOE25'!J189:J192)+SUM('DOE25'!J207:J210)+SUM('DOE25'!J225:J228)</f>
        <v>8998.76</v>
      </c>
      <c r="G5" s="53">
        <f>SUM('DOE25'!K189:K192)+SUM('DOE25'!K207:K210)+SUM('DOE25'!K225:K228)</f>
        <v>21.36</v>
      </c>
      <c r="H5" s="260"/>
    </row>
    <row r="6" spans="1:9" x14ac:dyDescent="0.2">
      <c r="A6" s="32">
        <v>2100</v>
      </c>
      <c r="B6" t="s">
        <v>832</v>
      </c>
      <c r="C6" s="246">
        <f t="shared" si="0"/>
        <v>229225.05000000002</v>
      </c>
      <c r="D6" s="20">
        <f>'DOE25'!L194+'DOE25'!L212+'DOE25'!L230-F6-G6</f>
        <v>228558.40000000002</v>
      </c>
      <c r="E6" s="244"/>
      <c r="F6" s="256">
        <f>'DOE25'!J194+'DOE25'!J212+'DOE25'!J230</f>
        <v>201.65</v>
      </c>
      <c r="G6" s="53">
        <f>'DOE25'!K194+'DOE25'!K212+'DOE25'!K230</f>
        <v>465</v>
      </c>
      <c r="H6" s="260"/>
    </row>
    <row r="7" spans="1:9" x14ac:dyDescent="0.2">
      <c r="A7" s="32">
        <v>2200</v>
      </c>
      <c r="B7" t="s">
        <v>865</v>
      </c>
      <c r="C7" s="246">
        <f t="shared" si="0"/>
        <v>86411.54</v>
      </c>
      <c r="D7" s="20">
        <f>'DOE25'!L195+'DOE25'!L213+'DOE25'!L231-F7-G7</f>
        <v>86411.54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184723.07</v>
      </c>
      <c r="D8" s="244"/>
      <c r="E8" s="20">
        <f>'DOE25'!L196+'DOE25'!L214+'DOE25'!L232-F8-G8-D9-D11</f>
        <v>181651.88</v>
      </c>
      <c r="F8" s="256">
        <f>'DOE25'!J196+'DOE25'!J214+'DOE25'!J232</f>
        <v>0</v>
      </c>
      <c r="G8" s="53">
        <f>'DOE25'!K196+'DOE25'!K214+'DOE25'!K232</f>
        <v>3071.19</v>
      </c>
      <c r="H8" s="260"/>
    </row>
    <row r="9" spans="1:9" x14ac:dyDescent="0.2">
      <c r="A9" s="32">
        <v>2310</v>
      </c>
      <c r="B9" t="s">
        <v>849</v>
      </c>
      <c r="C9" s="246">
        <f t="shared" si="0"/>
        <v>6464.44</v>
      </c>
      <c r="D9" s="245">
        <f>3900+1466.25+900+198.19</f>
        <v>6464.44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15441.45</v>
      </c>
      <c r="D10" s="244"/>
      <c r="E10" s="245">
        <v>15441.45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61313.37</v>
      </c>
      <c r="D11" s="245">
        <v>61313.37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163586.35999999999</v>
      </c>
      <c r="D12" s="20">
        <f>'DOE25'!L197+'DOE25'!L215+'DOE25'!L233-F12-G12</f>
        <v>163342.35999999999</v>
      </c>
      <c r="E12" s="244"/>
      <c r="F12" s="256">
        <f>'DOE25'!J197+'DOE25'!J215+'DOE25'!J233</f>
        <v>0</v>
      </c>
      <c r="G12" s="53">
        <f>'DOE25'!K197+'DOE25'!K215+'DOE25'!K233</f>
        <v>244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22970.81</v>
      </c>
      <c r="D13" s="244"/>
      <c r="E13" s="20">
        <f>'DOE25'!L198+'DOE25'!L216+'DOE25'!L234-F13-G13</f>
        <v>22970.81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276071.23</v>
      </c>
      <c r="D14" s="20">
        <f>'DOE25'!L199+'DOE25'!L217+'DOE25'!L235-F14-G14</f>
        <v>264765.58999999997</v>
      </c>
      <c r="E14" s="244"/>
      <c r="F14" s="256">
        <f>'DOE25'!J199+'DOE25'!J217+'DOE25'!J235</f>
        <v>11305.64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231727.40999999997</v>
      </c>
      <c r="D15" s="20">
        <f>'DOE25'!L200+'DOE25'!L218+'DOE25'!L236-F15-G15</f>
        <v>213351.93999999997</v>
      </c>
      <c r="E15" s="244"/>
      <c r="F15" s="256">
        <f>'DOE25'!J200+'DOE25'!J218+'DOE25'!J236</f>
        <v>18375.47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205200</v>
      </c>
      <c r="D25" s="244"/>
      <c r="E25" s="244"/>
      <c r="F25" s="259"/>
      <c r="G25" s="257"/>
      <c r="H25" s="258">
        <f>'DOE25'!L252+'DOE25'!L253+'DOE25'!L333+'DOE25'!L334</f>
        <v>205200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98689.739999999991</v>
      </c>
      <c r="D29" s="20">
        <f>'DOE25'!L350+'DOE25'!L351+'DOE25'!L352-'DOE25'!I359-F29-G29</f>
        <v>97327.29</v>
      </c>
      <c r="E29" s="244"/>
      <c r="F29" s="256">
        <f>'DOE25'!J350+'DOE25'!J351+'DOE25'!J352</f>
        <v>1362.45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275478.68</v>
      </c>
      <c r="D31" s="20">
        <f>'DOE25'!L282+'DOE25'!L301+'DOE25'!L320+'DOE25'!L325+'DOE25'!L326+'DOE25'!L327-F31-G31</f>
        <v>249394.62</v>
      </c>
      <c r="E31" s="244"/>
      <c r="F31" s="256">
        <f>'DOE25'!J282+'DOE25'!J301+'DOE25'!J320+'DOE25'!J325+'DOE25'!J326+'DOE25'!J327</f>
        <v>16558.5</v>
      </c>
      <c r="G31" s="53">
        <f>'DOE25'!K282+'DOE25'!K301+'DOE25'!K320+'DOE25'!K325+'DOE25'!K326+'DOE25'!K327</f>
        <v>9525.56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5045210.9800000014</v>
      </c>
      <c r="E33" s="247">
        <f>SUM(E5:E31)</f>
        <v>220064.14</v>
      </c>
      <c r="F33" s="247">
        <f>SUM(F5:F31)</f>
        <v>56802.47</v>
      </c>
      <c r="G33" s="247">
        <f>SUM(G5:G31)</f>
        <v>13327.11</v>
      </c>
      <c r="H33" s="247">
        <f>SUM(H5:H31)</f>
        <v>205200</v>
      </c>
    </row>
    <row r="35" spans="2:8" ht="12" thickBot="1" x14ac:dyDescent="0.25">
      <c r="B35" s="254" t="s">
        <v>878</v>
      </c>
      <c r="D35" s="255">
        <f>E33</f>
        <v>220064.14</v>
      </c>
      <c r="E35" s="250"/>
    </row>
    <row r="36" spans="2:8" ht="12" thickTop="1" x14ac:dyDescent="0.2">
      <c r="B36" t="s">
        <v>846</v>
      </c>
      <c r="D36" s="20">
        <f>D33</f>
        <v>5045210.9800000014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E648-F20D-4704-977B-633679FAA653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Madison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51191.7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105317.85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34644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112057.23</v>
      </c>
      <c r="D12" s="95">
        <f>'DOE25'!G12</f>
        <v>0</v>
      </c>
      <c r="E12" s="95">
        <f>'DOE25'!H12</f>
        <v>32615.48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20394.169999999998</v>
      </c>
      <c r="D13" s="95">
        <f>'DOE25'!G13</f>
        <v>7904.86</v>
      </c>
      <c r="E13" s="95">
        <f>'DOE25'!H13</f>
        <v>43803.87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3754.21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222041.30999999997</v>
      </c>
      <c r="D19" s="41">
        <f>SUM(D9:D18)</f>
        <v>7904.86</v>
      </c>
      <c r="E19" s="41">
        <f>SUM(E9:E18)</f>
        <v>76419.350000000006</v>
      </c>
      <c r="F19" s="41">
        <f>SUM(F9:F18)</f>
        <v>0</v>
      </c>
      <c r="G19" s="41">
        <f>SUM(G9:G18)</f>
        <v>105317.85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34644.57</v>
      </c>
      <c r="D22" s="95">
        <f>'DOE25'!G23</f>
        <v>7474.47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63523.18</v>
      </c>
      <c r="D23" s="95">
        <f>'DOE25'!G24</f>
        <v>7.07</v>
      </c>
      <c r="E23" s="95">
        <f>'DOE25'!H24</f>
        <v>39354.81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9393.5300000000007</v>
      </c>
      <c r="D24" s="95">
        <f>'DOE25'!G25</f>
        <v>423.32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107561.28</v>
      </c>
      <c r="D32" s="41">
        <f>SUM(D22:D31)</f>
        <v>7904.86</v>
      </c>
      <c r="E32" s="41">
        <f>SUM(E22:E31)</f>
        <v>39354.81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41357.46</v>
      </c>
      <c r="D36" s="95">
        <f>'DOE25'!G37</f>
        <v>0</v>
      </c>
      <c r="E36" s="95">
        <f>'DOE25'!H37</f>
        <v>37064.54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105317.85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73122.570000000007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114480.03</v>
      </c>
      <c r="D42" s="41">
        <f>SUM(D34:D41)</f>
        <v>0</v>
      </c>
      <c r="E42" s="41">
        <f>SUM(E34:E41)</f>
        <v>37064.54</v>
      </c>
      <c r="F42" s="41">
        <f>SUM(F34:F41)</f>
        <v>0</v>
      </c>
      <c r="G42" s="41">
        <f>SUM(G34:G41)</f>
        <v>105317.85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222041.31</v>
      </c>
      <c r="D43" s="41">
        <f>D42+D32</f>
        <v>7904.86</v>
      </c>
      <c r="E43" s="41">
        <f>E42+E32</f>
        <v>76419.350000000006</v>
      </c>
      <c r="F43" s="41">
        <f>F42+F32</f>
        <v>0</v>
      </c>
      <c r="G43" s="41">
        <f>G42+G32</f>
        <v>105317.85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3449868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32073.14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127.73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33309.129999999997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27408.63</v>
      </c>
      <c r="D53" s="95">
        <f>SUM('DOE25'!G90:G102)</f>
        <v>29110.21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59609.5</v>
      </c>
      <c r="D54" s="130">
        <f>SUM(D49:D53)</f>
        <v>62419.34</v>
      </c>
      <c r="E54" s="130">
        <f>SUM(E49:E53)</f>
        <v>0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3509477.5</v>
      </c>
      <c r="D55" s="22">
        <f>D48+D54</f>
        <v>62419.34</v>
      </c>
      <c r="E55" s="22">
        <f>E48+E54</f>
        <v>0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463048.37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1034509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16794.63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1514352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62676.19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33029.31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8739.9500000000007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95705.5</v>
      </c>
      <c r="D70" s="130">
        <f>SUM(D64:D69)</f>
        <v>8739.9500000000007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1610057.5</v>
      </c>
      <c r="D73" s="130">
        <f>SUM(D71:D72)+D70+D62</f>
        <v>8739.9500000000007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63711.92</v>
      </c>
      <c r="D80" s="95">
        <f>SUM('DOE25'!G145:G153)</f>
        <v>43201.83</v>
      </c>
      <c r="E80" s="95">
        <f>SUM('DOE25'!H145:H153)</f>
        <v>218446.27999999997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18366.32</v>
      </c>
      <c r="D81" s="95">
        <f>'DOE25'!G155+'DOE25'!G160</f>
        <v>0</v>
      </c>
      <c r="E81" s="95">
        <f>'DOE25'!H155+'DOE25'!H160</f>
        <v>6500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82078.239999999991</v>
      </c>
      <c r="D83" s="131">
        <f>SUM(D77:D82)</f>
        <v>43201.83</v>
      </c>
      <c r="E83" s="131">
        <f>SUM(E77:E82)</f>
        <v>224946.27999999997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22058.560000000001</v>
      </c>
      <c r="E88" s="95">
        <f>'DOE25'!H171</f>
        <v>0</v>
      </c>
      <c r="F88" s="95">
        <f>'DOE25'!I171</f>
        <v>0</v>
      </c>
      <c r="G88" s="95">
        <f>'DOE25'!J171</f>
        <v>84000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7960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7960</v>
      </c>
      <c r="D95" s="86">
        <f>SUM(D85:D94)</f>
        <v>22058.560000000001</v>
      </c>
      <c r="E95" s="86">
        <f>SUM(E85:E94)</f>
        <v>0</v>
      </c>
      <c r="F95" s="86">
        <f>SUM(F85:F94)</f>
        <v>0</v>
      </c>
      <c r="G95" s="86">
        <f>SUM(G85:G94)</f>
        <v>84000</v>
      </c>
    </row>
    <row r="96" spans="1:7" ht="12.75" thickTop="1" thickBot="1" x14ac:dyDescent="0.25">
      <c r="A96" s="33" t="s">
        <v>796</v>
      </c>
      <c r="C96" s="86">
        <f>C55+C73+C83+C95</f>
        <v>5209573.24</v>
      </c>
      <c r="D96" s="86">
        <f>D55+D73+D83+D95</f>
        <v>136419.68</v>
      </c>
      <c r="E96" s="86">
        <f>E55+E73+E83+E95</f>
        <v>224946.27999999997</v>
      </c>
      <c r="F96" s="86">
        <f>F55+F73+F83+F95</f>
        <v>0</v>
      </c>
      <c r="G96" s="86">
        <f>G55+G73+G95</f>
        <v>84000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3146211.62</v>
      </c>
      <c r="D101" s="24" t="s">
        <v>312</v>
      </c>
      <c r="E101" s="95">
        <f>('DOE25'!L268)+('DOE25'!L287)+('DOE25'!L306)</f>
        <v>38989.47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532831.59</v>
      </c>
      <c r="D102" s="24" t="s">
        <v>312</v>
      </c>
      <c r="E102" s="95">
        <f>('DOE25'!L269)+('DOE25'!L288)+('DOE25'!L307)</f>
        <v>72181.179999999993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4258.34</v>
      </c>
      <c r="D104" s="24" t="s">
        <v>312</v>
      </c>
      <c r="E104" s="95">
        <f>+('DOE25'!L271)+('DOE25'!L290)+('DOE25'!L309)</f>
        <v>102730.37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3683301.55</v>
      </c>
      <c r="D107" s="86">
        <f>SUM(D101:D106)</f>
        <v>0</v>
      </c>
      <c r="E107" s="86">
        <f>SUM(E101:E106)</f>
        <v>213901.02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229225.05000000002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86411.54</v>
      </c>
      <c r="D111" s="24" t="s">
        <v>312</v>
      </c>
      <c r="E111" s="95">
        <f>+('DOE25'!L274)+('DOE25'!L293)+('DOE25'!L312)</f>
        <v>40808.21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252500.88</v>
      </c>
      <c r="D112" s="24" t="s">
        <v>312</v>
      </c>
      <c r="E112" s="95">
        <f>+('DOE25'!L275)+('DOE25'!L294)+('DOE25'!L313)</f>
        <v>1090.78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163586.35999999999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22970.81</v>
      </c>
      <c r="D114" s="24" t="s">
        <v>312</v>
      </c>
      <c r="E114" s="95">
        <f>+('DOE25'!L277)+('DOE25'!L296)+('DOE25'!L315)</f>
        <v>4642.3099999999995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276071.23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231727.40999999997</v>
      </c>
      <c r="D116" s="24" t="s">
        <v>312</v>
      </c>
      <c r="E116" s="95">
        <f>+('DOE25'!L279)+('DOE25'!L298)+('DOE25'!L317)</f>
        <v>15036.36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136426.75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1262493.28</v>
      </c>
      <c r="D120" s="86">
        <f>SUM(D110:D119)</f>
        <v>136426.75</v>
      </c>
      <c r="E120" s="86">
        <f>SUM(E110:E119)</f>
        <v>61577.659999999996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200000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5200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7960</v>
      </c>
    </row>
    <row r="127" spans="1:7" x14ac:dyDescent="0.2">
      <c r="A127" t="s">
        <v>256</v>
      </c>
      <c r="B127" s="32" t="s">
        <v>257</v>
      </c>
      <c r="C127" s="95">
        <f>'DOE25'!L255</f>
        <v>22058.560000000001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10000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74000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311258.56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7960</v>
      </c>
    </row>
    <row r="137" spans="1:9" ht="12.75" thickTop="1" thickBot="1" x14ac:dyDescent="0.25">
      <c r="A137" s="33" t="s">
        <v>267</v>
      </c>
      <c r="C137" s="86">
        <f>(C107+C120+C136)</f>
        <v>5257053.3899999997</v>
      </c>
      <c r="D137" s="86">
        <f>(D107+D120+D136)</f>
        <v>136426.75</v>
      </c>
      <c r="E137" s="86">
        <f>(E107+E120+E136)</f>
        <v>275478.68</v>
      </c>
      <c r="F137" s="86">
        <f>(F107+F120+F136)</f>
        <v>0</v>
      </c>
      <c r="G137" s="86">
        <f>(G107+G120+G136)</f>
        <v>7960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07/00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2000000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 t="str">
        <f>'DOE25'!F484</f>
        <v>5.12-5.20%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400000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400000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200000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200000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5EF4-C56E-46D1-A8D8-12787C41026F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771</v>
      </c>
      <c r="B1" s="280"/>
      <c r="C1" s="280"/>
      <c r="D1" s="280"/>
    </row>
    <row r="2" spans="1:4" x14ac:dyDescent="0.2">
      <c r="A2" s="187" t="s">
        <v>748</v>
      </c>
      <c r="B2" s="186" t="str">
        <f>'DOE25'!A2</f>
        <v>Madison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16975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16975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3185201</v>
      </c>
      <c r="D10" s="182">
        <f>ROUND((C10/$C$28)*100,1)</f>
        <v>60.1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605013</v>
      </c>
      <c r="D11" s="182">
        <f>ROUND((C11/$C$28)*100,1)</f>
        <v>11.4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106989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229225</v>
      </c>
      <c r="D15" s="182">
        <f t="shared" ref="D15:D27" si="0">ROUND((C15/$C$28)*100,1)</f>
        <v>4.3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127220</v>
      </c>
      <c r="D16" s="182">
        <f t="shared" si="0"/>
        <v>2.4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253592</v>
      </c>
      <c r="D17" s="182">
        <f t="shared" si="0"/>
        <v>4.8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163586</v>
      </c>
      <c r="D18" s="182">
        <f t="shared" si="0"/>
        <v>3.1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27613</v>
      </c>
      <c r="D19" s="182">
        <f t="shared" si="0"/>
        <v>0.5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276071</v>
      </c>
      <c r="D20" s="182">
        <f t="shared" si="0"/>
        <v>5.2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246764</v>
      </c>
      <c r="D21" s="182">
        <f t="shared" si="0"/>
        <v>4.7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5200</v>
      </c>
      <c r="D25" s="182">
        <f t="shared" si="0"/>
        <v>0.1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74007.66</v>
      </c>
      <c r="D27" s="182">
        <f t="shared" si="0"/>
        <v>1.4</v>
      </c>
    </row>
    <row r="28" spans="1:4" x14ac:dyDescent="0.2">
      <c r="B28" s="187" t="s">
        <v>754</v>
      </c>
      <c r="C28" s="180">
        <f>SUM(C10:C27)</f>
        <v>5300481.66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5300481.66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200000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3449868</v>
      </c>
      <c r="D35" s="182">
        <f t="shared" ref="D35:D40" si="1">ROUND((C35/$C$41)*100,1)</f>
        <v>63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59609.5</v>
      </c>
      <c r="D36" s="182">
        <f t="shared" si="1"/>
        <v>1.1000000000000001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1514352</v>
      </c>
      <c r="D37" s="182">
        <f t="shared" si="1"/>
        <v>27.6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104445</v>
      </c>
      <c r="D38" s="182">
        <f t="shared" si="1"/>
        <v>1.9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350226</v>
      </c>
      <c r="D39" s="182">
        <f t="shared" si="1"/>
        <v>6.4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5478500.5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09A10-79FE-4E7F-A02C-C58C0FAF7FE0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801</v>
      </c>
      <c r="B1" s="288"/>
      <c r="C1" s="288"/>
      <c r="D1" s="288"/>
      <c r="E1" s="288"/>
      <c r="F1" s="288"/>
      <c r="G1" s="288"/>
      <c r="H1" s="288"/>
      <c r="I1" s="288"/>
      <c r="J1" s="214"/>
      <c r="K1" s="214"/>
      <c r="L1" s="214"/>
      <c r="M1" s="215"/>
    </row>
    <row r="2" spans="1:26" ht="12.75" x14ac:dyDescent="0.2">
      <c r="A2" s="293" t="s">
        <v>798</v>
      </c>
      <c r="B2" s="294"/>
      <c r="C2" s="294"/>
      <c r="D2" s="294"/>
      <c r="E2" s="294"/>
      <c r="F2" s="291" t="str">
        <f>'DOE25'!A2</f>
        <v>Madison</v>
      </c>
      <c r="G2" s="292"/>
      <c r="H2" s="292"/>
      <c r="I2" s="292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89" t="s">
        <v>802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8"/>
      <c r="AB29" s="208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8"/>
      <c r="AO29" s="208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8"/>
      <c r="BB29" s="208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8"/>
      <c r="BO29" s="208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8"/>
      <c r="CB29" s="208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8"/>
      <c r="CO29" s="208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8"/>
      <c r="DB29" s="208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8"/>
      <c r="DO29" s="208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8"/>
      <c r="EB29" s="208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8"/>
      <c r="EO29" s="208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8"/>
      <c r="FB29" s="208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8"/>
      <c r="FO29" s="208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8"/>
      <c r="GB29" s="208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8"/>
      <c r="GO29" s="208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8"/>
      <c r="HB29" s="208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8"/>
      <c r="HO29" s="208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8"/>
      <c r="IB29" s="208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8"/>
      <c r="IO29" s="208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8"/>
      <c r="AB30" s="208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8"/>
      <c r="AO30" s="208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8"/>
      <c r="BB30" s="208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8"/>
      <c r="BO30" s="208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8"/>
      <c r="CB30" s="208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8"/>
      <c r="CO30" s="208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8"/>
      <c r="DB30" s="208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8"/>
      <c r="DO30" s="208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8"/>
      <c r="EB30" s="208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8"/>
      <c r="EO30" s="208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8"/>
      <c r="FB30" s="208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8"/>
      <c r="FO30" s="208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8"/>
      <c r="GB30" s="208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8"/>
      <c r="GO30" s="208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8"/>
      <c r="HB30" s="208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8"/>
      <c r="HO30" s="208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8"/>
      <c r="IB30" s="208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8"/>
      <c r="IO30" s="208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8"/>
      <c r="AB31" s="208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8"/>
      <c r="AO31" s="208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8"/>
      <c r="BB31" s="208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8"/>
      <c r="BO31" s="208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8"/>
      <c r="CB31" s="208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8"/>
      <c r="CO31" s="208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8"/>
      <c r="DB31" s="208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8"/>
      <c r="DO31" s="208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8"/>
      <c r="EB31" s="208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8"/>
      <c r="EO31" s="208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8"/>
      <c r="FB31" s="208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8"/>
      <c r="FO31" s="208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8"/>
      <c r="GB31" s="208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8"/>
      <c r="GO31" s="208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8"/>
      <c r="HB31" s="208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8"/>
      <c r="HO31" s="208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8"/>
      <c r="IB31" s="208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8"/>
      <c r="IO31" s="208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8"/>
      <c r="AB38" s="208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8"/>
      <c r="AO38" s="208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8"/>
      <c r="BB38" s="208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8"/>
      <c r="BO38" s="208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8"/>
      <c r="CB38" s="208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8"/>
      <c r="CO38" s="208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8"/>
      <c r="DB38" s="208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8"/>
      <c r="DO38" s="208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8"/>
      <c r="EB38" s="208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8"/>
      <c r="EO38" s="208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8"/>
      <c r="FB38" s="208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8"/>
      <c r="FO38" s="208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8"/>
      <c r="GB38" s="208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8"/>
      <c r="GO38" s="208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8"/>
      <c r="HB38" s="208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8"/>
      <c r="HO38" s="208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8"/>
      <c r="IB38" s="208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8"/>
      <c r="IO38" s="208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8"/>
      <c r="AB39" s="208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8"/>
      <c r="AO39" s="208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8"/>
      <c r="BB39" s="208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8"/>
      <c r="BO39" s="208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8"/>
      <c r="CB39" s="208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8"/>
      <c r="CO39" s="208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8"/>
      <c r="DB39" s="208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8"/>
      <c r="DO39" s="208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8"/>
      <c r="EB39" s="208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8"/>
      <c r="EO39" s="208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8"/>
      <c r="FB39" s="208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8"/>
      <c r="FO39" s="208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8"/>
      <c r="GB39" s="208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8"/>
      <c r="GO39" s="208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8"/>
      <c r="HB39" s="208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8"/>
      <c r="HO39" s="208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8"/>
      <c r="IB39" s="208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8"/>
      <c r="IO39" s="208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8"/>
      <c r="AB40" s="208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8"/>
      <c r="AO40" s="208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8"/>
      <c r="BB40" s="208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8"/>
      <c r="BO40" s="208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8"/>
      <c r="CB40" s="208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8"/>
      <c r="CO40" s="208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8"/>
      <c r="DB40" s="208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8"/>
      <c r="DO40" s="208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8"/>
      <c r="EB40" s="208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8"/>
      <c r="EO40" s="208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8"/>
      <c r="FB40" s="208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8"/>
      <c r="FO40" s="208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8"/>
      <c r="GB40" s="208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8"/>
      <c r="GO40" s="208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8"/>
      <c r="HB40" s="208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8"/>
      <c r="HO40" s="208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8"/>
      <c r="IB40" s="208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8"/>
      <c r="IO40" s="208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8" t="s">
        <v>879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2"/>
      <c r="B74" s="212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2"/>
      <c r="B75" s="212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2"/>
      <c r="B76" s="212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2"/>
      <c r="B77" s="212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2"/>
      <c r="B78" s="212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2"/>
      <c r="B79" s="212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2"/>
      <c r="B80" s="212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2"/>
      <c r="B81" s="212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2"/>
      <c r="B82" s="212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2"/>
      <c r="B83" s="212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2"/>
      <c r="B84" s="212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2"/>
      <c r="B85" s="212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2"/>
      <c r="B86" s="212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2"/>
      <c r="B87" s="212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2"/>
      <c r="B88" s="212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2"/>
      <c r="B89" s="212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2"/>
      <c r="B90" s="212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B30A" sheet="1" objects="1" scenarios="1"/>
  <mergeCells count="223">
    <mergeCell ref="C27:M27"/>
    <mergeCell ref="C28:M28"/>
    <mergeCell ref="C87:M87"/>
    <mergeCell ref="C79:M79"/>
    <mergeCell ref="C80:M80"/>
    <mergeCell ref="C81:M81"/>
    <mergeCell ref="C82:M82"/>
    <mergeCell ref="C75:M75"/>
    <mergeCell ref="C76:M76"/>
    <mergeCell ref="C88:M88"/>
    <mergeCell ref="C89:M89"/>
    <mergeCell ref="C90:M90"/>
    <mergeCell ref="C83:M83"/>
    <mergeCell ref="C84:M84"/>
    <mergeCell ref="C85:M85"/>
    <mergeCell ref="C86:M86"/>
    <mergeCell ref="C68:M68"/>
    <mergeCell ref="C69:M69"/>
    <mergeCell ref="C77:M77"/>
    <mergeCell ref="C78:M78"/>
    <mergeCell ref="C70:M70"/>
    <mergeCell ref="A72:E72"/>
    <mergeCell ref="C73:M73"/>
    <mergeCell ref="C74:M74"/>
    <mergeCell ref="C62:M62"/>
    <mergeCell ref="C63:M63"/>
    <mergeCell ref="C64:M64"/>
    <mergeCell ref="C65:M65"/>
    <mergeCell ref="C66:M66"/>
    <mergeCell ref="C67:M67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21:M21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A1:I1"/>
    <mergeCell ref="C3:M3"/>
    <mergeCell ref="C4:M4"/>
    <mergeCell ref="F2:I2"/>
    <mergeCell ref="A2:E2"/>
    <mergeCell ref="C13:M13"/>
    <mergeCell ref="C12:M12"/>
    <mergeCell ref="C32:M32"/>
    <mergeCell ref="C30:M30"/>
    <mergeCell ref="C31:M31"/>
    <mergeCell ref="P31:Z31"/>
    <mergeCell ref="AP31:AZ31"/>
    <mergeCell ref="P32:Z32"/>
    <mergeCell ref="C22:M22"/>
    <mergeCell ref="C23:M23"/>
    <mergeCell ref="C26:M26"/>
    <mergeCell ref="C24:M24"/>
    <mergeCell ref="C29:M29"/>
    <mergeCell ref="C25:M25"/>
    <mergeCell ref="C5:M5"/>
    <mergeCell ref="C6:M6"/>
    <mergeCell ref="C7:M7"/>
    <mergeCell ref="C8:M8"/>
    <mergeCell ref="C9:M9"/>
    <mergeCell ref="C10:M10"/>
    <mergeCell ref="C11:M11"/>
    <mergeCell ref="DC29:DM29"/>
    <mergeCell ref="DP29:DZ29"/>
    <mergeCell ref="EC29:EM29"/>
    <mergeCell ref="C20:M20"/>
    <mergeCell ref="BC29:BM29"/>
    <mergeCell ref="BP29:BZ29"/>
    <mergeCell ref="CC29:CM29"/>
    <mergeCell ref="P29:Z29"/>
    <mergeCell ref="AC29:AM29"/>
    <mergeCell ref="AP29:AZ29"/>
    <mergeCell ref="C39:M39"/>
    <mergeCell ref="GP29:GZ29"/>
    <mergeCell ref="HC29:HM29"/>
    <mergeCell ref="HP29:HZ29"/>
    <mergeCell ref="IC29:IM29"/>
    <mergeCell ref="EP29:EZ29"/>
    <mergeCell ref="FC29:FM29"/>
    <mergeCell ref="FP29:FZ29"/>
    <mergeCell ref="GC29:GM29"/>
    <mergeCell ref="CP29:CZ29"/>
    <mergeCell ref="AC31:AM31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P40:Z40"/>
    <mergeCell ref="AC40:AM40"/>
    <mergeCell ref="BP32:BZ32"/>
    <mergeCell ref="BC38:BM38"/>
    <mergeCell ref="AC32:AM32"/>
    <mergeCell ref="AP32:AZ32"/>
    <mergeCell ref="P38:Z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EP32:EZ32"/>
    <mergeCell ref="AC38:A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DC38:DM38"/>
    <mergeCell ref="DP38:DZ38"/>
    <mergeCell ref="EC38:EM38"/>
    <mergeCell ref="EP38:EZ38"/>
    <mergeCell ref="FC38:FM38"/>
    <mergeCell ref="FP38:FZ38"/>
    <mergeCell ref="GP38:GZ38"/>
    <mergeCell ref="HC38:HM38"/>
    <mergeCell ref="HP38:HZ38"/>
    <mergeCell ref="IC38:IM38"/>
    <mergeCell ref="FP32:FZ32"/>
    <mergeCell ref="GC32:GM32"/>
    <mergeCell ref="GC38:G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IC39:IM39"/>
    <mergeCell ref="P39:Z39"/>
    <mergeCell ref="AC39:AM39"/>
    <mergeCell ref="AP39:AZ39"/>
    <mergeCell ref="HP39:HZ39"/>
    <mergeCell ref="HC39:HM39"/>
    <mergeCell ref="DC39:DM39"/>
    <mergeCell ref="DP39:DZ39"/>
    <mergeCell ref="EC39:EM39"/>
    <mergeCell ref="GC39:GM39"/>
    <mergeCell ref="BP39:BZ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C40:M40"/>
    <mergeCell ref="C43:M43"/>
    <mergeCell ref="BC40:BM40"/>
    <mergeCell ref="BP40:BZ40"/>
    <mergeCell ref="IC40:IM40"/>
    <mergeCell ref="FC40:FM40"/>
    <mergeCell ref="FP40:FZ40"/>
    <mergeCell ref="CC40:CM40"/>
    <mergeCell ref="CP40:CZ40"/>
    <mergeCell ref="DC40:DM40"/>
    <mergeCell ref="DP40:D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2011-10-31T13:09:23Z</cp:lastPrinted>
  <dcterms:created xsi:type="dcterms:W3CDTF">1997-12-04T19:04:30Z</dcterms:created>
  <dcterms:modified xsi:type="dcterms:W3CDTF">2025-01-10T20:06:36Z</dcterms:modified>
</cp:coreProperties>
</file>