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0B540D1B-B34F-4A55-93B3-085364C1946E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1" xr2:uid="{C73B8905-C042-448C-A770-0B630F56567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2" i="1" l="1"/>
  <c r="G511" i="1"/>
  <c r="G512" i="1"/>
  <c r="G513" i="1"/>
  <c r="F189" i="1"/>
  <c r="G226" i="1"/>
  <c r="G225" i="1"/>
  <c r="G208" i="1"/>
  <c r="G207" i="1"/>
  <c r="C9" i="12" s="1"/>
  <c r="G190" i="1"/>
  <c r="G189" i="1"/>
  <c r="G549" i="1"/>
  <c r="L549" i="1" s="1"/>
  <c r="F549" i="1"/>
  <c r="G307" i="1"/>
  <c r="G306" i="1"/>
  <c r="F306" i="1"/>
  <c r="F307" i="1"/>
  <c r="F226" i="1"/>
  <c r="F208" i="1"/>
  <c r="F190" i="1"/>
  <c r="H235" i="1"/>
  <c r="H217" i="1"/>
  <c r="L217" i="1" s="1"/>
  <c r="H199" i="1"/>
  <c r="F14" i="1"/>
  <c r="F19" i="1" s="1"/>
  <c r="G607" i="1" s="1"/>
  <c r="F17" i="1"/>
  <c r="I189" i="1"/>
  <c r="K225" i="1"/>
  <c r="K207" i="1"/>
  <c r="B29" i="12"/>
  <c r="B20" i="12"/>
  <c r="I603" i="1"/>
  <c r="I602" i="1"/>
  <c r="H603" i="1"/>
  <c r="L603" i="1" s="1"/>
  <c r="H653" i="1" s="1"/>
  <c r="H602" i="1"/>
  <c r="H604" i="1" s="1"/>
  <c r="G603" i="1"/>
  <c r="G602" i="1"/>
  <c r="G604" i="1" s="1"/>
  <c r="F603" i="1"/>
  <c r="F602" i="1"/>
  <c r="G601" i="1"/>
  <c r="F601" i="1"/>
  <c r="H601" i="1"/>
  <c r="I601" i="1"/>
  <c r="H594" i="1"/>
  <c r="J594" i="1"/>
  <c r="I594" i="1"/>
  <c r="K594" i="1" s="1"/>
  <c r="K595" i="1" s="1"/>
  <c r="G638" i="1" s="1"/>
  <c r="K258" i="1"/>
  <c r="G387" i="1"/>
  <c r="H392" i="1"/>
  <c r="L392" i="1" s="1"/>
  <c r="L393" i="1" s="1"/>
  <c r="C131" i="2" s="1"/>
  <c r="F60" i="1"/>
  <c r="F31" i="1"/>
  <c r="F25" i="1"/>
  <c r="J308" i="1"/>
  <c r="I308" i="1"/>
  <c r="J228" i="1"/>
  <c r="K228" i="1"/>
  <c r="H247" i="1"/>
  <c r="F359" i="1"/>
  <c r="F361" i="1" s="1"/>
  <c r="H360" i="1"/>
  <c r="H361" i="1" s="1"/>
  <c r="G360" i="1"/>
  <c r="F360" i="1"/>
  <c r="I360" i="1" s="1"/>
  <c r="H359" i="1"/>
  <c r="G359" i="1"/>
  <c r="F102" i="1"/>
  <c r="F30" i="1"/>
  <c r="F13" i="1"/>
  <c r="F10" i="1"/>
  <c r="F9" i="1"/>
  <c r="J235" i="1"/>
  <c r="I235" i="1"/>
  <c r="G235" i="1"/>
  <c r="L235" i="1" s="1"/>
  <c r="F235" i="1"/>
  <c r="J219" i="1"/>
  <c r="I219" i="1"/>
  <c r="H219" i="1"/>
  <c r="I201" i="1"/>
  <c r="H201" i="1"/>
  <c r="I217" i="1"/>
  <c r="I199" i="1"/>
  <c r="H234" i="1"/>
  <c r="G234" i="1"/>
  <c r="G216" i="1"/>
  <c r="L216" i="1" s="1"/>
  <c r="G198" i="1"/>
  <c r="L198" i="1" s="1"/>
  <c r="K233" i="1"/>
  <c r="J233" i="1"/>
  <c r="F12" i="13" s="1"/>
  <c r="I233" i="1"/>
  <c r="H233" i="1"/>
  <c r="G233" i="1"/>
  <c r="F233" i="1"/>
  <c r="F215" i="1"/>
  <c r="K215" i="1"/>
  <c r="J215" i="1"/>
  <c r="I215" i="1"/>
  <c r="H215" i="1"/>
  <c r="G215" i="1"/>
  <c r="J197" i="1"/>
  <c r="I197" i="1"/>
  <c r="L197" i="1" s="1"/>
  <c r="H197" i="1"/>
  <c r="G197" i="1"/>
  <c r="F197" i="1"/>
  <c r="H214" i="1"/>
  <c r="I231" i="1"/>
  <c r="H231" i="1"/>
  <c r="G231" i="1"/>
  <c r="F231" i="1"/>
  <c r="I213" i="1"/>
  <c r="G213" i="1"/>
  <c r="F213" i="1"/>
  <c r="I195" i="1"/>
  <c r="G195" i="1"/>
  <c r="F195" i="1"/>
  <c r="H230" i="1"/>
  <c r="G230" i="1"/>
  <c r="F230" i="1"/>
  <c r="I212" i="1"/>
  <c r="H212" i="1"/>
  <c r="G212" i="1"/>
  <c r="F212" i="1"/>
  <c r="L212" i="1" s="1"/>
  <c r="I194" i="1"/>
  <c r="I203" i="1" s="1"/>
  <c r="H194" i="1"/>
  <c r="G194" i="1"/>
  <c r="L194" i="1" s="1"/>
  <c r="F194" i="1"/>
  <c r="I228" i="1"/>
  <c r="H228" i="1"/>
  <c r="G228" i="1"/>
  <c r="F228" i="1"/>
  <c r="K210" i="1"/>
  <c r="I210" i="1"/>
  <c r="H210" i="1"/>
  <c r="G210" i="1"/>
  <c r="C36" i="12" s="1"/>
  <c r="F210" i="1"/>
  <c r="B36" i="12" s="1"/>
  <c r="A40" i="12" s="1"/>
  <c r="G192" i="1"/>
  <c r="F192" i="1"/>
  <c r="L192" i="1" s="1"/>
  <c r="I227" i="1"/>
  <c r="G227" i="1"/>
  <c r="F227" i="1"/>
  <c r="I209" i="1"/>
  <c r="G209" i="1"/>
  <c r="F209" i="1"/>
  <c r="J226" i="1"/>
  <c r="I226" i="1"/>
  <c r="H226" i="1"/>
  <c r="H239" i="1" s="1"/>
  <c r="K208" i="1"/>
  <c r="K221" i="1" s="1"/>
  <c r="J208" i="1"/>
  <c r="I208" i="1"/>
  <c r="L208" i="1" s="1"/>
  <c r="H208" i="1"/>
  <c r="J190" i="1"/>
  <c r="I190" i="1"/>
  <c r="H190" i="1"/>
  <c r="I207" i="1"/>
  <c r="I225" i="1"/>
  <c r="H225" i="1"/>
  <c r="F225" i="1"/>
  <c r="H207" i="1"/>
  <c r="F207" i="1"/>
  <c r="H189" i="1"/>
  <c r="G232" i="1"/>
  <c r="G239" i="1" s="1"/>
  <c r="F232" i="1"/>
  <c r="K237" i="1"/>
  <c r="J237" i="1"/>
  <c r="I237" i="1"/>
  <c r="H237" i="1"/>
  <c r="G237" i="1"/>
  <c r="F237" i="1"/>
  <c r="K235" i="1"/>
  <c r="K234" i="1"/>
  <c r="I234" i="1"/>
  <c r="F234" i="1"/>
  <c r="K232" i="1"/>
  <c r="G8" i="13" s="1"/>
  <c r="I232" i="1"/>
  <c r="H232" i="1"/>
  <c r="I230" i="1"/>
  <c r="K226" i="1"/>
  <c r="J225" i="1"/>
  <c r="G214" i="1"/>
  <c r="F214" i="1"/>
  <c r="K219" i="1"/>
  <c r="G219" i="1"/>
  <c r="F219" i="1"/>
  <c r="L219" i="1" s="1"/>
  <c r="K217" i="1"/>
  <c r="K216" i="1"/>
  <c r="G13" i="13" s="1"/>
  <c r="I216" i="1"/>
  <c r="H216" i="1"/>
  <c r="F216" i="1"/>
  <c r="K214" i="1"/>
  <c r="I214" i="1"/>
  <c r="H213" i="1"/>
  <c r="J207" i="1"/>
  <c r="F198" i="1"/>
  <c r="G196" i="1"/>
  <c r="F196" i="1"/>
  <c r="L196" i="1" s="1"/>
  <c r="K201" i="1"/>
  <c r="J201" i="1"/>
  <c r="J203" i="1" s="1"/>
  <c r="G201" i="1"/>
  <c r="F201" i="1"/>
  <c r="K199" i="1"/>
  <c r="K198" i="1"/>
  <c r="I198" i="1"/>
  <c r="H198" i="1"/>
  <c r="K196" i="1"/>
  <c r="I196" i="1"/>
  <c r="H196" i="1"/>
  <c r="H195" i="1"/>
  <c r="I192" i="1"/>
  <c r="K190" i="1"/>
  <c r="G5" i="13" s="1"/>
  <c r="J189" i="1"/>
  <c r="H70" i="1"/>
  <c r="I554" i="1"/>
  <c r="G554" i="1"/>
  <c r="F554" i="1"/>
  <c r="I553" i="1"/>
  <c r="G553" i="1"/>
  <c r="F553" i="1"/>
  <c r="I552" i="1"/>
  <c r="I555" i="1" s="1"/>
  <c r="I561" i="1" s="1"/>
  <c r="G552" i="1"/>
  <c r="F552" i="1"/>
  <c r="H554" i="1"/>
  <c r="L554" i="1" s="1"/>
  <c r="K553" i="1"/>
  <c r="H553" i="1"/>
  <c r="K552" i="1"/>
  <c r="H552" i="1"/>
  <c r="K548" i="1"/>
  <c r="J548" i="1"/>
  <c r="I548" i="1"/>
  <c r="H548" i="1"/>
  <c r="G548" i="1"/>
  <c r="G550" i="1" s="1"/>
  <c r="F548" i="1"/>
  <c r="K547" i="1"/>
  <c r="J547" i="1"/>
  <c r="J550" i="1" s="1"/>
  <c r="J561" i="1" s="1"/>
  <c r="I547" i="1"/>
  <c r="H547" i="1"/>
  <c r="G547" i="1"/>
  <c r="F547" i="1"/>
  <c r="K549" i="1"/>
  <c r="J549" i="1"/>
  <c r="I549" i="1"/>
  <c r="H549" i="1"/>
  <c r="J352" i="1"/>
  <c r="J268" i="1"/>
  <c r="J282" i="1" s="1"/>
  <c r="I268" i="1"/>
  <c r="H268" i="1"/>
  <c r="H282" i="1" s="1"/>
  <c r="G268" i="1"/>
  <c r="F268" i="1"/>
  <c r="H318" i="1"/>
  <c r="H313" i="1"/>
  <c r="I313" i="1"/>
  <c r="G313" i="1"/>
  <c r="F313" i="1"/>
  <c r="I325" i="1"/>
  <c r="H325" i="1"/>
  <c r="H329" i="1" s="1"/>
  <c r="G325" i="1"/>
  <c r="F325" i="1"/>
  <c r="H312" i="1"/>
  <c r="L312" i="1" s="1"/>
  <c r="E111" i="2" s="1"/>
  <c r="G312" i="1"/>
  <c r="F312" i="1"/>
  <c r="I312" i="1"/>
  <c r="H274" i="1"/>
  <c r="G274" i="1"/>
  <c r="F274" i="1"/>
  <c r="G293" i="1"/>
  <c r="F293" i="1"/>
  <c r="H311" i="1"/>
  <c r="G311" i="1"/>
  <c r="L311" i="1" s="1"/>
  <c r="F311" i="1"/>
  <c r="G273" i="1"/>
  <c r="L273" i="1" s="1"/>
  <c r="E110" i="2" s="1"/>
  <c r="E120" i="2" s="1"/>
  <c r="F273" i="1"/>
  <c r="G292" i="1"/>
  <c r="F292" i="1"/>
  <c r="H273" i="1"/>
  <c r="H292" i="1"/>
  <c r="J271" i="1"/>
  <c r="I271" i="1"/>
  <c r="H271" i="1"/>
  <c r="G271" i="1"/>
  <c r="G282" i="1" s="1"/>
  <c r="F271" i="1"/>
  <c r="I290" i="1"/>
  <c r="H290" i="1"/>
  <c r="L290" i="1" s="1"/>
  <c r="G290" i="1"/>
  <c r="F290" i="1"/>
  <c r="I309" i="1"/>
  <c r="H309" i="1"/>
  <c r="G309" i="1"/>
  <c r="F309" i="1"/>
  <c r="J309" i="1"/>
  <c r="H308" i="1"/>
  <c r="K308" i="1"/>
  <c r="K320" i="1" s="1"/>
  <c r="G308" i="1"/>
  <c r="F308" i="1"/>
  <c r="K269" i="1"/>
  <c r="K282" i="1" s="1"/>
  <c r="I269" i="1"/>
  <c r="H269" i="1"/>
  <c r="G269" i="1"/>
  <c r="F269" i="1"/>
  <c r="J269" i="1"/>
  <c r="K288" i="1"/>
  <c r="I288" i="1"/>
  <c r="H288" i="1"/>
  <c r="G288" i="1"/>
  <c r="F288" i="1"/>
  <c r="I307" i="1"/>
  <c r="H307" i="1"/>
  <c r="H320" i="1" s="1"/>
  <c r="J288" i="1"/>
  <c r="H153" i="1"/>
  <c r="H9" i="1"/>
  <c r="I352" i="1"/>
  <c r="H352" i="1"/>
  <c r="G352" i="1"/>
  <c r="F352" i="1"/>
  <c r="I351" i="1"/>
  <c r="H351" i="1"/>
  <c r="G351" i="1"/>
  <c r="F351" i="1"/>
  <c r="J350" i="1"/>
  <c r="F29" i="13" s="1"/>
  <c r="I350" i="1"/>
  <c r="H350" i="1"/>
  <c r="G350" i="1"/>
  <c r="F350" i="1"/>
  <c r="G14" i="1"/>
  <c r="G89" i="1"/>
  <c r="G150" i="1"/>
  <c r="G31" i="1"/>
  <c r="G9" i="1"/>
  <c r="D9" i="2" s="1"/>
  <c r="G572" i="1"/>
  <c r="H572" i="1"/>
  <c r="H568" i="1"/>
  <c r="I568" i="1" s="1"/>
  <c r="F572" i="1"/>
  <c r="H518" i="1"/>
  <c r="H517" i="1"/>
  <c r="H516" i="1"/>
  <c r="F513" i="1"/>
  <c r="F511" i="1"/>
  <c r="I512" i="1"/>
  <c r="F512" i="1"/>
  <c r="I511" i="1"/>
  <c r="I514" i="1" s="1"/>
  <c r="I535" i="1" s="1"/>
  <c r="H511" i="1"/>
  <c r="G518" i="1"/>
  <c r="F518" i="1"/>
  <c r="L518" i="1" s="1"/>
  <c r="G541" i="1" s="1"/>
  <c r="G517" i="1"/>
  <c r="F517" i="1"/>
  <c r="G516" i="1"/>
  <c r="F516" i="1"/>
  <c r="H513" i="1"/>
  <c r="H512" i="1"/>
  <c r="J511" i="1"/>
  <c r="J513" i="1"/>
  <c r="I513" i="1"/>
  <c r="L513" i="1" s="1"/>
  <c r="F541" i="1" s="1"/>
  <c r="K512" i="1"/>
  <c r="L512" i="1" s="1"/>
  <c r="F540" i="1" s="1"/>
  <c r="J512" i="1"/>
  <c r="K511" i="1"/>
  <c r="K514" i="1" s="1"/>
  <c r="K535" i="1" s="1"/>
  <c r="K513" i="1"/>
  <c r="H523" i="1"/>
  <c r="G523" i="1"/>
  <c r="F523" i="1"/>
  <c r="G522" i="1"/>
  <c r="F522" i="1"/>
  <c r="H521" i="1"/>
  <c r="G521" i="1"/>
  <c r="F521" i="1"/>
  <c r="F524" i="1" s="1"/>
  <c r="H582" i="1"/>
  <c r="J585" i="1"/>
  <c r="J582" i="1"/>
  <c r="J588" i="1" s="1"/>
  <c r="H641" i="1" s="1"/>
  <c r="J641" i="1" s="1"/>
  <c r="I582" i="1"/>
  <c r="J581" i="1"/>
  <c r="I581" i="1"/>
  <c r="H581" i="1"/>
  <c r="J584" i="1"/>
  <c r="I584" i="1"/>
  <c r="G128" i="1"/>
  <c r="H128" i="1"/>
  <c r="F113" i="1"/>
  <c r="F132" i="1" s="1"/>
  <c r="C38" i="10" s="1"/>
  <c r="F128" i="1"/>
  <c r="C37" i="10"/>
  <c r="C60" i="2"/>
  <c r="B2" i="13"/>
  <c r="F8" i="13"/>
  <c r="L214" i="1"/>
  <c r="D39" i="13"/>
  <c r="F13" i="13"/>
  <c r="G16" i="13"/>
  <c r="L237" i="1"/>
  <c r="F5" i="13"/>
  <c r="L189" i="1"/>
  <c r="L191" i="1"/>
  <c r="L209" i="1"/>
  <c r="C103" i="2" s="1"/>
  <c r="L210" i="1"/>
  <c r="L225" i="1"/>
  <c r="L226" i="1"/>
  <c r="L227" i="1"/>
  <c r="L228" i="1"/>
  <c r="F6" i="13"/>
  <c r="G6" i="13"/>
  <c r="L230" i="1"/>
  <c r="F7" i="13"/>
  <c r="G7" i="13"/>
  <c r="L231" i="1"/>
  <c r="G12" i="13"/>
  <c r="L215" i="1"/>
  <c r="F14" i="13"/>
  <c r="G14" i="13"/>
  <c r="L199" i="1"/>
  <c r="F15" i="13"/>
  <c r="G15" i="13"/>
  <c r="L200" i="1"/>
  <c r="F652" i="1" s="1"/>
  <c r="D15" i="13"/>
  <c r="C15" i="13" s="1"/>
  <c r="L218" i="1"/>
  <c r="G652" i="1" s="1"/>
  <c r="L236" i="1"/>
  <c r="H652" i="1" s="1"/>
  <c r="F17" i="13"/>
  <c r="G17" i="13"/>
  <c r="L243" i="1"/>
  <c r="D17" i="13" s="1"/>
  <c r="C17" i="13" s="1"/>
  <c r="F18" i="13"/>
  <c r="G18" i="13"/>
  <c r="L244" i="1"/>
  <c r="D18" i="13"/>
  <c r="C18" i="13" s="1"/>
  <c r="F19" i="13"/>
  <c r="G19" i="13"/>
  <c r="L245" i="1"/>
  <c r="D19" i="13" s="1"/>
  <c r="C19" i="13" s="1"/>
  <c r="G29" i="13"/>
  <c r="L352" i="1"/>
  <c r="J301" i="1"/>
  <c r="J320" i="1"/>
  <c r="K301" i="1"/>
  <c r="L269" i="1"/>
  <c r="L270" i="1"/>
  <c r="L274" i="1"/>
  <c r="L275" i="1"/>
  <c r="L276" i="1"/>
  <c r="L277" i="1"/>
  <c r="L278" i="1"/>
  <c r="L279" i="1"/>
  <c r="L280" i="1"/>
  <c r="E117" i="2" s="1"/>
  <c r="L287" i="1"/>
  <c r="L289" i="1"/>
  <c r="L292" i="1"/>
  <c r="L293" i="1"/>
  <c r="L294" i="1"/>
  <c r="L295" i="1"/>
  <c r="L296" i="1"/>
  <c r="L297" i="1"/>
  <c r="L298" i="1"/>
  <c r="L299" i="1"/>
  <c r="L306" i="1"/>
  <c r="L307" i="1"/>
  <c r="L309" i="1"/>
  <c r="L313" i="1"/>
  <c r="L314" i="1"/>
  <c r="E113" i="2" s="1"/>
  <c r="L315" i="1"/>
  <c r="E114" i="2" s="1"/>
  <c r="L316" i="1"/>
  <c r="E115" i="2" s="1"/>
  <c r="L317" i="1"/>
  <c r="E116" i="2" s="1"/>
  <c r="L318" i="1"/>
  <c r="L326" i="1"/>
  <c r="L327" i="1"/>
  <c r="L252" i="1"/>
  <c r="L253" i="1"/>
  <c r="L333" i="1"/>
  <c r="E123" i="2" s="1"/>
  <c r="L334" i="1"/>
  <c r="E124" i="2" s="1"/>
  <c r="L247" i="1"/>
  <c r="F22" i="13" s="1"/>
  <c r="C22" i="13" s="1"/>
  <c r="L328" i="1"/>
  <c r="E122" i="2" s="1"/>
  <c r="C11" i="13"/>
  <c r="C10" i="13"/>
  <c r="C9" i="13"/>
  <c r="L353" i="1"/>
  <c r="B4" i="12"/>
  <c r="B40" i="12"/>
  <c r="C40" i="12"/>
  <c r="B27" i="12"/>
  <c r="B31" i="12"/>
  <c r="C31" i="12"/>
  <c r="B13" i="12"/>
  <c r="C13" i="12"/>
  <c r="B22" i="12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5" i="1"/>
  <c r="L399" i="1" s="1"/>
  <c r="C132" i="2" s="1"/>
  <c r="L396" i="1"/>
  <c r="L397" i="1"/>
  <c r="L398" i="1"/>
  <c r="J52" i="1"/>
  <c r="J104" i="1" s="1"/>
  <c r="J185" i="1" s="1"/>
  <c r="G48" i="2"/>
  <c r="G51" i="2"/>
  <c r="G53" i="2"/>
  <c r="F2" i="11"/>
  <c r="L601" i="1"/>
  <c r="F653" i="1"/>
  <c r="C40" i="10"/>
  <c r="F52" i="1"/>
  <c r="F104" i="1" s="1"/>
  <c r="G52" i="1"/>
  <c r="G104" i="1" s="1"/>
  <c r="H52" i="1"/>
  <c r="I52" i="1"/>
  <c r="I104" i="1" s="1"/>
  <c r="F71" i="1"/>
  <c r="F86" i="1"/>
  <c r="F103" i="1"/>
  <c r="G103" i="1"/>
  <c r="H71" i="1"/>
  <c r="E49" i="2" s="1"/>
  <c r="H86" i="1"/>
  <c r="E50" i="2" s="1"/>
  <c r="H103" i="1"/>
  <c r="I103" i="1"/>
  <c r="J103" i="1"/>
  <c r="G113" i="1"/>
  <c r="G132" i="1" s="1"/>
  <c r="H113" i="1"/>
  <c r="H132" i="1"/>
  <c r="I113" i="1"/>
  <c r="I128" i="1"/>
  <c r="I132" i="1"/>
  <c r="J113" i="1"/>
  <c r="J132" i="1" s="1"/>
  <c r="J128" i="1"/>
  <c r="F139" i="1"/>
  <c r="F161" i="1" s="1"/>
  <c r="F154" i="1"/>
  <c r="G139" i="1"/>
  <c r="G154" i="1"/>
  <c r="G161" i="1"/>
  <c r="H139" i="1"/>
  <c r="E77" i="2" s="1"/>
  <c r="E83" i="2" s="1"/>
  <c r="H154" i="1"/>
  <c r="I139" i="1"/>
  <c r="I161" i="1" s="1"/>
  <c r="I154" i="1"/>
  <c r="L242" i="1"/>
  <c r="L324" i="1"/>
  <c r="C23" i="10"/>
  <c r="L246" i="1"/>
  <c r="L260" i="1"/>
  <c r="C26" i="10" s="1"/>
  <c r="L261" i="1"/>
  <c r="C135" i="2" s="1"/>
  <c r="L341" i="1"/>
  <c r="L342" i="1"/>
  <c r="I655" i="1"/>
  <c r="I660" i="1"/>
  <c r="I659" i="1"/>
  <c r="C42" i="10"/>
  <c r="C32" i="10"/>
  <c r="L366" i="1"/>
  <c r="L367" i="1"/>
  <c r="L368" i="1"/>
  <c r="L369" i="1"/>
  <c r="L370" i="1"/>
  <c r="L371" i="1"/>
  <c r="L374" i="1" s="1"/>
  <c r="G626" i="1" s="1"/>
  <c r="J626" i="1" s="1"/>
  <c r="L372" i="1"/>
  <c r="B2" i="10"/>
  <c r="L336" i="1"/>
  <c r="L337" i="1"/>
  <c r="L338" i="1"/>
  <c r="E129" i="2" s="1"/>
  <c r="L339" i="1"/>
  <c r="K343" i="1"/>
  <c r="L516" i="1"/>
  <c r="L517" i="1"/>
  <c r="G540" i="1" s="1"/>
  <c r="L522" i="1"/>
  <c r="H540" i="1" s="1"/>
  <c r="L523" i="1"/>
  <c r="H541" i="1"/>
  <c r="L526" i="1"/>
  <c r="L529" i="1" s="1"/>
  <c r="I539" i="1"/>
  <c r="L527" i="1"/>
  <c r="I540" i="1" s="1"/>
  <c r="L528" i="1"/>
  <c r="I541" i="1" s="1"/>
  <c r="L531" i="1"/>
  <c r="J539" i="1"/>
  <c r="L532" i="1"/>
  <c r="J540" i="1"/>
  <c r="L533" i="1"/>
  <c r="J262" i="1"/>
  <c r="I262" i="1"/>
  <c r="H262" i="1"/>
  <c r="G262" i="1"/>
  <c r="F262" i="1"/>
  <c r="C124" i="2"/>
  <c r="C123" i="2"/>
  <c r="A1" i="2"/>
  <c r="A2" i="2"/>
  <c r="C9" i="2"/>
  <c r="E9" i="2"/>
  <c r="F9" i="2"/>
  <c r="F19" i="2" s="1"/>
  <c r="I431" i="1"/>
  <c r="J9" i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 s="1"/>
  <c r="G13" i="2" s="1"/>
  <c r="D14" i="2"/>
  <c r="E14" i="2"/>
  <c r="F14" i="2"/>
  <c r="I435" i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E19" i="2"/>
  <c r="C22" i="2"/>
  <c r="C32" i="2" s="1"/>
  <c r="D22" i="2"/>
  <c r="E22" i="2"/>
  <c r="F22" i="2"/>
  <c r="I440" i="1"/>
  <c r="J23" i="1" s="1"/>
  <c r="C23" i="2"/>
  <c r="D23" i="2"/>
  <c r="E23" i="2"/>
  <c r="F23" i="2"/>
  <c r="F32" i="2" s="1"/>
  <c r="I441" i="1"/>
  <c r="J24" i="1"/>
  <c r="G23" i="2" s="1"/>
  <c r="C24" i="2"/>
  <c r="D24" i="2"/>
  <c r="E24" i="2"/>
  <c r="F24" i="2"/>
  <c r="I442" i="1"/>
  <c r="J25" i="1"/>
  <c r="G24" i="2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F35" i="2"/>
  <c r="C36" i="2"/>
  <c r="C42" i="2" s="1"/>
  <c r="C43" i="2" s="1"/>
  <c r="D36" i="2"/>
  <c r="E36" i="2"/>
  <c r="F36" i="2"/>
  <c r="F42" i="2" s="1"/>
  <c r="F43" i="2" s="1"/>
  <c r="I446" i="1"/>
  <c r="J37" i="1" s="1"/>
  <c r="C37" i="2"/>
  <c r="D37" i="2"/>
  <c r="E37" i="2"/>
  <c r="F37" i="2"/>
  <c r="I447" i="1"/>
  <c r="I450" i="1" s="1"/>
  <c r="J38" i="1"/>
  <c r="G37" i="2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E42" i="2"/>
  <c r="C48" i="2"/>
  <c r="D48" i="2"/>
  <c r="C49" i="2"/>
  <c r="C54" i="2" s="1"/>
  <c r="C55" i="2" s="1"/>
  <c r="C50" i="2"/>
  <c r="C51" i="2"/>
  <c r="D51" i="2"/>
  <c r="D54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D62" i="2" s="1"/>
  <c r="E61" i="2"/>
  <c r="F61" i="2"/>
  <c r="F62" i="2"/>
  <c r="G61" i="2"/>
  <c r="E62" i="2"/>
  <c r="G62" i="2"/>
  <c r="G73" i="2" s="1"/>
  <c r="C64" i="2"/>
  <c r="C70" i="2" s="1"/>
  <c r="C73" i="2" s="1"/>
  <c r="F64" i="2"/>
  <c r="C65" i="2"/>
  <c r="F65" i="2"/>
  <c r="C66" i="2"/>
  <c r="C67" i="2"/>
  <c r="C68" i="2"/>
  <c r="E68" i="2"/>
  <c r="E70" i="2"/>
  <c r="F68" i="2"/>
  <c r="F70" i="2" s="1"/>
  <c r="F73" i="2" s="1"/>
  <c r="C69" i="2"/>
  <c r="D69" i="2"/>
  <c r="E69" i="2"/>
  <c r="F69" i="2"/>
  <c r="G69" i="2"/>
  <c r="G70" i="2"/>
  <c r="D70" i="2"/>
  <c r="C71" i="2"/>
  <c r="D71" i="2"/>
  <c r="E71" i="2"/>
  <c r="C72" i="2"/>
  <c r="E72" i="2"/>
  <c r="C77" i="2"/>
  <c r="D77" i="2"/>
  <c r="C79" i="2"/>
  <c r="E79" i="2"/>
  <c r="F79" i="2"/>
  <c r="C80" i="2"/>
  <c r="D80" i="2"/>
  <c r="D83" i="2" s="1"/>
  <c r="E80" i="2"/>
  <c r="F80" i="2"/>
  <c r="C81" i="2"/>
  <c r="D81" i="2"/>
  <c r="E81" i="2"/>
  <c r="F81" i="2"/>
  <c r="C82" i="2"/>
  <c r="C83" i="2"/>
  <c r="C85" i="2"/>
  <c r="C95" i="2"/>
  <c r="F85" i="2"/>
  <c r="C86" i="2"/>
  <c r="F86" i="2"/>
  <c r="D88" i="2"/>
  <c r="E88" i="2"/>
  <c r="F88" i="2"/>
  <c r="G88" i="2"/>
  <c r="G95" i="2" s="1"/>
  <c r="C89" i="2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5" i="2"/>
  <c r="E105" i="2"/>
  <c r="C106" i="2"/>
  <c r="D107" i="2"/>
  <c r="F107" i="2"/>
  <c r="G107" i="2"/>
  <c r="G137" i="2" s="1"/>
  <c r="E112" i="2"/>
  <c r="F120" i="2"/>
  <c r="G120" i="2"/>
  <c r="F122" i="2"/>
  <c r="F136" i="2" s="1"/>
  <c r="F137" i="2" s="1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/>
  <c r="L257" i="1"/>
  <c r="C129" i="2" s="1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493" i="1"/>
  <c r="C156" i="2"/>
  <c r="H493" i="1"/>
  <c r="K493" i="1" s="1"/>
  <c r="I493" i="1"/>
  <c r="E156" i="2"/>
  <c r="J493" i="1"/>
  <c r="F156" i="2"/>
  <c r="H19" i="1"/>
  <c r="G609" i="1" s="1"/>
  <c r="I19" i="1"/>
  <c r="F33" i="1"/>
  <c r="G33" i="1"/>
  <c r="H33" i="1"/>
  <c r="H44" i="1" s="1"/>
  <c r="H609" i="1" s="1"/>
  <c r="I33" i="1"/>
  <c r="I44" i="1" s="1"/>
  <c r="H610" i="1" s="1"/>
  <c r="J610" i="1" s="1"/>
  <c r="F43" i="1"/>
  <c r="F44" i="1"/>
  <c r="H607" i="1" s="1"/>
  <c r="G43" i="1"/>
  <c r="H43" i="1"/>
  <c r="I43" i="1"/>
  <c r="G44" i="1"/>
  <c r="H608" i="1" s="1"/>
  <c r="F169" i="1"/>
  <c r="F184" i="1" s="1"/>
  <c r="I169" i="1"/>
  <c r="F175" i="1"/>
  <c r="G175" i="1"/>
  <c r="G184" i="1" s="1"/>
  <c r="G185" i="1" s="1"/>
  <c r="G618" i="1" s="1"/>
  <c r="J618" i="1" s="1"/>
  <c r="H175" i="1"/>
  <c r="H184" i="1"/>
  <c r="I175" i="1"/>
  <c r="I184" i="1" s="1"/>
  <c r="J175" i="1"/>
  <c r="J184" i="1" s="1"/>
  <c r="F180" i="1"/>
  <c r="G180" i="1"/>
  <c r="H180" i="1"/>
  <c r="I180" i="1"/>
  <c r="H221" i="1"/>
  <c r="J221" i="1"/>
  <c r="F239" i="1"/>
  <c r="F248" i="1"/>
  <c r="G248" i="1"/>
  <c r="L248" i="1"/>
  <c r="H248" i="1"/>
  <c r="I248" i="1"/>
  <c r="J248" i="1"/>
  <c r="K248" i="1"/>
  <c r="I282" i="1"/>
  <c r="G301" i="1"/>
  <c r="I301" i="1"/>
  <c r="I330" i="1" s="1"/>
  <c r="I344" i="1" s="1"/>
  <c r="F320" i="1"/>
  <c r="I320" i="1"/>
  <c r="F329" i="1"/>
  <c r="I329" i="1"/>
  <c r="J329" i="1"/>
  <c r="K329" i="1"/>
  <c r="F354" i="1"/>
  <c r="H354" i="1"/>
  <c r="I354" i="1"/>
  <c r="J354" i="1"/>
  <c r="K354" i="1"/>
  <c r="G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11" i="1"/>
  <c r="L406" i="1"/>
  <c r="L407" i="1"/>
  <c r="L408" i="1"/>
  <c r="L409" i="1"/>
  <c r="L410" i="1"/>
  <c r="F411" i="1"/>
  <c r="G411" i="1"/>
  <c r="H411" i="1"/>
  <c r="I411" i="1"/>
  <c r="J411" i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J425" i="1"/>
  <c r="F426" i="1"/>
  <c r="G426" i="1"/>
  <c r="H426" i="1"/>
  <c r="I426" i="1"/>
  <c r="J426" i="1"/>
  <c r="F438" i="1"/>
  <c r="G629" i="1" s="1"/>
  <c r="G438" i="1"/>
  <c r="H438" i="1"/>
  <c r="G631" i="1" s="1"/>
  <c r="J631" i="1" s="1"/>
  <c r="F444" i="1"/>
  <c r="F451" i="1" s="1"/>
  <c r="H629" i="1" s="1"/>
  <c r="G444" i="1"/>
  <c r="G451" i="1" s="1"/>
  <c r="H630" i="1" s="1"/>
  <c r="J630" i="1" s="1"/>
  <c r="H444" i="1"/>
  <c r="H451" i="1" s="1"/>
  <c r="H631" i="1" s="1"/>
  <c r="I444" i="1"/>
  <c r="I451" i="1" s="1"/>
  <c r="H632" i="1" s="1"/>
  <c r="F450" i="1"/>
  <c r="G450" i="1"/>
  <c r="H450" i="1"/>
  <c r="F460" i="1"/>
  <c r="G460" i="1"/>
  <c r="G466" i="1" s="1"/>
  <c r="H613" i="1" s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G464" i="1"/>
  <c r="H464" i="1"/>
  <c r="I464" i="1"/>
  <c r="J464" i="1"/>
  <c r="F466" i="1"/>
  <c r="H612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J514" i="1"/>
  <c r="G519" i="1"/>
  <c r="H519" i="1"/>
  <c r="I519" i="1"/>
  <c r="J519" i="1"/>
  <c r="J535" i="1" s="1"/>
  <c r="K519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G535" i="1"/>
  <c r="H550" i="1"/>
  <c r="H561" i="1" s="1"/>
  <c r="I550" i="1"/>
  <c r="K550" i="1"/>
  <c r="K561" i="1" s="1"/>
  <c r="L553" i="1"/>
  <c r="F555" i="1"/>
  <c r="H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I588" i="1"/>
  <c r="H640" i="1" s="1"/>
  <c r="K592" i="1"/>
  <c r="K593" i="1"/>
  <c r="H595" i="1"/>
  <c r="I595" i="1"/>
  <c r="J595" i="1"/>
  <c r="F604" i="1"/>
  <c r="I604" i="1"/>
  <c r="J604" i="1"/>
  <c r="K604" i="1"/>
  <c r="G610" i="1"/>
  <c r="G612" i="1"/>
  <c r="G613" i="1"/>
  <c r="J613" i="1" s="1"/>
  <c r="G614" i="1"/>
  <c r="J614" i="1" s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3" i="1"/>
  <c r="G634" i="1"/>
  <c r="H637" i="1"/>
  <c r="G641" i="1"/>
  <c r="G642" i="1"/>
  <c r="J642" i="1" s="1"/>
  <c r="H642" i="1"/>
  <c r="G643" i="1"/>
  <c r="J643" i="1" s="1"/>
  <c r="H643" i="1"/>
  <c r="G644" i="1"/>
  <c r="H644" i="1"/>
  <c r="J644" i="1" s="1"/>
  <c r="G645" i="1"/>
  <c r="C104" i="2" l="1"/>
  <c r="F95" i="2"/>
  <c r="G621" i="1"/>
  <c r="J621" i="1" s="1"/>
  <c r="G636" i="1"/>
  <c r="I185" i="1"/>
  <c r="G620" i="1" s="1"/>
  <c r="J620" i="1" s="1"/>
  <c r="K582" i="1"/>
  <c r="H588" i="1"/>
  <c r="H639" i="1" s="1"/>
  <c r="K540" i="1"/>
  <c r="L511" i="1"/>
  <c r="H514" i="1"/>
  <c r="H535" i="1" s="1"/>
  <c r="G354" i="1"/>
  <c r="L351" i="1"/>
  <c r="B18" i="12"/>
  <c r="A22" i="12" s="1"/>
  <c r="F301" i="1"/>
  <c r="L288" i="1"/>
  <c r="L301" i="1" s="1"/>
  <c r="G320" i="1"/>
  <c r="L308" i="1"/>
  <c r="L320" i="1" s="1"/>
  <c r="C27" i="12"/>
  <c r="A31" i="12" s="1"/>
  <c r="L271" i="1"/>
  <c r="E104" i="2" s="1"/>
  <c r="F282" i="1"/>
  <c r="F330" i="1" s="1"/>
  <c r="F344" i="1" s="1"/>
  <c r="L325" i="1"/>
  <c r="G329" i="1"/>
  <c r="L329" i="1" s="1"/>
  <c r="F31" i="13"/>
  <c r="J330" i="1"/>
  <c r="J344" i="1" s="1"/>
  <c r="L548" i="1"/>
  <c r="F550" i="1"/>
  <c r="F561" i="1" s="1"/>
  <c r="L552" i="1"/>
  <c r="L555" i="1" s="1"/>
  <c r="G555" i="1"/>
  <c r="L195" i="1"/>
  <c r="H203" i="1"/>
  <c r="H249" i="1" s="1"/>
  <c r="H263" i="1" s="1"/>
  <c r="L234" i="1"/>
  <c r="E13" i="13" s="1"/>
  <c r="C13" i="13" s="1"/>
  <c r="I239" i="1"/>
  <c r="L207" i="1"/>
  <c r="B9" i="12"/>
  <c r="A13" i="12" s="1"/>
  <c r="F221" i="1"/>
  <c r="G221" i="1"/>
  <c r="L213" i="1"/>
  <c r="C19" i="10"/>
  <c r="K262" i="1"/>
  <c r="L262" i="1" s="1"/>
  <c r="H645" i="1"/>
  <c r="J645" i="1" s="1"/>
  <c r="L258" i="1"/>
  <c r="C20" i="10"/>
  <c r="C115" i="2"/>
  <c r="C18" i="12"/>
  <c r="L190" i="1"/>
  <c r="G203" i="1"/>
  <c r="G249" i="1" s="1"/>
  <c r="G263" i="1" s="1"/>
  <c r="E48" i="2"/>
  <c r="E55" i="2" s="1"/>
  <c r="E96" i="2" s="1"/>
  <c r="H104" i="1"/>
  <c r="H185" i="1" s="1"/>
  <c r="G619" i="1" s="1"/>
  <c r="J619" i="1" s="1"/>
  <c r="C35" i="10"/>
  <c r="H25" i="13"/>
  <c r="D19" i="2"/>
  <c r="G561" i="1"/>
  <c r="J43" i="1"/>
  <c r="G36" i="2"/>
  <c r="G42" i="2" s="1"/>
  <c r="G43" i="2" s="1"/>
  <c r="G31" i="13"/>
  <c r="G33" i="13" s="1"/>
  <c r="K330" i="1"/>
  <c r="K344" i="1" s="1"/>
  <c r="H330" i="1"/>
  <c r="H344" i="1" s="1"/>
  <c r="J249" i="1"/>
  <c r="J607" i="1"/>
  <c r="J629" i="1"/>
  <c r="I438" i="1"/>
  <c r="G632" i="1" s="1"/>
  <c r="J632" i="1" s="1"/>
  <c r="J14" i="1"/>
  <c r="G14" i="2" s="1"/>
  <c r="J541" i="1"/>
  <c r="K541" i="1" s="1"/>
  <c r="L534" i="1"/>
  <c r="K490" i="1"/>
  <c r="E73" i="2"/>
  <c r="J33" i="1"/>
  <c r="G22" i="2"/>
  <c r="G32" i="2" s="1"/>
  <c r="L519" i="1"/>
  <c r="G539" i="1"/>
  <c r="G542" i="1" s="1"/>
  <c r="F185" i="1"/>
  <c r="G617" i="1" s="1"/>
  <c r="J617" i="1" s="1"/>
  <c r="L385" i="1"/>
  <c r="J612" i="1"/>
  <c r="L426" i="1"/>
  <c r="G628" i="1" s="1"/>
  <c r="J628" i="1" s="1"/>
  <c r="J609" i="1"/>
  <c r="C25" i="10"/>
  <c r="I652" i="1"/>
  <c r="E32" i="2"/>
  <c r="E43" i="2" s="1"/>
  <c r="G153" i="2"/>
  <c r="D6" i="13"/>
  <c r="C6" i="13" s="1"/>
  <c r="C110" i="2"/>
  <c r="D73" i="2"/>
  <c r="E54" i="2"/>
  <c r="D14" i="13"/>
  <c r="C14" i="13" s="1"/>
  <c r="C96" i="2"/>
  <c r="K588" i="1"/>
  <c r="G637" i="1" s="1"/>
  <c r="J637" i="1" s="1"/>
  <c r="D55" i="2"/>
  <c r="D42" i="2"/>
  <c r="D43" i="2" s="1"/>
  <c r="I542" i="1"/>
  <c r="C15" i="10"/>
  <c r="G54" i="2"/>
  <c r="G55" i="2" s="1"/>
  <c r="G96" i="2" s="1"/>
  <c r="E136" i="2"/>
  <c r="E102" i="2"/>
  <c r="H301" i="1"/>
  <c r="I221" i="1"/>
  <c r="I249" i="1" s="1"/>
  <c r="I263" i="1" s="1"/>
  <c r="H161" i="1"/>
  <c r="C39" i="10" s="1"/>
  <c r="I359" i="1"/>
  <c r="I361" i="1" s="1"/>
  <c r="H624" i="1" s="1"/>
  <c r="J624" i="1" s="1"/>
  <c r="L233" i="1"/>
  <c r="C18" i="10" s="1"/>
  <c r="L268" i="1"/>
  <c r="F519" i="1"/>
  <c r="F535" i="1" s="1"/>
  <c r="F203" i="1"/>
  <c r="F249" i="1" s="1"/>
  <c r="F263" i="1" s="1"/>
  <c r="D156" i="2"/>
  <c r="G156" i="2" s="1"/>
  <c r="C116" i="2"/>
  <c r="G9" i="2"/>
  <c r="L201" i="1"/>
  <c r="K239" i="1"/>
  <c r="L350" i="1"/>
  <c r="L232" i="1"/>
  <c r="E8" i="13" s="1"/>
  <c r="G640" i="1"/>
  <c r="J640" i="1" s="1"/>
  <c r="J239" i="1"/>
  <c r="F77" i="2"/>
  <c r="F83" i="2" s="1"/>
  <c r="C14" i="2"/>
  <c r="C19" i="2" s="1"/>
  <c r="F16" i="13"/>
  <c r="F33" i="13" s="1"/>
  <c r="K203" i="1"/>
  <c r="K249" i="1" s="1"/>
  <c r="K263" i="1" s="1"/>
  <c r="C122" i="2"/>
  <c r="L521" i="1"/>
  <c r="G635" i="1"/>
  <c r="J635" i="1" s="1"/>
  <c r="C134" i="2"/>
  <c r="C21" i="10"/>
  <c r="G639" i="1"/>
  <c r="J639" i="1" s="1"/>
  <c r="L547" i="1"/>
  <c r="L550" i="1" s="1"/>
  <c r="L561" i="1" s="1"/>
  <c r="G19" i="1"/>
  <c r="G608" i="1" s="1"/>
  <c r="J608" i="1" s="1"/>
  <c r="L602" i="1"/>
  <c r="F48" i="2"/>
  <c r="F55" i="2" s="1"/>
  <c r="F96" i="2" s="1"/>
  <c r="L343" i="1"/>
  <c r="C29" i="10"/>
  <c r="C8" i="13" l="1"/>
  <c r="E103" i="2"/>
  <c r="J19" i="1"/>
  <c r="G611" i="1" s="1"/>
  <c r="J611" i="1" s="1"/>
  <c r="C102" i="2"/>
  <c r="L203" i="1"/>
  <c r="C11" i="10"/>
  <c r="L239" i="1"/>
  <c r="H650" i="1" s="1"/>
  <c r="G616" i="1"/>
  <c r="J616" i="1" s="1"/>
  <c r="J44" i="1"/>
  <c r="H611" i="1" s="1"/>
  <c r="H539" i="1"/>
  <c r="H542" i="1" s="1"/>
  <c r="L524" i="1"/>
  <c r="E16" i="13"/>
  <c r="C16" i="13" s="1"/>
  <c r="C117" i="2"/>
  <c r="G330" i="1"/>
  <c r="G344" i="1" s="1"/>
  <c r="L354" i="1"/>
  <c r="D29" i="13"/>
  <c r="C29" i="13" s="1"/>
  <c r="D119" i="2"/>
  <c r="D120" i="2" s="1"/>
  <c r="D137" i="2" s="1"/>
  <c r="F651" i="1"/>
  <c r="I651" i="1" s="1"/>
  <c r="D7" i="13"/>
  <c r="C7" i="13" s="1"/>
  <c r="C16" i="10"/>
  <c r="C111" i="2"/>
  <c r="C12" i="10"/>
  <c r="J542" i="1"/>
  <c r="C130" i="2"/>
  <c r="L400" i="1"/>
  <c r="G19" i="2"/>
  <c r="C101" i="2"/>
  <c r="C107" i="2" s="1"/>
  <c r="C10" i="10"/>
  <c r="L221" i="1"/>
  <c r="G650" i="1" s="1"/>
  <c r="G654" i="1" s="1"/>
  <c r="G651" i="1"/>
  <c r="H638" i="1"/>
  <c r="J638" i="1" s="1"/>
  <c r="J263" i="1"/>
  <c r="C133" i="2"/>
  <c r="C136" i="2" s="1"/>
  <c r="H651" i="1"/>
  <c r="G653" i="1"/>
  <c r="I653" i="1" s="1"/>
  <c r="L604" i="1"/>
  <c r="D12" i="13"/>
  <c r="C12" i="13" s="1"/>
  <c r="C112" i="2"/>
  <c r="E106" i="2"/>
  <c r="C24" i="10"/>
  <c r="F539" i="1"/>
  <c r="L514" i="1"/>
  <c r="L535" i="1" s="1"/>
  <c r="C13" i="10"/>
  <c r="C113" i="2"/>
  <c r="C120" i="2" s="1"/>
  <c r="D5" i="13"/>
  <c r="H33" i="13"/>
  <c r="C25" i="13"/>
  <c r="C114" i="2"/>
  <c r="C17" i="10"/>
  <c r="E101" i="2"/>
  <c r="E107" i="2" s="1"/>
  <c r="E137" i="2" s="1"/>
  <c r="L282" i="1"/>
  <c r="D96" i="2"/>
  <c r="C36" i="10"/>
  <c r="C137" i="2" l="1"/>
  <c r="H654" i="1"/>
  <c r="D36" i="10"/>
  <c r="C5" i="13"/>
  <c r="G627" i="1"/>
  <c r="J627" i="1" s="1"/>
  <c r="H636" i="1"/>
  <c r="J636" i="1" s="1"/>
  <c r="G625" i="1"/>
  <c r="J625" i="1" s="1"/>
  <c r="C27" i="10"/>
  <c r="F650" i="1"/>
  <c r="L249" i="1"/>
  <c r="L263" i="1" s="1"/>
  <c r="G622" i="1" s="1"/>
  <c r="J622" i="1" s="1"/>
  <c r="C41" i="10"/>
  <c r="F542" i="1"/>
  <c r="K539" i="1"/>
  <c r="K542" i="1" s="1"/>
  <c r="D31" i="13"/>
  <c r="C31" i="13" s="1"/>
  <c r="L330" i="1"/>
  <c r="L344" i="1" s="1"/>
  <c r="G623" i="1" s="1"/>
  <c r="J623" i="1" s="1"/>
  <c r="G657" i="1"/>
  <c r="G662" i="1"/>
  <c r="C5" i="10" s="1"/>
  <c r="E33" i="13"/>
  <c r="D35" i="13" s="1"/>
  <c r="I650" i="1" l="1"/>
  <c r="I654" i="1" s="1"/>
  <c r="F654" i="1"/>
  <c r="D33" i="13"/>
  <c r="D36" i="13" s="1"/>
  <c r="C28" i="10"/>
  <c r="H646" i="1"/>
  <c r="H657" i="1"/>
  <c r="H662" i="1"/>
  <c r="C6" i="10" s="1"/>
  <c r="D40" i="10"/>
  <c r="D38" i="10"/>
  <c r="D37" i="10"/>
  <c r="D39" i="10"/>
  <c r="D35" i="10"/>
  <c r="C30" i="10" l="1"/>
  <c r="D22" i="10"/>
  <c r="D23" i="10"/>
  <c r="D26" i="10"/>
  <c r="D18" i="10"/>
  <c r="D25" i="10"/>
  <c r="D15" i="10"/>
  <c r="D19" i="10"/>
  <c r="D21" i="10"/>
  <c r="D20" i="10"/>
  <c r="D17" i="10"/>
  <c r="D16" i="10"/>
  <c r="D13" i="10"/>
  <c r="D12" i="10"/>
  <c r="D10" i="10"/>
  <c r="D11" i="10"/>
  <c r="D24" i="10"/>
  <c r="D27" i="10"/>
  <c r="F662" i="1"/>
  <c r="C4" i="10" s="1"/>
  <c r="F657" i="1"/>
  <c r="D41" i="10"/>
  <c r="I662" i="1"/>
  <c r="C7" i="10" s="1"/>
  <c r="I657" i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A83E4CD-81A1-4D11-BEC7-03E0B04C8F2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462537A-F6D0-456D-B142-B7B9B79AE25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C13504F-3669-42CC-857D-AFE46924629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847D3AE-FCF0-4BEA-9DD5-AF3C29B1AA4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B3E9DEB-5ADA-4908-A031-CD396DFCF3E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BE71DAF-D2AF-4EB5-8661-0BCEB6455F3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7566500-DB51-49AF-8071-69FBA1D9ADF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D69B83E-951A-4440-A6D2-78271DA1016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1183159-233E-495B-9444-811BDF7408B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0DC69AF-F445-4EAB-BE3D-94651687A40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1CAF826-BE75-4829-AEC0-39FB36C59DE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C7CB9F6-1289-4CA4-AB57-D3A660024A9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<sst xmlns="http://schemas.openxmlformats.org/spreadsheetml/2006/main" count="3858" uniqueCount="895">
  <si>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</si>
  <si>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</si>
  <si>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</si>
  <si>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</si>
  <si>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</si>
  <si>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</si>
  <si>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</si>
  <si>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</si>
  <si>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</si>
  <si>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</si>
  <si>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</si>
  <si>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</si>
  <si>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</si>
  <si>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</si>
  <si>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</si>
  <si>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</si>
  <si>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</si>
  <si>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</si>
  <si>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</si>
  <si>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</si>
  <si>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</si>
  <si>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</si>
  <si>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</si>
  <si>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</si>
  <si>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</si>
  <si>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</si>
  <si>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</si>
  <si>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</si>
  <si>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</si>
  <si>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</si>
  <si>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</si>
  <si>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</si>
  <si>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</si>
  <si>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</si>
  <si>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</si>
  <si>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</si>
  <si>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</si>
  <si>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</si>
  <si>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</si>
  <si>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</si>
  <si>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</si>
  <si>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</si>
  <si>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</si>
  <si>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</si>
  <si>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</si>
  <si>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</si>
  <si>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</si>
  <si>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</si>
  <si>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</si>
  <si>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</si>
  <si>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</si>
  <si>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</si>
  <si>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</si>
  <si>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</si>
  <si>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</si>
  <si>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</si>
  <si>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</si>
  <si>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</si>
  <si>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</si>
  <si>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</si>
  <si>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</si>
  <si>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</si>
  <si>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</si>
  <si>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</si>
  <si>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</si>
  <si>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</si>
  <si>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</si>
  <si>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</si>
  <si>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</si>
  <si>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</si>
  <si>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</si>
  <si>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</si>
  <si>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</si>
  <si>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</si>
  <si>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</si>
  <si>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</si>
  <si>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</si>
  <si>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</si>
  <si>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</si>
  <si>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</si>
  <si>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</si>
  <si>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</si>
  <si>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</si>
  <si>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</si>
  <si>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</si>
  <si>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</si>
  <si>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</si>
  <si>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</si>
  <si>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</si>
  <si>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</si>
  <si>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</si>
  <si>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</si>
  <si>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</si>
  <si>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</si>
  <si>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</si>
  <si>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</si>
  <si>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</si>
  <si>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</si>
  <si>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</si>
  <si>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</si>
  <si>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</si>
  <si>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</si>
  <si>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</si>
  <si>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</si>
  <si>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</si>
  <si>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</si>
  <si>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</si>
  <si>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</si>
  <si>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</si>
  <si>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</si>
  <si>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</si>
  <si>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</si>
  <si>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</si>
  <si>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</si>
  <si>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</si>
  <si>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</si>
  <si>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</si>
  <si>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</si>
  <si>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</si>
  <si>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</si>
  <si>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</si>
  <si>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</si>
  <si>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</si>
  <si>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</si>
  <si>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</si>
  <si>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</si>
  <si>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</si>
  <si>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</si>
  <si>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</si>
  <si>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</si>
  <si>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</si>
  <si>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</si>
  <si>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</si>
  <si>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</si>
  <si>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</si>
  <si>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</si>
  <si>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</si>
  <si>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</si>
  <si>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</si>
  <si>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</si>
  <si>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</si>
  <si>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</si>
  <si>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</si>
  <si>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</si>
  <si>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</si>
  <si>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</si>
  <si>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</si>
  <si>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</si>
  <si>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</si>
  <si>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</si>
  <si>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</si>
  <si>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</si>
  <si>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</si>
  <si>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</si>
  <si>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</si>
  <si>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</si>
  <si>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</si>
  <si>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</si>
  <si>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</si>
  <si>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</si>
  <si>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</si>
  <si>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</si>
  <si>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</si>
  <si>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</si>
  <si>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</si>
  <si>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</si>
  <si>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</si>
  <si>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</si>
  <si>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</si>
  <si>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</si>
  <si>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</si>
  <si>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</si>
  <si>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</si>
  <si>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</si>
  <si>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</si>
  <si>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</si>
  <si>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</si>
  <si>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</si>
  <si>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</si>
  <si>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</si>
  <si>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</si>
  <si>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</si>
  <si>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</si>
  <si>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</si>
  <si>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</si>
  <si>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</si>
  <si>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</si>
  <si>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</si>
  <si>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</si>
  <si>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</si>
  <si>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</si>
  <si>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</si>
  <si>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</si>
  <si>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</si>
  <si>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</si>
  <si>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</si>
  <si>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</si>
  <si>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</si>
  <si>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</si>
  <si>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</si>
  <si>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</si>
  <si>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</si>
  <si>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</si>
  <si>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</si>
  <si>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</si>
  <si>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</si>
  <si>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</si>
  <si>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</si>
  <si>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</si>
  <si>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</si>
  <si>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</si>
  <si>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</si>
  <si>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</si>
  <si>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</si>
  <si>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</si>
  <si>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</si>
  <si>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</si>
  <si>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</si>
  <si>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</si>
  <si>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</si>
  <si>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</si>
  <si>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</si>
  <si>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</si>
  <si>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</si>
  <si>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</si>
  <si>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</si>
  <si>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</si>
  <si>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</si>
  <si>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</si>
  <si>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</si>
  <si>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</si>
  <si>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</si>
  <si>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</si>
  <si>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</si>
  <si>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</si>
  <si>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</si>
  <si>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</si>
  <si>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</si>
  <si>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</si>
  <si>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</si>
  <si>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</si>
  <si>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</si>
  <si>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</si>
  <si>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</si>
  <si>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</si>
  <si>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</si>
  <si>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</si>
  <si>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</si>
  <si>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</si>
  <si>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</si>
  <si>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</si>
  <si>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</si>
  <si>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</si>
  <si>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</si>
  <si>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</si>
  <si>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</si>
  <si>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</si>
  <si>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</si>
  <si>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</si>
  <si>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</si>
  <si>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</si>
  <si>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</si>
  <si>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</si>
  <si>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</si>
  <si>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</si>
  <si>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</si>
  <si>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</si>
  <si>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</si>
  <si>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</si>
  <si>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</si>
  <si>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</si>
  <si>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</si>
  <si>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</si>
  <si>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</si>
  <si>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</si>
  <si>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</si>
  <si>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</si>
  <si>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</si>
  <si>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</si>
  <si>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</si>
  <si>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</si>
  <si>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</si>
  <si>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</si>
  <si>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</si>
  <si>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</si>
  <si>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</si>
  <si>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</si>
  <si>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</si>
  <si>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</si>
  <si>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</si>
  <si>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</si>
  <si>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</si>
  <si>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</si>
  <si>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</si>
  <si>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</si>
  <si>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</si>
  <si>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</si>
  <si>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</si>
  <si>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</si>
  <si>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</si>
  <si>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</si>
  <si>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</si>
  <si>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</si>
  <si>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</si>
  <si>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</si>
  <si>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</si>
  <si>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</si>
  <si>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</si>
  <si>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</si>
  <si>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</si>
  <si>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</si>
  <si>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</si>
  <si>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</si>
  <si>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</si>
  <si>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</si>
  <si>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</si>
  <si>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</si>
  <si>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</si>
  <si>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</si>
  <si>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</si>
  <si>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</si>
  <si>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</si>
  <si>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</si>
  <si>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</si>
  <si>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</si>
  <si>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</si>
  <si>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</si>
  <si>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</si>
  <si>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</si>
  <si>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</si>
  <si>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</si>
  <si>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</si>
  <si>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</si>
  <si>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</si>
  <si>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</si>
  <si>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</si>
  <si>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</si>
  <si>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</si>
  <si>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</si>
  <si>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</si>
  <si>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</si>
  <si>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</si>
  <si>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</si>
  <si>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</si>
  <si>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</si>
  <si>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</si>
  <si>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</si>
  <si>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</si>
  <si>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</si>
  <si>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</si>
  <si>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</si>
  <si>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</si>
  <si>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</si>
  <si>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</si>
  <si>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</si>
  <si>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</si>
  <si>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</si>
  <si>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</si>
  <si>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</si>
  <si>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</si>
  <si>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</si>
  <si>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</si>
  <si>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</si>
  <si>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</si>
  <si>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</si>
  <si>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</si>
  <si>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</si>
  <si>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</si>
  <si>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</si>
  <si>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</si>
  <si>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</si>
  <si>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</si>
  <si>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</si>
  <si>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</si>
  <si>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</si>
  <si>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</si>
  <si>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</si>
  <si>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</si>
  <si>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</si>
  <si>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</si>
  <si>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</si>
  <si>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</si>
  <si>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</si>
  <si>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</si>
  <si>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</si>
  <si>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</si>
  <si>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</si>
  <si>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</si>
  <si>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</si>
  <si>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</si>
  <si>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</si>
  <si>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</si>
  <si>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</si>
  <si>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</si>
  <si>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</si>
  <si>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</si>
  <si>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</si>
  <si>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</si>
  <si>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</si>
  <si>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</si>
  <si>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</si>
  <si>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</si>
  <si>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</si>
  <si>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</si>
  <si>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</si>
  <si>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</si>
  <si>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</si>
  <si>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</si>
  <si>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</si>
  <si>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</si>
  <si>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</si>
  <si>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</si>
  <si>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</si>
  <si>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</si>
  <si>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</si>
  <si>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</si>
  <si>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</si>
  <si>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</si>
  <si>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</si>
  <si>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</si>
  <si>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</si>
  <si>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</si>
  <si>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</si>
  <si>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</si>
  <si>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</si>
  <si>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</si>
  <si>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</si>
  <si>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</si>
  <si>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</si>
  <si>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</si>
  <si>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</si>
  <si>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</si>
  <si>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</si>
  <si>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</si>
  <si>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</si>
  <si>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</si>
  <si>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</si>
  <si>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</si>
  <si>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</si>
  <si>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</si>
  <si>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</si>
  <si>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</si>
  <si>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</si>
  <si>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</si>
  <si>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</si>
  <si>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</si>
  <si>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</si>
  <si>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</si>
  <si>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</si>
  <si>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</si>
  <si>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</si>
  <si>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</si>
  <si>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</si>
  <si>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</si>
  <si>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</si>
  <si>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</si>
  <si>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</si>
  <si>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</si>
  <si>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</si>
  <si>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</si>
  <si>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</si>
  <si>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</si>
  <si>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</si>
  <si>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</si>
  <si>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</si>
  <si>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</si>
  <si>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</si>
  <si>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</si>
  <si>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</si>
  <si>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</si>
  <si>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</si>
  <si>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</si>
  <si>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</si>
  <si>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</si>
  <si>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</si>
  <si>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</si>
  <si>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</si>
  <si>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</si>
  <si>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</si>
  <si>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</si>
  <si>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</si>
  <si>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</si>
  <si>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</si>
  <si>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</si>
  <si>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</si>
  <si>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</si>
  <si>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</si>
  <si>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</si>
  <si>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</si>
  <si>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</si>
  <si>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</si>
  <si>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</si>
  <si>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</si>
  <si>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</si>
  <si>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</si>
  <si>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</si>
  <si>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</si>
  <si>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</si>
  <si>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</si>
  <si>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</si>
  <si>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</si>
  <si>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</si>
  <si>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</si>
  <si>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</si>
  <si>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</si>
  <si>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</si>
  <si>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</si>
  <si>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</si>
  <si>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</si>
  <si>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</si>
  <si>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</si>
  <si>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</si>
  <si>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</si>
  <si>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</si>
  <si>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</si>
  <si>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</si>
  <si>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</si>
  <si>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</si>
  <si>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</si>
  <si>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</si>
  <si>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</si>
  <si>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</si>
  <si>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</si>
  <si>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</si>
  <si>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</si>
  <si>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</si>
  <si>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</si>
  <si>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</si>
  <si>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</si>
  <si>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</si>
  <si>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</si>
  <si>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</si>
  <si>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</si>
  <si>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</si>
  <si>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</si>
  <si>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</si>
  <si>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</si>
  <si>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</si>
  <si>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</si>
  <si>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</si>
  <si>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</si>
  <si>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</si>
  <si>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</si>
  <si>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</si>
  <si>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</si>
  <si>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</si>
  <si>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</si>
  <si>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</si>
  <si>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</si>
  <si>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</si>
  <si>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</si>
  <si>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</si>
  <si>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</si>
  <si>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</si>
  <si>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</si>
  <si>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</si>
  <si>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</si>
  <si>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</si>
  <si>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</si>
  <si>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</si>
  <si>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</si>
  <si>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</si>
  <si>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</si>
  <si>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</si>
  <si>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</si>
  <si>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</si>
  <si>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</si>
  <si>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</si>
  <si>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</si>
  <si>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</si>
  <si>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</si>
  <si>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</si>
  <si>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</si>
  <si>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</si>
  <si>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</si>
  <si>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</si>
  <si>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</si>
  <si>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</si>
  <si>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</si>
  <si>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</si>
  <si>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</si>
  <si>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</si>
  <si>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</si>
  <si>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</si>
  <si>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</si>
  <si>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</si>
  <si>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</si>
  <si>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</si>
  <si>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</si>
  <si>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</si>
  <si>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</si>
  <si>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</si>
  <si>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</si>
  <si>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</si>
  <si>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</si>
  <si>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</si>
  <si>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</si>
  <si>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</si>
  <si>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</si>
  <si>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</si>
  <si>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</si>
  <si>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</si>
  <si>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</si>
  <si>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</si>
  <si>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</si>
  <si>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</si>
  <si>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</si>
  <si>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</si>
  <si>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</si>
  <si>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</si>
  <si>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</si>
  <si>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</si>
  <si>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</si>
  <si>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</si>
  <si>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</si>
  <si>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</si>
  <si>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</si>
  <si>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</si>
  <si>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</si>
  <si>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</si>
  <si>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</si>
  <si>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</si>
  <si>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</si>
  <si>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</si>
  <si>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</si>
  <si>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</si>
  <si>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</si>
  <si>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</si>
  <si>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</si>
  <si>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</si>
  <si>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</si>
  <si>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</si>
  <si>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</si>
  <si>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</si>
  <si>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</si>
  <si>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</si>
  <si>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</si>
  <si>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</si>
  <si>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</si>
  <si>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</si>
  <si>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</si>
  <si>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</si>
  <si>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</si>
  <si>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</si>
  <si>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</si>
  <si>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</si>
  <si>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</si>
  <si>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</si>
  <si>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</si>
  <si>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</si>
  <si>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</si>
  <si>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</si>
  <si>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</si>
  <si>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</si>
  <si>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</si>
  <si>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</si>
  <si>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</si>
  <si>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</si>
  <si>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</si>
  <si>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</si>
  <si>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</si>
  <si>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</si>
  <si>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</si>
  <si>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</si>
  <si>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</si>
  <si>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</si>
  <si>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</si>
  <si>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</si>
  <si>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</si>
  <si>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</si>
  <si>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</si>
  <si>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</si>
  <si>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</si>
  <si>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</si>
  <si>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</si>
  <si>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</si>
  <si>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</si>
  <si>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</si>
  <si>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</si>
  <si>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</si>
  <si>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</si>
  <si>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</si>
  <si>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</si>
  <si>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</si>
  <si>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</si>
  <si>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</si>
  <si>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</si>
  <si>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</si>
  <si>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</si>
  <si>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</si>
  <si>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</si>
  <si>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</si>
  <si>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</si>
  <si>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</si>
  <si>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</si>
  <si>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</si>
  <si>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</si>
  <si>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</si>
  <si>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</si>
  <si>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</si>
  <si>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</si>
  <si>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</si>
  <si>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</si>
  <si>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</si>
  <si>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</si>
  <si>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</si>
  <si>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</si>
  <si>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</si>
  <si>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</si>
  <si>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</si>
  <si>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</si>
  <si>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</si>
  <si>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</si>
  <si>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</si>
  <si>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</si>
  <si>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</si>
  <si>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</si>
  <si>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</si>
  <si>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</si>
  <si>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</si>
  <si>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</si>
  <si>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</si>
  <si>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</si>
  <si>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</si>
  <si>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</si>
  <si>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</si>
  <si>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</si>
  <si>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</si>
  <si>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</si>
  <si>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</si>
  <si>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</si>
  <si>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</si>
  <si>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</si>
  <si>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</si>
  <si>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</si>
  <si>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</si>
  <si>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</si>
  <si>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</si>
  <si>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</si>
  <si>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</si>
  <si>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</si>
  <si>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</si>
  <si>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</si>
  <si>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</si>
  <si>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</si>
  <si>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</si>
  <si>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</si>
  <si>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</si>
  <si>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</si>
  <si>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</si>
  <si>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</si>
  <si>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</si>
  <si>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</si>
  <si>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</si>
  <si>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</si>
  <si>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</si>
  <si>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</si>
  <si>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</si>
  <si>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</si>
  <si>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</si>
  <si>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</si>
  <si>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</si>
  <si>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</si>
  <si>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</si>
  <si>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</si>
  <si>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</si>
  <si>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</si>
  <si>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</si>
  <si>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</si>
  <si>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</si>
  <si>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</si>
  <si>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</si>
  <si>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</si>
  <si>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</si>
  <si>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</si>
  <si>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</si>
  <si>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</si>
  <si>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</si>
  <si>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</si>
  <si>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</si>
  <si>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</si>
  <si>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</si>
  <si>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</si>
  <si>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</si>
  <si>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</si>
  <si>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</si>
  <si>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</si>
  <si>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</si>
  <si>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</si>
  <si>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</si>
  <si>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</si>
  <si>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</si>
  <si>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</si>
  <si>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</si>
  <si>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</si>
  <si>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</si>
  <si>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</si>
  <si>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</si>
  <si>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</si>
  <si>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</si>
  <si>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</si>
  <si>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</si>
  <si>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</si>
  <si>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</si>
  <si>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</si>
  <si>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</si>
  <si>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</si>
  <si>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</si>
  <si>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</si>
  <si>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</si>
  <si>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</si>
  <si>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</si>
  <si>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</si>
  <si>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</si>
  <si>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</si>
  <si>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</si>
  <si>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</si>
  <si>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</si>
  <si>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</si>
  <si>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</si>
  <si>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</si>
  <si>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</si>
  <si>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</si>
  <si>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</si>
  <si>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</si>
  <si>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</si>
  <si>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</si>
  <si>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</si>
  <si>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</si>
  <si>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</si>
  <si>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</si>
  <si>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</si>
  <si>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</si>
  <si>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</si>
  <si>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</si>
  <si>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</si>
  <si>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</si>
  <si>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</si>
  <si>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</si>
  <si>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</si>
  <si>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</si>
  <si>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</si>
  <si>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</si>
  <si>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</si>
  <si>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</si>
  <si>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</si>
  <si>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</si>
  <si>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</si>
  <si>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</si>
  <si>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</si>
  <si>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</si>
  <si>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</si>
  <si>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</si>
  <si>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</si>
  <si>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</si>
  <si>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</si>
  <si>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</si>
  <si>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</si>
  <si>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</si>
  <si>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</si>
  <si>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</si>
  <si>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</si>
  <si>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</si>
  <si>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</si>
  <si>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</si>
  <si>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</si>
  <si>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</si>
  <si>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</si>
  <si>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</si>
  <si>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</si>
  <si>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</si>
  <si>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</si>
  <si>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</si>
  <si>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</si>
  <si>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</si>
  <si>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</si>
  <si>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</si>
  <si>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</si>
  <si>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</si>
  <si>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</si>
  <si>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</si>
  <si>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</si>
  <si>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</si>
  <si>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</si>
  <si>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</si>
  <si>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</si>
  <si>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</si>
  <si>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</si>
  <si>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</si>
  <si>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</si>
  <si>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</si>
  <si>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</si>
  <si>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</si>
  <si>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</si>
  <si>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Manchester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</si>
</sst>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7C9E-529F-432C-9BA7-B6CDB116591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505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335</v>
      </c>
      <c r="C2" s="21">
        <v>335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200+1097038.15</f>
        <v>1097238.1499999999</v>
      </c>
      <c r="G9" s="18">
        <f>119251.37+2749.15</f>
        <v>122000.51999999999</v>
      </c>
      <c r="H9" s="18">
        <f>1250</f>
        <v>1250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f>2056639.76+4000000</f>
        <v>6056639.7599999998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551432.15</v>
      </c>
      <c r="H12" s="18"/>
      <c r="I12" s="18"/>
      <c r="J12" s="67">
        <f>SUM(I433)</f>
        <v>3411126.75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30468838.44</f>
        <v>30468838.440000001</v>
      </c>
      <c r="G13" s="18">
        <v>219010.95</v>
      </c>
      <c r="H13" s="18">
        <v>41653.03</v>
      </c>
      <c r="I13" s="18"/>
      <c r="J13" s="67">
        <f>SUM(I434)</f>
        <v>4823642.91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887218.09-0.8</f>
        <v>887217.28999999992</v>
      </c>
      <c r="G14" s="18">
        <f>3317.71+35.25+14</f>
        <v>3366.96</v>
      </c>
      <c r="H14" s="18">
        <v>5935570.6900000004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f>39137.26</f>
        <v>39137.26</v>
      </c>
      <c r="G17" s="18"/>
      <c r="H17" s="18">
        <v>211.5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38549070.899999999</v>
      </c>
      <c r="G19" s="41">
        <f>SUM(G9:G18)</f>
        <v>895810.58000000007</v>
      </c>
      <c r="H19" s="41">
        <f>SUM(H9:H18)</f>
        <v>5978685.2200000007</v>
      </c>
      <c r="I19" s="41">
        <f>SUM(I9:I18)</f>
        <v>0</v>
      </c>
      <c r="J19" s="41">
        <f>SUM(J9:J18)</f>
        <v>8234769.6600000001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272627.71999999997</v>
      </c>
      <c r="G23" s="18"/>
      <c r="H23" s="18">
        <v>3689931.18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702674.36-692678.59+39804.02+55760.27</f>
        <v>105560.06000000001</v>
      </c>
      <c r="G25" s="18">
        <v>100839.95</v>
      </c>
      <c r="H25" s="18">
        <v>330246.44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2928154.54</v>
      </c>
      <c r="G29" s="18">
        <v>18144.18</v>
      </c>
      <c r="H29" s="18">
        <v>596678.99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812430.83+19636.68+793684.95+5349.33</f>
        <v>1631101.79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f>31774117.13+147881.3</f>
        <v>31921998.43</v>
      </c>
      <c r="G31" s="18">
        <f>26214.61+7669.06+9828.09</f>
        <v>43711.759999999995</v>
      </c>
      <c r="H31" s="18">
        <v>23927.62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36859442.539999999</v>
      </c>
      <c r="G33" s="41">
        <f>SUM(G23:G32)</f>
        <v>162695.89000000001</v>
      </c>
      <c r="H33" s="41">
        <f>SUM(H23:H32)</f>
        <v>4640784.2300000004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668810.36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803800</v>
      </c>
      <c r="G41" s="18">
        <v>733114.69</v>
      </c>
      <c r="H41" s="18">
        <v>1337900.99</v>
      </c>
      <c r="I41" s="18"/>
      <c r="J41" s="13">
        <f>SUM(I449)</f>
        <v>8234769.6600000001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217018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1689628.3599999999</v>
      </c>
      <c r="G43" s="41">
        <f>SUM(G35:G42)</f>
        <v>733114.69</v>
      </c>
      <c r="H43" s="41">
        <f>SUM(H35:H42)</f>
        <v>1337900.99</v>
      </c>
      <c r="I43" s="41">
        <f>SUM(I35:I42)</f>
        <v>0</v>
      </c>
      <c r="J43" s="41">
        <f>SUM(J35:J42)</f>
        <v>8234769.6600000001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38549070.899999999</v>
      </c>
      <c r="G44" s="41">
        <f>G43+G33</f>
        <v>895810.58</v>
      </c>
      <c r="H44" s="41">
        <f>H43+H33</f>
        <v>5978685.2200000007</v>
      </c>
      <c r="I44" s="41">
        <f>I43+I33</f>
        <v>0</v>
      </c>
      <c r="J44" s="41">
        <f>J43+J33</f>
        <v>8234769.6600000001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53047469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53047469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11414.26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31458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185903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46640.38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6856002.16+1436396</f>
        <v>8292398.1600000001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2203986.84</v>
      </c>
      <c r="G61" s="24" t="s">
        <v>312</v>
      </c>
      <c r="H61" s="18">
        <v>3387938.88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470764.26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f>74315.83</f>
        <v>74315.83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10978563.52</v>
      </c>
      <c r="G71" s="45" t="s">
        <v>312</v>
      </c>
      <c r="H71" s="41">
        <f>SUM(H55:H70)</f>
        <v>3726256.09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177558.66</v>
      </c>
      <c r="G88" s="18"/>
      <c r="H88" s="18"/>
      <c r="I88" s="18"/>
      <c r="J88" s="18">
        <v>8457.6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-30554+11967.9+1103003.72+39707.85+560346.47+125.31+27399.08+217</f>
        <v>1712213.33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37814</v>
      </c>
      <c r="G90" s="24" t="s">
        <v>312</v>
      </c>
      <c r="H90" s="18">
        <v>62287.51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13700.81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420145.17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121670.7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28201.79+2500+510000</f>
        <v>540701.79</v>
      </c>
      <c r="G102" s="18"/>
      <c r="H102" s="18">
        <f>107608.75+3200000</f>
        <v>3307608.75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891445.96</v>
      </c>
      <c r="G103" s="41">
        <f>SUM(G88:G102)</f>
        <v>1712213.33</v>
      </c>
      <c r="H103" s="41">
        <f>SUM(H88:H102)</f>
        <v>3790041.43</v>
      </c>
      <c r="I103" s="41">
        <f>SUM(I88:I102)</f>
        <v>0</v>
      </c>
      <c r="J103" s="41">
        <f>SUM(J88:J102)</f>
        <v>8457.6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64917478.479999997</v>
      </c>
      <c r="G104" s="41">
        <f>G52+G103</f>
        <v>1712213.33</v>
      </c>
      <c r="H104" s="41">
        <f>H52+H71+H86+H103</f>
        <v>7516297.5199999996</v>
      </c>
      <c r="I104" s="41">
        <f>I52+I103</f>
        <v>0</v>
      </c>
      <c r="J104" s="41">
        <f>J52+J103</f>
        <v>8457.6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54774603.609999999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20793234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1986659.39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77554497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2037326.45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536147.96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546982.93999999994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83888.93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105900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25253.88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3120457.35</v>
      </c>
      <c r="G128" s="41">
        <f>SUM(G115:G127)</f>
        <v>83888.93</v>
      </c>
      <c r="H128" s="41">
        <f>SUM(H115:H127)</f>
        <v>131153.88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80674954.349999994</v>
      </c>
      <c r="G132" s="41">
        <f>G113+SUM(G128:G129)</f>
        <v>83888.93</v>
      </c>
      <c r="H132" s="41">
        <f>H113+SUM(H128:H131)</f>
        <v>131153.88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>
        <v>196779.19</v>
      </c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196779.19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6999080.5800000001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3263358.83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620971.61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466772.98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3253118.93+85061.17</f>
        <v>3338180.1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3926498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1542698.91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85397.27</v>
      </c>
      <c r="G153" s="18"/>
      <c r="H153" s="18">
        <f>200708.52+5787433.96</f>
        <v>5988142.4799999995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1628096.18</v>
      </c>
      <c r="G154" s="41">
        <f>SUM(G142:G153)</f>
        <v>3338180.1</v>
      </c>
      <c r="H154" s="41">
        <f>SUM(H142:H153)</f>
        <v>21264824.48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1628096.18</v>
      </c>
      <c r="G161" s="41">
        <f>G139+G154+SUM(G155:G160)</f>
        <v>3534959.29</v>
      </c>
      <c r="H161" s="41">
        <f>H139+H154+SUM(H155:H160)</f>
        <v>21264824.48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6180059.4800000004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231748.29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231748.29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6180059.4800000004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231748.29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6180059.4800000004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147452277.29999998</v>
      </c>
      <c r="G185" s="47">
        <f>G104+G132+G161+G184</f>
        <v>5331061.55</v>
      </c>
      <c r="H185" s="47">
        <f>H104+H132+H161+H184</f>
        <v>28912275.879999999</v>
      </c>
      <c r="I185" s="47">
        <f>I104+I132+I161+I184</f>
        <v>0</v>
      </c>
      <c r="J185" s="47">
        <f>J104+J132+J184</f>
        <v>6188517.0800000001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40651.27+16868848.3</f>
        <v>16909499.57</v>
      </c>
      <c r="G189" s="18">
        <f>-2229193.97+7511144.26</f>
        <v>5281950.2899999991</v>
      </c>
      <c r="H189" s="18">
        <f>1347.59+2543.37+521.5+19010.62+11221.86+6588.62+8758.71+50.5+1978.82</f>
        <v>52021.590000000004</v>
      </c>
      <c r="I189" s="18">
        <f>7579.27+189479.35+49578.91-0.04</f>
        <v>246637.49</v>
      </c>
      <c r="J189" s="18">
        <f>10038.35</f>
        <v>10038.35</v>
      </c>
      <c r="K189" s="18"/>
      <c r="L189" s="19">
        <f>SUM(F189:K189)</f>
        <v>22500147.289999999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473296.91+7654810.19-0.03</f>
        <v>8128107.0700000003</v>
      </c>
      <c r="G190" s="18">
        <f>-810256.13+5334235.94</f>
        <v>4523979.8100000005</v>
      </c>
      <c r="H190" s="18">
        <f>37889.26+105514.8+474.98+352+1235431.1+1465.38</f>
        <v>1381127.52</v>
      </c>
      <c r="I190" s="18">
        <f>14622.73+103992.01+4635.32</f>
        <v>123250.06</v>
      </c>
      <c r="J190" s="18">
        <f>172.55+5235.15</f>
        <v>5407.7</v>
      </c>
      <c r="K190" s="18">
        <f>924.28</f>
        <v>924.28</v>
      </c>
      <c r="L190" s="19">
        <f>SUM(F190:K190)</f>
        <v>14162796.439999999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24534.96</f>
        <v>24534.959999999999</v>
      </c>
      <c r="G192" s="18">
        <f>3060.18</f>
        <v>3060.18</v>
      </c>
      <c r="H192" s="18"/>
      <c r="I192" s="18">
        <f>724.07</f>
        <v>724.07</v>
      </c>
      <c r="J192" s="18"/>
      <c r="K192" s="18"/>
      <c r="L192" s="19">
        <f>SUM(F192:K192)</f>
        <v>28319.21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34911.06+2046312.23</f>
        <v>2081223.29</v>
      </c>
      <c r="G194" s="18">
        <f>18130.77+880560.14</f>
        <v>898690.91</v>
      </c>
      <c r="H194" s="18">
        <f>826656.57+860688.02+47503.89+524.92</f>
        <v>1735373.3999999997</v>
      </c>
      <c r="I194" s="18">
        <f>1566.25+2744.94</f>
        <v>4311.1900000000005</v>
      </c>
      <c r="J194" s="18"/>
      <c r="K194" s="18"/>
      <c r="L194" s="19">
        <f t="shared" ref="L194:L200" si="0">SUM(F194:K194)</f>
        <v>4719598.79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15919.06+709997.5</f>
        <v>725916.56</v>
      </c>
      <c r="G195" s="18">
        <f>6223.03+282913.3+32993.27+37150.76</f>
        <v>359280.36000000004</v>
      </c>
      <c r="H195" s="18">
        <f>168.92</f>
        <v>168.92</v>
      </c>
      <c r="I195" s="18">
        <f>2595.68+757.46</f>
        <v>3353.14</v>
      </c>
      <c r="J195" s="18"/>
      <c r="K195" s="18"/>
      <c r="L195" s="19">
        <f t="shared" si="0"/>
        <v>1088718.98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248025.9+2381.4</f>
        <v>250407.3</v>
      </c>
      <c r="G196" s="18">
        <f>134554.41+530.14</f>
        <v>135084.55000000002</v>
      </c>
      <c r="H196" s="18">
        <f>24033.95</f>
        <v>24033.95</v>
      </c>
      <c r="I196" s="18">
        <f>2212.37</f>
        <v>2212.37</v>
      </c>
      <c r="J196" s="18"/>
      <c r="K196" s="18">
        <f>4844.27</f>
        <v>4844.2700000000004</v>
      </c>
      <c r="L196" s="19">
        <f t="shared" si="0"/>
        <v>416582.44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21113.7+2662024.14</f>
        <v>2683137.8400000003</v>
      </c>
      <c r="G197" s="18">
        <f>3573.57+1055188.36</f>
        <v>1058761.9300000002</v>
      </c>
      <c r="H197" s="18">
        <f>1807.28+72473.68+390.59</f>
        <v>74671.549999999988</v>
      </c>
      <c r="I197" s="18">
        <f>75.27+6618.72</f>
        <v>6693.9900000000007</v>
      </c>
      <c r="J197" s="18">
        <f>4971</f>
        <v>4971</v>
      </c>
      <c r="K197" s="18">
        <v>12319.53</v>
      </c>
      <c r="L197" s="19">
        <f t="shared" si="0"/>
        <v>3840555.8400000003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f>213586.2</f>
        <v>213586.2</v>
      </c>
      <c r="G198" s="18">
        <f>107141.63+11121.98</f>
        <v>118263.61</v>
      </c>
      <c r="H198" s="18">
        <f>84453.11</f>
        <v>84453.11</v>
      </c>
      <c r="I198" s="18">
        <f>2773.87</f>
        <v>2773.87</v>
      </c>
      <c r="J198" s="18"/>
      <c r="K198" s="18">
        <f>52.5</f>
        <v>52.5</v>
      </c>
      <c r="L198" s="19">
        <f t="shared" si="0"/>
        <v>419129.29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>
        <f>2199687.52+68777.25+57532.46+1560-50+14702.17</f>
        <v>2342209.4</v>
      </c>
      <c r="I199" s="18">
        <f>-1690.27+1840+381098.34+543124.92+331.77</f>
        <v>924704.76</v>
      </c>
      <c r="J199" s="18">
        <v>6417</v>
      </c>
      <c r="K199" s="18">
        <f>64.75</f>
        <v>64.75</v>
      </c>
      <c r="L199" s="19">
        <f t="shared" si="0"/>
        <v>3273395.91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21067.1</v>
      </c>
      <c r="G200" s="18">
        <v>8117.82</v>
      </c>
      <c r="H200" s="18">
        <v>2338400.19</v>
      </c>
      <c r="I200" s="18"/>
      <c r="J200" s="18"/>
      <c r="K200" s="18"/>
      <c r="L200" s="19">
        <f t="shared" si="0"/>
        <v>2367585.11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216779.7</f>
        <v>216779.7</v>
      </c>
      <c r="G201" s="18">
        <f>82729.39</f>
        <v>82729.39</v>
      </c>
      <c r="H201" s="18">
        <f>138280.84+10744.05+9673.65</f>
        <v>158698.53999999998</v>
      </c>
      <c r="I201" s="18">
        <f>16781.06+7704.73</f>
        <v>24485.79</v>
      </c>
      <c r="J201" s="18">
        <f>4505.81</f>
        <v>4505.8100000000004</v>
      </c>
      <c r="K201" s="18">
        <f>56.96</f>
        <v>56.96</v>
      </c>
      <c r="L201" s="19">
        <f>SUM(F201:K201)</f>
        <v>487256.19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31254259.59</v>
      </c>
      <c r="G203" s="41">
        <f t="shared" si="1"/>
        <v>12469918.85</v>
      </c>
      <c r="H203" s="41">
        <f t="shared" si="1"/>
        <v>8191158.169999999</v>
      </c>
      <c r="I203" s="41">
        <f t="shared" si="1"/>
        <v>1339146.73</v>
      </c>
      <c r="J203" s="41">
        <f t="shared" si="1"/>
        <v>31339.86</v>
      </c>
      <c r="K203" s="41">
        <f t="shared" si="1"/>
        <v>18262.29</v>
      </c>
      <c r="L203" s="41">
        <f t="shared" si="1"/>
        <v>53304085.489999995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25552.23+10470826.39</f>
        <v>10496378.620000001</v>
      </c>
      <c r="G207" s="18">
        <f>-1525237.98+4979719.25</f>
        <v>3454481.27</v>
      </c>
      <c r="H207" s="18">
        <f>847.06+113+116+10173.01+5974.78+18543.12+303+923.45</f>
        <v>36993.42</v>
      </c>
      <c r="I207" s="18">
        <f>4764.11+97607.9+269.87</f>
        <v>102641.87999999999</v>
      </c>
      <c r="J207" s="18">
        <f>6309.82</f>
        <v>6309.82</v>
      </c>
      <c r="K207" s="18">
        <f>200</f>
        <v>200</v>
      </c>
      <c r="L207" s="19">
        <f>SUM(F207:K207)</f>
        <v>14097005.010000002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350429.48+3705091.19</f>
        <v>4055520.67</v>
      </c>
      <c r="G208" s="18">
        <f>-509303.85+2388155.69</f>
        <v>1878851.8399999999</v>
      </c>
      <c r="H208" s="18">
        <f>23816.11+98971.83+205+1278777.65+614.59</f>
        <v>1402385.18</v>
      </c>
      <c r="I208" s="18">
        <f>9191.43+27283.25+896.13</f>
        <v>37370.81</v>
      </c>
      <c r="J208" s="18">
        <f>108.46+573.51</f>
        <v>681.97</v>
      </c>
      <c r="K208" s="18">
        <f>580.98+105</f>
        <v>685.98</v>
      </c>
      <c r="L208" s="19">
        <f>SUM(F208:K208)</f>
        <v>7375496.4499999993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f>834114.58</f>
        <v>834114.58</v>
      </c>
      <c r="G209" s="18">
        <f>425049.56</f>
        <v>425049.56</v>
      </c>
      <c r="H209" s="18"/>
      <c r="I209" s="18">
        <f>7684.77</f>
        <v>7684.77</v>
      </c>
      <c r="J209" s="18"/>
      <c r="K209" s="18"/>
      <c r="L209" s="19">
        <f>SUM(F209:K209)</f>
        <v>1266848.9099999999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3919.03+174883.59</f>
        <v>178802.62</v>
      </c>
      <c r="G210" s="18">
        <f>303.12+27492.46</f>
        <v>27795.579999999998</v>
      </c>
      <c r="H210" s="18">
        <f>455.13+4217.9+10500</f>
        <v>15173.029999999999</v>
      </c>
      <c r="I210" s="18">
        <f>2984.38</f>
        <v>2984.38</v>
      </c>
      <c r="J210" s="18"/>
      <c r="K210" s="18">
        <f>18657.4+560</f>
        <v>19217.400000000001</v>
      </c>
      <c r="L210" s="19">
        <f>SUM(F210:K210)</f>
        <v>243973.00999999998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21944.09+1056734.28</f>
        <v>1078678.3700000001</v>
      </c>
      <c r="G212" s="18">
        <f>11396.48+422996.09</f>
        <v>434392.57</v>
      </c>
      <c r="H212" s="18">
        <f>519612.7+156828.02+3660.72+381</f>
        <v>680482.44</v>
      </c>
      <c r="I212" s="18">
        <f>984.5+484</f>
        <v>1468.5</v>
      </c>
      <c r="J212" s="18"/>
      <c r="K212" s="18"/>
      <c r="L212" s="19">
        <f t="shared" ref="L212:L218" si="2">SUM(F212:K212)</f>
        <v>2195021.88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10006.27+245121.52</f>
        <v>255127.78999999998</v>
      </c>
      <c r="G213" s="18">
        <f>3911.62+91814.54+27259.84+21135.23</f>
        <v>144121.22999999998</v>
      </c>
      <c r="H213" s="18">
        <f>106.18</f>
        <v>106.18</v>
      </c>
      <c r="I213" s="18">
        <f>1170.21+766.85</f>
        <v>1937.06</v>
      </c>
      <c r="J213" s="18"/>
      <c r="K213" s="18"/>
      <c r="L213" s="19">
        <f t="shared" si="2"/>
        <v>401292.25999999995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155901.99+1496.88</f>
        <v>157398.87</v>
      </c>
      <c r="G214" s="18">
        <f>84577.06+333.23</f>
        <v>84910.29</v>
      </c>
      <c r="H214" s="18">
        <f>15107.05+2400</f>
        <v>17507.05</v>
      </c>
      <c r="I214" s="18">
        <f>1390.63</f>
        <v>1390.63</v>
      </c>
      <c r="J214" s="18"/>
      <c r="K214" s="18">
        <f>3044.97</f>
        <v>3044.97</v>
      </c>
      <c r="L214" s="19">
        <f t="shared" si="2"/>
        <v>264251.80999999994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13271.47+958182.52</f>
        <v>971453.99</v>
      </c>
      <c r="G215" s="18">
        <f>2246.25+452721.26</f>
        <v>454967.51</v>
      </c>
      <c r="H215" s="18">
        <f>1136.01+45128.24+199.91</f>
        <v>46464.160000000003</v>
      </c>
      <c r="I215" s="18">
        <f>47.31+676.04</f>
        <v>723.34999999999991</v>
      </c>
      <c r="J215" s="18">
        <f>4971</f>
        <v>4971</v>
      </c>
      <c r="K215" s="18">
        <f>4859+242</f>
        <v>5101</v>
      </c>
      <c r="L215" s="19">
        <f t="shared" si="2"/>
        <v>1483681.01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f>134254.18</f>
        <v>134254.18</v>
      </c>
      <c r="G216" s="18">
        <f>67346.17+2713.65</f>
        <v>70059.819999999992</v>
      </c>
      <c r="H216" s="18">
        <f>53084.81</f>
        <v>53084.81</v>
      </c>
      <c r="I216" s="18">
        <f>1743.57</f>
        <v>1743.57</v>
      </c>
      <c r="J216" s="18"/>
      <c r="K216" s="18">
        <f>33</f>
        <v>33</v>
      </c>
      <c r="L216" s="19">
        <f t="shared" si="2"/>
        <v>259175.38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>
        <f>1382660.73+34800.26+21460.32+1048.94+6976.37</f>
        <v>1446946.62</v>
      </c>
      <c r="I217" s="18">
        <f>-1062.45+800+224072.86+396245.67</f>
        <v>620056.07999999996</v>
      </c>
      <c r="J217" s="18"/>
      <c r="K217" s="18">
        <f>40.7</f>
        <v>40.700000000000003</v>
      </c>
      <c r="L217" s="19">
        <f t="shared" si="2"/>
        <v>2067043.4000000001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14828.26</v>
      </c>
      <c r="G218" s="18">
        <v>5713.8</v>
      </c>
      <c r="H218" s="18">
        <v>1655343.44</v>
      </c>
      <c r="I218" s="18"/>
      <c r="J218" s="18"/>
      <c r="K218" s="18"/>
      <c r="L218" s="19">
        <f t="shared" si="2"/>
        <v>1675885.5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136261.53</f>
        <v>136261.53</v>
      </c>
      <c r="G219" s="18">
        <f>52001.33</f>
        <v>52001.33</v>
      </c>
      <c r="H219" s="18">
        <f>86919.38+9148.29+5147.2</f>
        <v>101214.87000000001</v>
      </c>
      <c r="I219" s="18">
        <f>10548.1+415+1780</f>
        <v>12743.1</v>
      </c>
      <c r="J219" s="18">
        <f>2832.22+170</f>
        <v>3002.22</v>
      </c>
      <c r="K219" s="18">
        <f>35.81</f>
        <v>35.81</v>
      </c>
      <c r="L219" s="19">
        <f>SUM(F219:K219)</f>
        <v>305258.85999999993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18312819.48</v>
      </c>
      <c r="G221" s="41">
        <f>SUM(G207:G220)</f>
        <v>7032344.7999999989</v>
      </c>
      <c r="H221" s="41">
        <f>SUM(H207:H220)</f>
        <v>5455701.2000000002</v>
      </c>
      <c r="I221" s="41">
        <f>SUM(I207:I220)</f>
        <v>790744.13</v>
      </c>
      <c r="J221" s="41">
        <f>SUM(J207:J220)</f>
        <v>14965.01</v>
      </c>
      <c r="K221" s="41">
        <f t="shared" si="3"/>
        <v>28358.860000000004</v>
      </c>
      <c r="L221" s="41">
        <f t="shared" si="3"/>
        <v>31634933.48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49942.99-0.01+15707476.79</f>
        <v>15757419.77</v>
      </c>
      <c r="G225" s="18">
        <f>-2111867.97+7079482.2</f>
        <v>4967614.2300000004</v>
      </c>
      <c r="H225" s="18">
        <f>1655.61+7225.06+2432+19542.73+9437.68+7763.63+12313.73+36689.1+234.75</f>
        <v>97294.290000000008</v>
      </c>
      <c r="I225" s="18">
        <f>9311.67+219119.27+8481.5</f>
        <v>236912.44</v>
      </c>
      <c r="J225" s="18">
        <f>12332.83</f>
        <v>12332.83</v>
      </c>
      <c r="K225" s="18">
        <f>325+4111</f>
        <v>4436</v>
      </c>
      <c r="L225" s="19">
        <f>SUM(F225:K225)</f>
        <v>21076009.559999999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121407.63+2843141.1</f>
        <v>2964548.73</v>
      </c>
      <c r="G226" s="18">
        <f>-995457.53+1830461.74</f>
        <v>835004.21</v>
      </c>
      <c r="H226" s="18">
        <f>46549.67+184257.12+165+88+2902593.57+92.4</f>
        <v>3133745.76</v>
      </c>
      <c r="I226" s="18">
        <f>17965.07+20491.66+2613.45</f>
        <v>41070.179999999993</v>
      </c>
      <c r="J226" s="18">
        <f>211.99+3059.31</f>
        <v>3271.3</v>
      </c>
      <c r="K226" s="18">
        <f>1135.54</f>
        <v>1135.54</v>
      </c>
      <c r="L226" s="19">
        <f>SUM(F226:K226)</f>
        <v>6978775.7199999988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2270712.17</f>
        <v>2270712.17</v>
      </c>
      <c r="G227" s="18">
        <f>1055896.68</f>
        <v>1055896.68</v>
      </c>
      <c r="H227" s="18"/>
      <c r="I227" s="18">
        <f>20039.56</f>
        <v>20039.560000000001</v>
      </c>
      <c r="J227" s="18"/>
      <c r="K227" s="18"/>
      <c r="L227" s="19">
        <f>SUM(F227:K227)</f>
        <v>3346648.4099999997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31708.52+799287.66</f>
        <v>830996.18</v>
      </c>
      <c r="G228" s="18">
        <f>2452.5+168249.54</f>
        <v>170702.04</v>
      </c>
      <c r="H228" s="18">
        <f>34126.68+108192.01+4247.5+1191.84</f>
        <v>147758.03</v>
      </c>
      <c r="I228" s="18">
        <f>889.58+115163.9+20762.06+40415.55</f>
        <v>177231.09000000003</v>
      </c>
      <c r="J228" s="18">
        <f>24003.49</f>
        <v>24003.49</v>
      </c>
      <c r="K228" s="18">
        <f>150955.31+154000+22725+28000</f>
        <v>355680.31</v>
      </c>
      <c r="L228" s="19">
        <f>SUM(F228:K228)</f>
        <v>1706371.1400000001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42890.73+1301986.46</f>
        <v>1344877.19</v>
      </c>
      <c r="G230" s="18">
        <f>22274.94+595910.29</f>
        <v>618185.23</v>
      </c>
      <c r="H230" s="18">
        <f>1015606.65+387039.43+32827.62+270.03</f>
        <v>1435743.7300000002</v>
      </c>
      <c r="I230" s="18">
        <f>1924.25</f>
        <v>1924.25</v>
      </c>
      <c r="J230" s="18"/>
      <c r="K230" s="18"/>
      <c r="L230" s="19">
        <f t="shared" ref="L230:L236" si="4">SUM(F230:K230)</f>
        <v>3400730.4000000004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19557.71+296166.67</f>
        <v>315724.38</v>
      </c>
      <c r="G231" s="18">
        <f>7645.44+140881.56+34407.17+25721.19</f>
        <v>208655.35999999999</v>
      </c>
      <c r="H231" s="18">
        <f>207.53+2405</f>
        <v>2612.5300000000002</v>
      </c>
      <c r="I231" s="18">
        <f>3262.18+17907.27</f>
        <v>21169.45</v>
      </c>
      <c r="J231" s="18"/>
      <c r="K231" s="18"/>
      <c r="L231" s="19">
        <f t="shared" si="4"/>
        <v>548161.72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304717.53+2925.72</f>
        <v>307643.25</v>
      </c>
      <c r="G232" s="18">
        <f>165309.7+651.32</f>
        <v>165961.02000000002</v>
      </c>
      <c r="H232" s="18">
        <f>29527.42</f>
        <v>29527.42</v>
      </c>
      <c r="I232" s="18">
        <f>2718.05</f>
        <v>2718.05</v>
      </c>
      <c r="J232" s="18"/>
      <c r="K232" s="18">
        <f>5951.53</f>
        <v>5951.53</v>
      </c>
      <c r="L232" s="19">
        <f t="shared" si="4"/>
        <v>511801.27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25939.69+1992354.97</f>
        <v>2018294.66</v>
      </c>
      <c r="G233" s="18">
        <f>4390.39+960949.05</f>
        <v>965339.44000000006</v>
      </c>
      <c r="H233" s="18">
        <f>2220.37+55870.52+1191.25+4287.96+179.68</f>
        <v>63749.78</v>
      </c>
      <c r="I233" s="18">
        <f>92.47+18682.55+335.6</f>
        <v>19110.62</v>
      </c>
      <c r="J233" s="18">
        <f>4971</f>
        <v>4971</v>
      </c>
      <c r="K233" s="18">
        <f>21794+6121.38</f>
        <v>27915.38</v>
      </c>
      <c r="L233" s="19">
        <f t="shared" si="4"/>
        <v>3099380.88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f>262405.9</f>
        <v>262405.90000000002</v>
      </c>
      <c r="G234" s="18">
        <f>131631.14+2882.25</f>
        <v>134513.39000000001</v>
      </c>
      <c r="H234" s="18">
        <f>103756.67+151.51</f>
        <v>103908.18</v>
      </c>
      <c r="I234" s="18">
        <f>3407.89</f>
        <v>3407.89</v>
      </c>
      <c r="J234" s="18"/>
      <c r="K234" s="18">
        <f>64.5</f>
        <v>64.5</v>
      </c>
      <c r="L234" s="19">
        <f t="shared" si="4"/>
        <v>504299.86000000004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-448.77</f>
        <v>-448.77</v>
      </c>
      <c r="G235" s="18">
        <f>-117.73</f>
        <v>-117.73</v>
      </c>
      <c r="H235" s="18">
        <f>3202473.24+55152.32+41041.31+14295.82+5587.89+4707.9</f>
        <v>3323258.48</v>
      </c>
      <c r="I235" s="18">
        <f>-2076.61+135+446096.02+776974.86+273.85+1335</f>
        <v>1222738.1200000001</v>
      </c>
      <c r="J235" s="18">
        <f>583.95</f>
        <v>583.95000000000005</v>
      </c>
      <c r="K235" s="18">
        <f>79.55</f>
        <v>79.55</v>
      </c>
      <c r="L235" s="19">
        <f t="shared" si="4"/>
        <v>4546093.5999999996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8424.5</v>
      </c>
      <c r="G236" s="18">
        <v>3246.23</v>
      </c>
      <c r="H236" s="18">
        <v>1047418.98</v>
      </c>
      <c r="I236" s="18"/>
      <c r="J236" s="18"/>
      <c r="K236" s="18"/>
      <c r="L236" s="19">
        <f t="shared" si="4"/>
        <v>1059089.71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f>266329.35</f>
        <v>266329.34999999998</v>
      </c>
      <c r="G237" s="18">
        <f>101638.96</f>
        <v>101638.96</v>
      </c>
      <c r="H237" s="18">
        <f>169887.89</f>
        <v>169887.89</v>
      </c>
      <c r="I237" s="18">
        <f>20616.73</f>
        <v>20616.73</v>
      </c>
      <c r="J237" s="18">
        <f>5535.71</f>
        <v>5535.71</v>
      </c>
      <c r="K237" s="18">
        <f>69.98</f>
        <v>69.98</v>
      </c>
      <c r="L237" s="19">
        <f>SUM(F237:K237)</f>
        <v>564078.61999999988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26346927.310000002</v>
      </c>
      <c r="G239" s="41">
        <f t="shared" si="5"/>
        <v>9226639.0600000024</v>
      </c>
      <c r="H239" s="41">
        <f t="shared" si="5"/>
        <v>9554905.0700000003</v>
      </c>
      <c r="I239" s="41">
        <f t="shared" si="5"/>
        <v>1766938.3800000001</v>
      </c>
      <c r="J239" s="41">
        <f t="shared" si="5"/>
        <v>50698.28</v>
      </c>
      <c r="K239" s="41">
        <f t="shared" si="5"/>
        <v>395332.79</v>
      </c>
      <c r="L239" s="41">
        <f t="shared" si="5"/>
        <v>47341440.890000001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162280.48</f>
        <v>162280.48000000001</v>
      </c>
      <c r="I247" s="18"/>
      <c r="J247" s="18">
        <v>45300</v>
      </c>
      <c r="K247" s="18">
        <v>2700</v>
      </c>
      <c r="L247" s="19">
        <f t="shared" si="6"/>
        <v>210280.48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162280.48000000001</v>
      </c>
      <c r="I248" s="41">
        <f t="shared" si="7"/>
        <v>0</v>
      </c>
      <c r="J248" s="41">
        <f t="shared" si="7"/>
        <v>45300</v>
      </c>
      <c r="K248" s="41">
        <f t="shared" si="7"/>
        <v>2700</v>
      </c>
      <c r="L248" s="41">
        <f>SUM(F248:K248)</f>
        <v>210280.48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75914006.379999995</v>
      </c>
      <c r="G249" s="41">
        <f t="shared" si="8"/>
        <v>28728902.710000001</v>
      </c>
      <c r="H249" s="41">
        <f t="shared" si="8"/>
        <v>23364044.919999998</v>
      </c>
      <c r="I249" s="41">
        <f t="shared" si="8"/>
        <v>3896829.24</v>
      </c>
      <c r="J249" s="41">
        <f t="shared" si="8"/>
        <v>142303.15</v>
      </c>
      <c r="K249" s="41">
        <f t="shared" si="8"/>
        <v>444653.94</v>
      </c>
      <c r="L249" s="41">
        <f t="shared" si="8"/>
        <v>132490740.34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6162664.2800000003</v>
      </c>
      <c r="L252" s="19">
        <f>SUM(F252:K252)</f>
        <v>6162664.2800000003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6103374.0899999999</v>
      </c>
      <c r="L253" s="19">
        <f>SUM(F253:K253)</f>
        <v>6103374.0899999999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2768932.73+3411126.75</f>
        <v>6180059.4800000004</v>
      </c>
      <c r="L258" s="19">
        <f t="shared" si="9"/>
        <v>6180059.4800000004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18446097.850000001</v>
      </c>
      <c r="L262" s="41">
        <f t="shared" si="9"/>
        <v>18446097.850000001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75914006.379999995</v>
      </c>
      <c r="G263" s="42">
        <f t="shared" si="11"/>
        <v>28728902.710000001</v>
      </c>
      <c r="H263" s="42">
        <f t="shared" si="11"/>
        <v>23364044.919999998</v>
      </c>
      <c r="I263" s="42">
        <f t="shared" si="11"/>
        <v>3896829.24</v>
      </c>
      <c r="J263" s="42">
        <f t="shared" si="11"/>
        <v>142303.15</v>
      </c>
      <c r="K263" s="42">
        <f t="shared" si="11"/>
        <v>18890751.790000003</v>
      </c>
      <c r="L263" s="42">
        <f t="shared" si="11"/>
        <v>150936838.19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1096156.11+14644.77</f>
        <v>1110800.8800000001</v>
      </c>
      <c r="G268" s="18">
        <f>550363.25+1167.6</f>
        <v>551530.85</v>
      </c>
      <c r="H268" s="18">
        <f>45851.73+1370.2</f>
        <v>47221.93</v>
      </c>
      <c r="I268" s="18">
        <f>970819.38+200368.07</f>
        <v>1171187.45</v>
      </c>
      <c r="J268" s="18">
        <f>971.68+1062.01</f>
        <v>2033.69</v>
      </c>
      <c r="K268" s="18">
        <v>431.3</v>
      </c>
      <c r="L268" s="19">
        <f>SUM(F268:K268)</f>
        <v>2883206.0999999996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1418923.08+48663.34+5083116.28+589102.34+87582.42</f>
        <v>7227387.46</v>
      </c>
      <c r="G269" s="18">
        <f>953851.15+34255.04+2154902.92+308813.62+34932.55</f>
        <v>3486755.28</v>
      </c>
      <c r="H269" s="18">
        <f>25806.09+1278490.16+115938.13+50364.7</f>
        <v>1470599.0799999998</v>
      </c>
      <c r="I269" s="18">
        <f>1185.56+2673+657416.66+13023.8+16243.23</f>
        <v>690542.25000000012</v>
      </c>
      <c r="J269" s="18">
        <f>423387.47+17616</f>
        <v>441003.47</v>
      </c>
      <c r="K269" s="18">
        <f>13572.92+190+587.2</f>
        <v>14350.12</v>
      </c>
      <c r="L269" s="19">
        <f>SUM(F269:K269)</f>
        <v>13330637.66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356179.04</f>
        <v>356179.04</v>
      </c>
      <c r="G271" s="18">
        <f>93525.23</f>
        <v>93525.23</v>
      </c>
      <c r="H271" s="18">
        <f>31099.7</f>
        <v>31099.7</v>
      </c>
      <c r="I271" s="18">
        <f>23355.73</f>
        <v>23355.73</v>
      </c>
      <c r="J271" s="18">
        <f>1257</f>
        <v>1257</v>
      </c>
      <c r="K271" s="18"/>
      <c r="L271" s="19">
        <f>SUM(F271:K271)</f>
        <v>505416.69999999995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50573.84+112133.7+139110.07+143737.96</f>
        <v>445555.56999999995</v>
      </c>
      <c r="G273" s="18">
        <f>21858.19+51652.01+70972.38+82103.34</f>
        <v>226585.92</v>
      </c>
      <c r="H273" s="18">
        <f>62.79</f>
        <v>62.79</v>
      </c>
      <c r="I273" s="18"/>
      <c r="J273" s="18"/>
      <c r="K273" s="18"/>
      <c r="L273" s="19">
        <f t="shared" ref="L273:L279" si="12">SUM(F273:K273)</f>
        <v>672204.28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23235.38+44581.86</f>
        <v>67817.240000000005</v>
      </c>
      <c r="G274" s="18">
        <f>10006+27960.79</f>
        <v>37966.79</v>
      </c>
      <c r="H274" s="18">
        <f>27361.19</f>
        <v>27361.19</v>
      </c>
      <c r="I274" s="18">
        <v>81294.86</v>
      </c>
      <c r="J274" s="18"/>
      <c r="K274" s="18"/>
      <c r="L274" s="19">
        <f t="shared" si="12"/>
        <v>214440.08000000002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146494.48000000001</v>
      </c>
      <c r="G275" s="18">
        <v>69066.720000000001</v>
      </c>
      <c r="H275" s="18">
        <v>27499.94</v>
      </c>
      <c r="I275" s="18">
        <v>4108.92</v>
      </c>
      <c r="J275" s="18">
        <v>1298</v>
      </c>
      <c r="K275" s="18">
        <v>231.46</v>
      </c>
      <c r="L275" s="19">
        <f t="shared" si="12"/>
        <v>248699.52000000002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23377.65</v>
      </c>
      <c r="G280" s="18">
        <v>7032.67</v>
      </c>
      <c r="H280" s="18">
        <v>1900.99</v>
      </c>
      <c r="I280" s="18">
        <v>2813.56</v>
      </c>
      <c r="J280" s="18">
        <v>4285.05</v>
      </c>
      <c r="K280" s="18"/>
      <c r="L280" s="19">
        <f>SUM(F280:K280)</f>
        <v>39409.920000000006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9377612.3200000003</v>
      </c>
      <c r="G282" s="42">
        <f t="shared" si="13"/>
        <v>4472463.46</v>
      </c>
      <c r="H282" s="42">
        <f t="shared" si="13"/>
        <v>1605745.6199999996</v>
      </c>
      <c r="I282" s="42">
        <f t="shared" si="13"/>
        <v>1973302.7700000003</v>
      </c>
      <c r="J282" s="42">
        <f t="shared" si="13"/>
        <v>449877.20999999996</v>
      </c>
      <c r="K282" s="42">
        <f t="shared" si="13"/>
        <v>15012.88</v>
      </c>
      <c r="L282" s="41">
        <f t="shared" si="13"/>
        <v>17894014.259999998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5621.04</v>
      </c>
      <c r="G287" s="18">
        <v>922.28</v>
      </c>
      <c r="H287" s="18">
        <v>65545.7</v>
      </c>
      <c r="I287" s="18">
        <v>579494.18999999994</v>
      </c>
      <c r="J287" s="18">
        <v>12998.17</v>
      </c>
      <c r="K287" s="18">
        <v>287.54000000000002</v>
      </c>
      <c r="L287" s="19">
        <f>SUM(F287:K287)</f>
        <v>664868.92000000004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1094048.72+88030.89+78522.94+16608.62</f>
        <v>1277211.17</v>
      </c>
      <c r="G288" s="18">
        <f>535032.64+62382.3+28803.52+9534.16</f>
        <v>635752.62000000011</v>
      </c>
      <c r="H288" s="18">
        <f>66003.92+7653.85</f>
        <v>73657.77</v>
      </c>
      <c r="I288" s="18">
        <f>-150.17+9090.15+105565.27+685.45</f>
        <v>115190.7</v>
      </c>
      <c r="J288" s="18">
        <f>78554.72</f>
        <v>78554.720000000001</v>
      </c>
      <c r="K288" s="18">
        <f>52.7+10</f>
        <v>62.7</v>
      </c>
      <c r="L288" s="19">
        <f>SUM(F288:K288)</f>
        <v>2180429.6800000006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13213.5+206537.89</f>
        <v>219751.39</v>
      </c>
      <c r="G290" s="18">
        <f>2084.59+46686.84</f>
        <v>48771.429999999993</v>
      </c>
      <c r="H290" s="18">
        <f>1595.14+500+10985.63</f>
        <v>13080.77</v>
      </c>
      <c r="I290" s="18">
        <f>54.93+162.87+11729.88</f>
        <v>11947.679999999998</v>
      </c>
      <c r="J290" s="18"/>
      <c r="K290" s="18"/>
      <c r="L290" s="19">
        <f>SUM(F290:K290)</f>
        <v>293551.27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2661.78+41645+1566.27+18269.15</f>
        <v>64142.2</v>
      </c>
      <c r="G292" s="18">
        <f>1150.43+17585.74+1172.83+9923.72</f>
        <v>29832.720000000001</v>
      </c>
      <c r="H292" s="18">
        <f>3.31</f>
        <v>3.31</v>
      </c>
      <c r="I292" s="18"/>
      <c r="J292" s="18"/>
      <c r="K292" s="18"/>
      <c r="L292" s="19">
        <f t="shared" ref="L292:L298" si="14">SUM(F292:K292)</f>
        <v>93978.23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14605.1</f>
        <v>14605.1</v>
      </c>
      <c r="G293" s="18">
        <f>6289.49</f>
        <v>6289.49</v>
      </c>
      <c r="H293" s="18">
        <v>520.58000000000004</v>
      </c>
      <c r="I293" s="18">
        <v>42036.51</v>
      </c>
      <c r="J293" s="18"/>
      <c r="K293" s="18"/>
      <c r="L293" s="19">
        <f t="shared" si="14"/>
        <v>63451.680000000008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25264.92</v>
      </c>
      <c r="G294" s="18">
        <v>11015.58</v>
      </c>
      <c r="H294" s="18">
        <v>8497.02</v>
      </c>
      <c r="I294" s="18">
        <v>138.13</v>
      </c>
      <c r="J294" s="18"/>
      <c r="K294" s="18"/>
      <c r="L294" s="19">
        <f t="shared" si="14"/>
        <v>44915.65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14694.51</v>
      </c>
      <c r="G299" s="18">
        <v>4420.54</v>
      </c>
      <c r="H299" s="18">
        <v>1194.9100000000001</v>
      </c>
      <c r="I299" s="18">
        <v>1768.52</v>
      </c>
      <c r="J299" s="18">
        <v>2693.46</v>
      </c>
      <c r="K299" s="18"/>
      <c r="L299" s="19">
        <f>SUM(F299:K299)</f>
        <v>24771.94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1621290.33</v>
      </c>
      <c r="G301" s="42">
        <f t="shared" si="15"/>
        <v>737004.66</v>
      </c>
      <c r="H301" s="42">
        <f t="shared" si="15"/>
        <v>162500.05999999997</v>
      </c>
      <c r="I301" s="42">
        <f t="shared" si="15"/>
        <v>750575.73</v>
      </c>
      <c r="J301" s="42">
        <f t="shared" si="15"/>
        <v>94246.35</v>
      </c>
      <c r="K301" s="42">
        <f t="shared" si="15"/>
        <v>350.24</v>
      </c>
      <c r="L301" s="41">
        <f t="shared" si="15"/>
        <v>3365967.3700000006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321389.63+173144.72</f>
        <v>494534.35</v>
      </c>
      <c r="G306" s="18">
        <f>118164.35+27137.78</f>
        <v>145302.13</v>
      </c>
      <c r="H306" s="18">
        <v>66204.13</v>
      </c>
      <c r="I306" s="18">
        <v>827854.97</v>
      </c>
      <c r="J306" s="18">
        <v>7157.02</v>
      </c>
      <c r="K306" s="18">
        <v>35829.39</v>
      </c>
      <c r="L306" s="19">
        <f>SUM(F306:K306)</f>
        <v>1576881.99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916407.19+388687.26+474757.8+258549.94-173144.72</f>
        <v>1865257.47</v>
      </c>
      <c r="G307" s="18">
        <f>657858.23+208246.03+148801.55+143856.14-27137.78</f>
        <v>1131624.1700000002</v>
      </c>
      <c r="H307" s="18">
        <f>5097.15+102.63+11821.46+25295.85</f>
        <v>42317.09</v>
      </c>
      <c r="I307" s="18">
        <f>3822.01+70349.41+3427.31</f>
        <v>77598.73</v>
      </c>
      <c r="J307" s="18"/>
      <c r="K307" s="18">
        <v>50</v>
      </c>
      <c r="L307" s="19">
        <f>SUM(F307:K307)</f>
        <v>3116847.46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47939.5+13128.2</f>
        <v>61067.7</v>
      </c>
      <c r="G308" s="18">
        <f>22712.67+18077.7</f>
        <v>40790.369999999995</v>
      </c>
      <c r="H308" s="18">
        <f>1705.39+13149.4+441+7153.87+13169.61+502.25</f>
        <v>36121.520000000004</v>
      </c>
      <c r="I308" s="18">
        <f>4433.77+4705.6+40656.91+76615.03+942.75</f>
        <v>127354.06</v>
      </c>
      <c r="J308" s="18">
        <f>25031.01+1634.98+25551.64+241088.24+2642.03+6523.18</f>
        <v>302471.08</v>
      </c>
      <c r="K308" s="18">
        <f>140+5525+1000+975</f>
        <v>7640</v>
      </c>
      <c r="L308" s="19">
        <f>SUM(F308:K308)</f>
        <v>575444.73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f>26426.98+276881.72</f>
        <v>303308.69999999995</v>
      </c>
      <c r="G309" s="18">
        <f>4169.19+42782.08</f>
        <v>46951.270000000004</v>
      </c>
      <c r="H309" s="18">
        <f>35624.6+1000+48809.29</f>
        <v>85433.89</v>
      </c>
      <c r="I309" s="18">
        <f>1443.64+325.73+17396.82</f>
        <v>19166.189999999999</v>
      </c>
      <c r="J309" s="18">
        <f>9334.58</f>
        <v>9334.58</v>
      </c>
      <c r="K309" s="18"/>
      <c r="L309" s="19">
        <f>SUM(F309:K309)</f>
        <v>464194.63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13308.9+3061.34+4854.12+13383.96</f>
        <v>34608.32</v>
      </c>
      <c r="G311" s="18">
        <f>5752.16+102.03+2292.35+2748.4+12328</f>
        <v>23222.94</v>
      </c>
      <c r="H311" s="18">
        <f>16.52+5336.23</f>
        <v>5352.75</v>
      </c>
      <c r="I311" s="18">
        <v>21124.87</v>
      </c>
      <c r="J311" s="18"/>
      <c r="K311" s="18">
        <v>100</v>
      </c>
      <c r="L311" s="19">
        <f t="shared" ref="L311:L317" si="16">SUM(F311:K311)</f>
        <v>84408.87999999999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41675.63+11370.53</f>
        <v>53046.159999999996</v>
      </c>
      <c r="G312" s="18">
        <f>14631.62+2597.24</f>
        <v>17228.86</v>
      </c>
      <c r="H312" s="18">
        <f>33111.34+214.9+1017.49</f>
        <v>34343.729999999996</v>
      </c>
      <c r="I312" s="18">
        <f>72069.87</f>
        <v>72069.87</v>
      </c>
      <c r="J312" s="18"/>
      <c r="K312" s="18"/>
      <c r="L312" s="19">
        <f t="shared" si="16"/>
        <v>176688.62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f>13432.63</f>
        <v>13432.63</v>
      </c>
      <c r="G313" s="18">
        <f>3831.21</f>
        <v>3831.21</v>
      </c>
      <c r="H313" s="18">
        <f>650+16607.8+60</f>
        <v>17317.8</v>
      </c>
      <c r="I313" s="18">
        <f>55.07+269.99</f>
        <v>325.06</v>
      </c>
      <c r="J313" s="18"/>
      <c r="K313" s="18">
        <v>21509.52</v>
      </c>
      <c r="L313" s="19">
        <f t="shared" si="16"/>
        <v>56416.22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>
        <v>390</v>
      </c>
      <c r="I314" s="18">
        <v>187.95</v>
      </c>
      <c r="J314" s="18"/>
      <c r="K314" s="18"/>
      <c r="L314" s="19">
        <f t="shared" si="16"/>
        <v>577.95000000000005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7021.42</v>
      </c>
      <c r="I317" s="18">
        <v>1697.73</v>
      </c>
      <c r="J317" s="18"/>
      <c r="K317" s="18"/>
      <c r="L317" s="19">
        <f t="shared" si="16"/>
        <v>8719.15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28721.11</v>
      </c>
      <c r="G318" s="18">
        <v>8640.14</v>
      </c>
      <c r="H318" s="18">
        <f>2335.51-329.37</f>
        <v>2006.1400000000003</v>
      </c>
      <c r="I318" s="18"/>
      <c r="J318" s="18">
        <v>5264.49</v>
      </c>
      <c r="K318" s="18"/>
      <c r="L318" s="19">
        <f>SUM(F318:K318)</f>
        <v>44631.88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2853976.4399999995</v>
      </c>
      <c r="G320" s="42">
        <f t="shared" si="17"/>
        <v>1417591.0900000003</v>
      </c>
      <c r="H320" s="42">
        <f t="shared" si="17"/>
        <v>296508.46999999997</v>
      </c>
      <c r="I320" s="42">
        <f t="shared" si="17"/>
        <v>1147379.43</v>
      </c>
      <c r="J320" s="42">
        <f t="shared" si="17"/>
        <v>324227.17000000004</v>
      </c>
      <c r="K320" s="42">
        <f t="shared" si="17"/>
        <v>65128.91</v>
      </c>
      <c r="L320" s="41">
        <f t="shared" si="17"/>
        <v>6104811.5099999998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v>8992.69</v>
      </c>
      <c r="I324" s="18">
        <v>4431.54</v>
      </c>
      <c r="J324" s="18"/>
      <c r="K324" s="18"/>
      <c r="L324" s="19">
        <f t="shared" ref="L324:L329" si="18">SUM(F324:K324)</f>
        <v>13424.23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267029+40472.5+53925</f>
        <v>361426.5</v>
      </c>
      <c r="G325" s="18">
        <f>22469.96+3341.21+4603.11</f>
        <v>30414.28</v>
      </c>
      <c r="H325" s="18">
        <f>8974.15+4411.88</f>
        <v>13386.029999999999</v>
      </c>
      <c r="I325" s="18">
        <f>37110.2+1678.91</f>
        <v>38789.11</v>
      </c>
      <c r="J325" s="18">
        <v>27086.9</v>
      </c>
      <c r="K325" s="18"/>
      <c r="L325" s="19">
        <f t="shared" si="18"/>
        <v>471102.82000000007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361426.5</v>
      </c>
      <c r="G329" s="41">
        <f t="shared" si="19"/>
        <v>30414.28</v>
      </c>
      <c r="H329" s="41">
        <f t="shared" si="19"/>
        <v>22378.720000000001</v>
      </c>
      <c r="I329" s="41">
        <f t="shared" si="19"/>
        <v>43220.65</v>
      </c>
      <c r="J329" s="41">
        <f t="shared" si="19"/>
        <v>27086.9</v>
      </c>
      <c r="K329" s="41">
        <f t="shared" si="19"/>
        <v>0</v>
      </c>
      <c r="L329" s="41">
        <f t="shared" si="18"/>
        <v>484527.05000000005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14214305.59</v>
      </c>
      <c r="G330" s="41">
        <f t="shared" si="20"/>
        <v>6657473.4900000012</v>
      </c>
      <c r="H330" s="41">
        <f t="shared" si="20"/>
        <v>2087132.8699999996</v>
      </c>
      <c r="I330" s="41">
        <f t="shared" si="20"/>
        <v>3914478.5799999996</v>
      </c>
      <c r="J330" s="41">
        <f t="shared" si="20"/>
        <v>895437.63</v>
      </c>
      <c r="K330" s="41">
        <f t="shared" si="20"/>
        <v>80492.03</v>
      </c>
      <c r="L330" s="41">
        <f t="shared" si="20"/>
        <v>27849320.190000001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231748.29</v>
      </c>
      <c r="L336" s="19">
        <f t="shared" ref="L336:L342" si="21">SUM(F336:K336)</f>
        <v>231748.29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106172.85</v>
      </c>
      <c r="L342" s="19">
        <f t="shared" si="21"/>
        <v>106172.85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337921.14</v>
      </c>
      <c r="L343" s="41">
        <f>SUM(L333:L342)</f>
        <v>337921.14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14214305.59</v>
      </c>
      <c r="G344" s="41">
        <f>G330</f>
        <v>6657473.4900000012</v>
      </c>
      <c r="H344" s="41">
        <f>H330</f>
        <v>2087132.8699999996</v>
      </c>
      <c r="I344" s="41">
        <f>I330</f>
        <v>3914478.5799999996</v>
      </c>
      <c r="J344" s="41">
        <f>J330</f>
        <v>895437.63</v>
      </c>
      <c r="K344" s="47">
        <f>K330+K343</f>
        <v>418413.17000000004</v>
      </c>
      <c r="L344" s="41">
        <f>L330+L343</f>
        <v>28187241.330000002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512399.42+101964.13</f>
        <v>614363.55000000005</v>
      </c>
      <c r="G350" s="18">
        <f>174723.49+64528.91</f>
        <v>239252.4</v>
      </c>
      <c r="H350" s="18">
        <f>17517.67+11905.33+616.44+7584.5+9140.08+29753.73+3009.33+336.04+140.43+1057.05+91.83+1610.97</f>
        <v>82763.399999999994</v>
      </c>
      <c r="I350" s="18">
        <f>802267.94+12546.67+20789.87+708.9+66904.92</f>
        <v>903218.3</v>
      </c>
      <c r="J350" s="18">
        <f>-1062.01+19401.42</f>
        <v>18339.41</v>
      </c>
      <c r="K350" s="18"/>
      <c r="L350" s="13">
        <f>SUM(F350:K350)</f>
        <v>1857937.06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482349.61+83970.46</f>
        <v>566320.06999999995</v>
      </c>
      <c r="G351" s="18">
        <f>171331.25+53141.45</f>
        <v>224472.7</v>
      </c>
      <c r="H351" s="18">
        <f>16693.66+25253.37+1438.67+4779.5+22.8+7527.13+24503.07+2478.27+276.74+115.65+870.51+75.63+1326.68</f>
        <v>85361.68</v>
      </c>
      <c r="I351" s="18">
        <f>539278.51+10332.55+17121.07+583.8+55098.17</f>
        <v>622414.10000000009</v>
      </c>
      <c r="J351" s="18">
        <v>15977.64</v>
      </c>
      <c r="K351" s="18"/>
      <c r="L351" s="19">
        <f>SUM(F351:K351)</f>
        <v>1514546.19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647947.23+113959.91</f>
        <v>761907.14</v>
      </c>
      <c r="G352" s="18">
        <f>262322.85+72120.55</f>
        <v>334443.39999999997</v>
      </c>
      <c r="H352" s="18">
        <f>17855.67+15056.92+1230.12+4499+70.24+10215.39+33254.17+3363.37+375.58+156.95+1181.4+102.63+1800.49</f>
        <v>89161.93</v>
      </c>
      <c r="I352" s="18">
        <f>769855.57+14022.75+23235.74+792.3+74776.09</f>
        <v>882682.45</v>
      </c>
      <c r="J352" s="18">
        <f>4692+21683.94+0.03</f>
        <v>26375.969999999998</v>
      </c>
      <c r="K352" s="18"/>
      <c r="L352" s="19">
        <f>SUM(F352:K352)</f>
        <v>2094570.89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1942590.7600000002</v>
      </c>
      <c r="G354" s="47">
        <f t="shared" si="22"/>
        <v>798168.5</v>
      </c>
      <c r="H354" s="47">
        <f t="shared" si="22"/>
        <v>257287.00999999998</v>
      </c>
      <c r="I354" s="47">
        <f t="shared" si="22"/>
        <v>2408314.85</v>
      </c>
      <c r="J354" s="47">
        <f t="shared" si="22"/>
        <v>60693.020000000004</v>
      </c>
      <c r="K354" s="47">
        <f t="shared" si="22"/>
        <v>0</v>
      </c>
      <c r="L354" s="47">
        <f t="shared" si="22"/>
        <v>5467054.1399999997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4161.82+755707.9+66904.92-0.01</f>
        <v>826774.63</v>
      </c>
      <c r="G359" s="18">
        <f>3427.38+512591.31+55098.17</f>
        <v>571116.86</v>
      </c>
      <c r="H359" s="18">
        <f>4651.44+728141.7+74776.09</f>
        <v>807569.22999999986</v>
      </c>
      <c r="I359" s="56">
        <f>SUM(F359:H359)</f>
        <v>2205460.7199999997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29883.63+46185.04+375</f>
        <v>76443.67</v>
      </c>
      <c r="G360" s="63">
        <f>24610.04+26537.2+150</f>
        <v>51297.240000000005</v>
      </c>
      <c r="H360" s="63">
        <f>33399.35+41659.87+54</f>
        <v>75113.22</v>
      </c>
      <c r="I360" s="56">
        <f>SUM(F360:H360)</f>
        <v>202854.13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903218.3</v>
      </c>
      <c r="G361" s="47">
        <f>SUM(G359:G360)</f>
        <v>622414.1</v>
      </c>
      <c r="H361" s="47">
        <f>SUM(H359:H360)</f>
        <v>882682.44999999984</v>
      </c>
      <c r="I361" s="47">
        <f>SUM(I359:I360)</f>
        <v>2408314.8499999996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>
        <f>2554889.71+2768932.73</f>
        <v>5323822.4399999995</v>
      </c>
      <c r="H387" s="18">
        <v>7374.6</v>
      </c>
      <c r="I387" s="18"/>
      <c r="J387" s="24" t="s">
        <v>312</v>
      </c>
      <c r="K387" s="24" t="s">
        <v>312</v>
      </c>
      <c r="L387" s="56">
        <f t="shared" ref="L387:L392" si="26">SUM(F387:K387)</f>
        <v>5331197.0399999991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-32</v>
      </c>
      <c r="I388" s="18"/>
      <c r="J388" s="24" t="s">
        <v>312</v>
      </c>
      <c r="K388" s="24" t="s">
        <v>312</v>
      </c>
      <c r="L388" s="56">
        <f t="shared" si="26"/>
        <v>-32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856237.04</v>
      </c>
      <c r="H389" s="18">
        <v>978</v>
      </c>
      <c r="I389" s="18"/>
      <c r="J389" s="24" t="s">
        <v>312</v>
      </c>
      <c r="K389" s="24" t="s">
        <v>312</v>
      </c>
      <c r="L389" s="56">
        <f t="shared" si="26"/>
        <v>857215.04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66+71</f>
        <v>137</v>
      </c>
      <c r="I392" s="18"/>
      <c r="J392" s="24" t="s">
        <v>312</v>
      </c>
      <c r="K392" s="24" t="s">
        <v>312</v>
      </c>
      <c r="L392" s="56">
        <f t="shared" si="26"/>
        <v>137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6180059.4799999995</v>
      </c>
      <c r="H393" s="47">
        <f>SUM(H387:H392)</f>
        <v>8457.6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6188517.0799999991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6180059.4799999995</v>
      </c>
      <c r="H400" s="47">
        <f>H385+H393+H399</f>
        <v>8457.6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6188517.0799999991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3411126.75</v>
      </c>
      <c r="H433" s="18"/>
      <c r="I433" s="56">
        <f t="shared" si="33"/>
        <v>3411126.75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4823642.91</v>
      </c>
      <c r="H434" s="18"/>
      <c r="I434" s="56">
        <f t="shared" si="33"/>
        <v>4823642.91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8234769.6600000001</v>
      </c>
      <c r="H438" s="13">
        <f>SUM(H431:H437)</f>
        <v>0</v>
      </c>
      <c r="I438" s="13">
        <f>SUM(I431:I437)</f>
        <v>8234769.6600000001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8234769.6600000001</v>
      </c>
      <c r="H449" s="18"/>
      <c r="I449" s="56">
        <f>SUM(F449:H449)</f>
        <v>8234769.6600000001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8234769.6600000001</v>
      </c>
      <c r="H450" s="83">
        <f>SUM(H446:H449)</f>
        <v>0</v>
      </c>
      <c r="I450" s="83">
        <f>SUM(I446:I449)</f>
        <v>8234769.6600000001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8234769.6600000001</v>
      </c>
      <c r="H451" s="42">
        <f>H444+H450</f>
        <v>0</v>
      </c>
      <c r="I451" s="42">
        <f>I444+I450</f>
        <v>8234769.6600000001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5174189.25</v>
      </c>
      <c r="G455" s="18">
        <v>869107.28</v>
      </c>
      <c r="H455" s="18">
        <v>612866.43999999994</v>
      </c>
      <c r="I455" s="18"/>
      <c r="J455" s="18">
        <v>2046252.58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147452277.30000001</v>
      </c>
      <c r="G458" s="18">
        <v>5331061.55</v>
      </c>
      <c r="H458" s="18">
        <v>28912275.879999999</v>
      </c>
      <c r="I458" s="18"/>
      <c r="J458" s="18">
        <v>6188517.0800000001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147452277.30000001</v>
      </c>
      <c r="G460" s="53">
        <f>SUM(G458:G459)</f>
        <v>5331061.55</v>
      </c>
      <c r="H460" s="53">
        <f>SUM(H458:H459)</f>
        <v>28912275.879999999</v>
      </c>
      <c r="I460" s="53">
        <f>SUM(I458:I459)</f>
        <v>0</v>
      </c>
      <c r="J460" s="53">
        <f>SUM(J458:J459)</f>
        <v>6188517.0800000001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150936838.19</v>
      </c>
      <c r="G462" s="18">
        <v>5467054.1399999997</v>
      </c>
      <c r="H462" s="18">
        <v>28187241.329999998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150936838.19</v>
      </c>
      <c r="G464" s="53">
        <f>SUM(G462:G463)</f>
        <v>5467054.1399999997</v>
      </c>
      <c r="H464" s="53">
        <f>SUM(H462:H463)</f>
        <v>28187241.329999998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1689628.3600000143</v>
      </c>
      <c r="G466" s="53">
        <f>(G455+G460)- G464</f>
        <v>733114.69000000041</v>
      </c>
      <c r="H466" s="53">
        <f>(H455+H460)- H464</f>
        <v>1337900.9900000021</v>
      </c>
      <c r="I466" s="53">
        <f>(I455+I460)- I464</f>
        <v>0</v>
      </c>
      <c r="J466" s="53">
        <f>(J455+J460)- J464</f>
        <v>8234769.6600000001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6332718.0300000003</v>
      </c>
      <c r="G497" s="144">
        <v>473567.86</v>
      </c>
      <c r="H497" s="144">
        <v>691393.98</v>
      </c>
      <c r="I497" s="144">
        <v>6114891.9100000001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284460.79+145325.43+87117.71+2693.5+7498866.32+232038.39+312.5+41379.74</f>
        <v>8292194.3799999999</v>
      </c>
      <c r="G511" s="18">
        <f>107989.2+80451.57+56545.77+10744.21+5462981.68+89354.19+48.97+19139.19-936888.67</f>
        <v>4890366.1100000003</v>
      </c>
      <c r="H511" s="18">
        <f>36762.87+14952.21+48.46+290.57+105318.8+474.98+840.97+419058.82+1482.52+82839.52+844048.75+196+18.4</f>
        <v>1506332.87</v>
      </c>
      <c r="I511" s="18">
        <f>13650.89+5997.8+971.84+98848.36+10210.07+2141.48</f>
        <v>131820.44</v>
      </c>
      <c r="J511" s="18">
        <f>172.55+5235.15+17616</f>
        <v>23023.7</v>
      </c>
      <c r="K511" s="18">
        <f>924.28+87.5</f>
        <v>1011.78</v>
      </c>
      <c r="L511" s="88">
        <f>SUM(F511:K511)</f>
        <v>14844749.279999997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178803.92+91347.41+54759.7+1693.06+4064443.76+222467.33</f>
        <v>4613515.18</v>
      </c>
      <c r="G512" s="18">
        <f>67878.93+50569.56+35543.06+6753.5+2524171.73+95840.09-588901.45</f>
        <v>2191855.42</v>
      </c>
      <c r="H512" s="18">
        <f>23108.09+9398.53+30.46+182.64+98971.83+205+1230404.69+1068.7+5911.81+48372.96</f>
        <v>1417654.71</v>
      </c>
      <c r="I512" s="18">
        <f>8580.56+3770.05+610.87+29153.69+9538.95+218.85</f>
        <v>51872.969999999994</v>
      </c>
      <c r="J512" s="18">
        <f>108.46+573.51</f>
        <v>681.97</v>
      </c>
      <c r="K512" s="18">
        <f>580.98+55+105</f>
        <v>740.98</v>
      </c>
      <c r="L512" s="88">
        <f>SUM(F512:K512)</f>
        <v>8276321.2299999995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349480.39+178542.67+107030.32+3309.16+3257421.92+175506.84+151530.25+3125.1-17720.2</f>
        <v>4208226.4499999993</v>
      </c>
      <c r="G513" s="18">
        <f>132672.45+98840.5+69470.52+13200.03+2193085.14+96185.35+83598.29+12167.47+2066.77-1151034.65</f>
        <v>1550251.8700000006</v>
      </c>
      <c r="H513" s="18">
        <f>45165.81+18369.86+59.54+356.98+189757.12+165+88+2691511.59+92.4+16585.69+211081.98</f>
        <v>3173233.9699999997</v>
      </c>
      <c r="I513" s="18">
        <f>16771.1+7368.73+1193.97+20086.43+7092.98</f>
        <v>52513.209999999992</v>
      </c>
      <c r="J513" s="18">
        <f>211.99+3059.31</f>
        <v>3271.3</v>
      </c>
      <c r="K513" s="18">
        <f>1135.54+107.5</f>
        <v>1243.04</v>
      </c>
      <c r="L513" s="88">
        <f>SUM(F513:K513)</f>
        <v>8988739.8399999999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17113936.009999998</v>
      </c>
      <c r="G514" s="108">
        <f t="shared" ref="G514:L514" si="35">SUM(G511:G513)</f>
        <v>8632473.4000000004</v>
      </c>
      <c r="H514" s="108">
        <f t="shared" si="35"/>
        <v>6097221.5499999998</v>
      </c>
      <c r="I514" s="108">
        <f t="shared" si="35"/>
        <v>236206.62</v>
      </c>
      <c r="J514" s="108">
        <f t="shared" si="35"/>
        <v>26976.97</v>
      </c>
      <c r="K514" s="108">
        <f t="shared" si="35"/>
        <v>2995.8</v>
      </c>
      <c r="L514" s="89">
        <f t="shared" si="35"/>
        <v>32109810.349999998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88527.5+1593601.95</f>
        <v>1682129.45</v>
      </c>
      <c r="G516" s="18">
        <f>42469.43+194.73+705538.72+5391.17+9399.47</f>
        <v>762993.52</v>
      </c>
      <c r="H516" s="18">
        <f>126093.68+78.23+860688.02+47503.89+363.35+5.36</f>
        <v>1034732.53</v>
      </c>
      <c r="I516" s="18">
        <v>2333.54</v>
      </c>
      <c r="J516" s="18"/>
      <c r="K516" s="18"/>
      <c r="L516" s="88">
        <f>SUM(F516:K516)</f>
        <v>3482189.04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55645.86+372459.57</f>
        <v>428105.43</v>
      </c>
      <c r="G517" s="18">
        <f>26695.07+122.4+168398.53+12506.38+2609.99</f>
        <v>210332.37</v>
      </c>
      <c r="H517" s="18">
        <f>79258.89+49.17+156828.02+3660.72+219.43+5.36</f>
        <v>240021.58999999997</v>
      </c>
      <c r="I517" s="18">
        <v>484</v>
      </c>
      <c r="J517" s="18"/>
      <c r="K517" s="18"/>
      <c r="L517" s="88">
        <f>SUM(F517:K517)</f>
        <v>878943.39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108762.36+266966.56</f>
        <v>375728.92</v>
      </c>
      <c r="G518" s="18">
        <f>52176.73+239.24+111504.64+4546.98+745.5</f>
        <v>169213.09</v>
      </c>
      <c r="H518" s="18">
        <f>154915.1+96.11+385704.98+32827.62+270.03+1334.45</f>
        <v>575148.28999999992</v>
      </c>
      <c r="I518" s="18"/>
      <c r="J518" s="18"/>
      <c r="K518" s="18"/>
      <c r="L518" s="88">
        <f>SUM(F518:K518)</f>
        <v>1120090.2999999998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2485963.7999999998</v>
      </c>
      <c r="G519" s="89">
        <f t="shared" ref="G519:L519" si="36">SUM(G516:G518)</f>
        <v>1142538.98</v>
      </c>
      <c r="H519" s="89">
        <f t="shared" si="36"/>
        <v>1849902.4100000001</v>
      </c>
      <c r="I519" s="89">
        <f t="shared" si="36"/>
        <v>2817.54</v>
      </c>
      <c r="J519" s="89">
        <f t="shared" si="36"/>
        <v>0</v>
      </c>
      <c r="K519" s="89">
        <f t="shared" si="36"/>
        <v>0</v>
      </c>
      <c r="L519" s="89">
        <f t="shared" si="36"/>
        <v>5481222.7299999995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39003.24</f>
        <v>39003.24</v>
      </c>
      <c r="G521" s="18">
        <f>12592.67</f>
        <v>12592.67</v>
      </c>
      <c r="H521" s="18">
        <f>161.4</f>
        <v>161.4</v>
      </c>
      <c r="I521" s="18"/>
      <c r="J521" s="18"/>
      <c r="K521" s="18"/>
      <c r="L521" s="88">
        <f>SUM(F521:K521)</f>
        <v>51757.31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24516.32</f>
        <v>24516.32</v>
      </c>
      <c r="G522" s="18">
        <f>7915.39</f>
        <v>7915.39</v>
      </c>
      <c r="H522" s="18">
        <v>101.45</v>
      </c>
      <c r="I522" s="18"/>
      <c r="J522" s="18"/>
      <c r="K522" s="18"/>
      <c r="L522" s="88">
        <f>SUM(F522:K522)</f>
        <v>32533.16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47918.26</f>
        <v>47918.26</v>
      </c>
      <c r="G523" s="18">
        <f>15471</f>
        <v>15471</v>
      </c>
      <c r="H523" s="18">
        <f>198.29</f>
        <v>198.29</v>
      </c>
      <c r="I523" s="18"/>
      <c r="J523" s="18"/>
      <c r="K523" s="18"/>
      <c r="L523" s="88">
        <f>SUM(F523:K523)</f>
        <v>63587.55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111437.82</v>
      </c>
      <c r="G524" s="89">
        <f t="shared" ref="G524:L524" si="37">SUM(G521:G523)</f>
        <v>35979.06</v>
      </c>
      <c r="H524" s="89">
        <f t="shared" si="37"/>
        <v>461.14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147878.02000000002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4760.87</v>
      </c>
      <c r="I526" s="18"/>
      <c r="J526" s="18"/>
      <c r="K526" s="18"/>
      <c r="L526" s="88">
        <f>SUM(F526:K526)</f>
        <v>4760.87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2992.55</v>
      </c>
      <c r="I527" s="18"/>
      <c r="J527" s="18"/>
      <c r="K527" s="18"/>
      <c r="L527" s="88">
        <f>SUM(F527:K527)</f>
        <v>2992.55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5849.08</v>
      </c>
      <c r="I528" s="18"/>
      <c r="J528" s="18"/>
      <c r="K528" s="18"/>
      <c r="L528" s="88">
        <f>SUM(F528:K528)</f>
        <v>5849.08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13602.5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13602.5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12036.61</v>
      </c>
      <c r="G531" s="18">
        <v>4638.09</v>
      </c>
      <c r="H531" s="18">
        <v>1335841.78</v>
      </c>
      <c r="I531" s="18"/>
      <c r="J531" s="18"/>
      <c r="K531" s="18"/>
      <c r="L531" s="88">
        <f>SUM(F531:K531)</f>
        <v>1352516.48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5217.8599999999997</v>
      </c>
      <c r="G532" s="18">
        <v>2010.61</v>
      </c>
      <c r="H532" s="18">
        <v>579082.91</v>
      </c>
      <c r="I532" s="18"/>
      <c r="J532" s="18"/>
      <c r="K532" s="18"/>
      <c r="L532" s="88">
        <f>SUM(F532:K532)</f>
        <v>586311.38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5671.32</v>
      </c>
      <c r="G533" s="18">
        <v>2185.34</v>
      </c>
      <c r="H533" s="18">
        <v>629424.01</v>
      </c>
      <c r="I533" s="18"/>
      <c r="J533" s="18"/>
      <c r="K533" s="18"/>
      <c r="L533" s="88">
        <f>SUM(F533:K533)</f>
        <v>637280.67000000004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22925.79</v>
      </c>
      <c r="G534" s="194">
        <f t="shared" ref="G534:L534" si="39">SUM(G531:G533)</f>
        <v>8834.0400000000009</v>
      </c>
      <c r="H534" s="194">
        <f t="shared" si="39"/>
        <v>2544348.7000000002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2576108.5299999998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19734263.419999998</v>
      </c>
      <c r="G535" s="89">
        <f t="shared" ref="G535:L535" si="40">G514+G519+G524+G529+G534</f>
        <v>9819825.4800000004</v>
      </c>
      <c r="H535" s="89">
        <f t="shared" si="40"/>
        <v>10505536.300000001</v>
      </c>
      <c r="I535" s="89">
        <f t="shared" si="40"/>
        <v>239024.16</v>
      </c>
      <c r="J535" s="89">
        <f t="shared" si="40"/>
        <v>26976.97</v>
      </c>
      <c r="K535" s="89">
        <f t="shared" si="40"/>
        <v>2995.8</v>
      </c>
      <c r="L535" s="89">
        <f t="shared" si="40"/>
        <v>40328622.130000003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14844749.279999997</v>
      </c>
      <c r="G539" s="87">
        <f>L516</f>
        <v>3482189.04</v>
      </c>
      <c r="H539" s="87">
        <f>L521</f>
        <v>51757.31</v>
      </c>
      <c r="I539" s="87">
        <f>L526</f>
        <v>4760.87</v>
      </c>
      <c r="J539" s="87">
        <f>L531</f>
        <v>1352516.48</v>
      </c>
      <c r="K539" s="87">
        <f>SUM(F539:J539)</f>
        <v>19735972.979999997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8276321.2299999995</v>
      </c>
      <c r="G540" s="87">
        <f>L517</f>
        <v>878943.39</v>
      </c>
      <c r="H540" s="87">
        <f>L522</f>
        <v>32533.16</v>
      </c>
      <c r="I540" s="87">
        <f>L527</f>
        <v>2992.55</v>
      </c>
      <c r="J540" s="87">
        <f>L532</f>
        <v>586311.38</v>
      </c>
      <c r="K540" s="87">
        <f>SUM(F540:J540)</f>
        <v>9777101.7100000009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8988739.8399999999</v>
      </c>
      <c r="G541" s="87">
        <f>L518</f>
        <v>1120090.2999999998</v>
      </c>
      <c r="H541" s="87">
        <f>L523</f>
        <v>63587.55</v>
      </c>
      <c r="I541" s="87">
        <f>L528</f>
        <v>5849.08</v>
      </c>
      <c r="J541" s="87">
        <f>L533</f>
        <v>637280.67000000004</v>
      </c>
      <c r="K541" s="87">
        <f>SUM(F541:J541)</f>
        <v>10815547.440000001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32109810.349999998</v>
      </c>
      <c r="G542" s="89">
        <f t="shared" si="41"/>
        <v>5481222.7299999995</v>
      </c>
      <c r="H542" s="89">
        <f t="shared" si="41"/>
        <v>147878.02000000002</v>
      </c>
      <c r="I542" s="89">
        <f t="shared" si="41"/>
        <v>13602.5</v>
      </c>
      <c r="J542" s="89">
        <f t="shared" si="41"/>
        <v>2576108.5299999998</v>
      </c>
      <c r="K542" s="89">
        <f t="shared" si="41"/>
        <v>40328622.129999995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f>867027.74-0.01+4193391.72</f>
        <v>5060419.45</v>
      </c>
      <c r="G547" s="18">
        <f>279130.56+1829121.39</f>
        <v>2108251.9499999997</v>
      </c>
      <c r="H547" s="18">
        <f>1054252.52+121237.36+247.5+1855.9+7422.73</f>
        <v>1185016.01</v>
      </c>
      <c r="I547" s="18">
        <f>550099.79+114787.54+104208.02</f>
        <v>769095.35000000009</v>
      </c>
      <c r="J547" s="18">
        <f>403.87+422936.47</f>
        <v>423340.33999999997</v>
      </c>
      <c r="K547" s="18">
        <f>56470.53+3620.94</f>
        <v>60091.47</v>
      </c>
      <c r="L547" s="88">
        <f>SUM(F547:K547)</f>
        <v>9606214.5700000003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f>27629.88</f>
        <v>27629.88</v>
      </c>
      <c r="G548" s="18">
        <f>8895.15+39301.2</f>
        <v>48196.35</v>
      </c>
      <c r="H548" s="18">
        <f>33596.24+50439.21+47671.74+600</f>
        <v>132307.19</v>
      </c>
      <c r="I548" s="18">
        <f>17530.23+41.16</f>
        <v>17571.39</v>
      </c>
      <c r="J548" s="18">
        <f>12.87+78554.72</f>
        <v>78567.59</v>
      </c>
      <c r="K548" s="18">
        <f>1799.57+52.7</f>
        <v>1852.27</v>
      </c>
      <c r="L548" s="88">
        <f>SUM(F548:K548)</f>
        <v>306124.67000000004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f>73549.4+435497.08-25368.08-147776.64</f>
        <v>335901.75999999995</v>
      </c>
      <c r="G549" s="18">
        <f>23678.46+141243.22-27137.78</f>
        <v>137783.9</v>
      </c>
      <c r="H549" s="18">
        <f>89431.56</f>
        <v>89431.56</v>
      </c>
      <c r="I549" s="18">
        <f>46664.61</f>
        <v>46664.61</v>
      </c>
      <c r="J549" s="18">
        <f>34.26</f>
        <v>34.26</v>
      </c>
      <c r="K549" s="18">
        <f>4790.36</f>
        <v>4790.3599999999997</v>
      </c>
      <c r="L549" s="88">
        <f>SUM(F549:K549)</f>
        <v>614606.44999999995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5423951.0899999999</v>
      </c>
      <c r="G550" s="108">
        <f t="shared" si="42"/>
        <v>2294232.1999999997</v>
      </c>
      <c r="H550" s="108">
        <f t="shared" si="42"/>
        <v>1406754.76</v>
      </c>
      <c r="I550" s="108">
        <f t="shared" si="42"/>
        <v>833331.35000000009</v>
      </c>
      <c r="J550" s="108">
        <f t="shared" si="42"/>
        <v>501942.18999999994</v>
      </c>
      <c r="K550" s="108">
        <f t="shared" si="42"/>
        <v>66734.099999999991</v>
      </c>
      <c r="L550" s="89">
        <f t="shared" si="42"/>
        <v>10526945.689999999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49373.7+1612910.72</f>
        <v>1662284.42</v>
      </c>
      <c r="G552" s="18">
        <f>30668.22+848607.13</f>
        <v>879275.35</v>
      </c>
      <c r="H552" s="18">
        <f>27297.59</f>
        <v>27297.59</v>
      </c>
      <c r="I552" s="18">
        <f>8733.13+149.6</f>
        <v>8882.73</v>
      </c>
      <c r="J552" s="18"/>
      <c r="K552" s="18">
        <f>315.71</f>
        <v>315.70999999999998</v>
      </c>
      <c r="L552" s="88">
        <f>SUM(F552:K552)</f>
        <v>2578055.7999999998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18994.61+585544.96</f>
        <v>604539.56999999995</v>
      </c>
      <c r="G553" s="18">
        <f>11798.41+360285.38</f>
        <v>372083.79</v>
      </c>
      <c r="H553" s="18">
        <f>10501.68</f>
        <v>10501.68</v>
      </c>
      <c r="I553" s="18">
        <f>3359.73+1200.52</f>
        <v>4560.25</v>
      </c>
      <c r="J553" s="18"/>
      <c r="K553" s="18">
        <f>121.46</f>
        <v>121.46</v>
      </c>
      <c r="L553" s="88">
        <f>SUM(F553:K553)</f>
        <v>991806.74999999988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23464.53+783388.9</f>
        <v>806853.43</v>
      </c>
      <c r="G554" s="18">
        <f>14574.87+383721</f>
        <v>398295.87</v>
      </c>
      <c r="H554" s="18">
        <f>12973</f>
        <v>12973</v>
      </c>
      <c r="I554" s="18">
        <f>4150.36+2694.29+87.2</f>
        <v>6931.8499999999995</v>
      </c>
      <c r="J554" s="18"/>
      <c r="K554" s="18">
        <v>150.04</v>
      </c>
      <c r="L554" s="88">
        <f>SUM(F554:K554)</f>
        <v>1225204.1900000002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3073677.42</v>
      </c>
      <c r="G555" s="89">
        <f t="shared" si="43"/>
        <v>1649655.0099999998</v>
      </c>
      <c r="H555" s="89">
        <f t="shared" si="43"/>
        <v>50772.270000000004</v>
      </c>
      <c r="I555" s="89">
        <f t="shared" si="43"/>
        <v>20374.829999999998</v>
      </c>
      <c r="J555" s="89">
        <f t="shared" si="43"/>
        <v>0</v>
      </c>
      <c r="K555" s="89">
        <f t="shared" si="43"/>
        <v>587.20999999999992</v>
      </c>
      <c r="L555" s="89">
        <f t="shared" si="43"/>
        <v>4795066.74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8497628.5099999998</v>
      </c>
      <c r="G561" s="89">
        <f t="shared" ref="G561:L561" si="45">G550+G555+G560</f>
        <v>3943887.2099999995</v>
      </c>
      <c r="H561" s="89">
        <f t="shared" si="45"/>
        <v>1457527.03</v>
      </c>
      <c r="I561" s="89">
        <f t="shared" si="45"/>
        <v>853706.18</v>
      </c>
      <c r="J561" s="89">
        <f t="shared" si="45"/>
        <v>501942.18999999994</v>
      </c>
      <c r="K561" s="89">
        <f t="shared" si="45"/>
        <v>67321.31</v>
      </c>
      <c r="L561" s="89">
        <f t="shared" si="45"/>
        <v>15322012.43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>
        <v>303</v>
      </c>
      <c r="H568" s="18">
        <f>30449.1+6240</f>
        <v>36689.1</v>
      </c>
      <c r="I568" s="87">
        <f t="shared" si="46"/>
        <v>36992.1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161775.03</v>
      </c>
      <c r="G569" s="18">
        <v>97132.77</v>
      </c>
      <c r="H569" s="18">
        <v>233950.27</v>
      </c>
      <c r="I569" s="87">
        <f t="shared" si="46"/>
        <v>492858.06999999995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303638.18+845248.75</f>
        <v>1148886.93</v>
      </c>
      <c r="G572" s="18">
        <f>713364.25+471941.35</f>
        <v>1185305.6000000001</v>
      </c>
      <c r="H572" s="18">
        <f>1244395.5+1457075.42</f>
        <v>2701470.92</v>
      </c>
      <c r="I572" s="87">
        <f t="shared" si="46"/>
        <v>5035663.45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9030.49+3479.73+1002218.41</f>
        <v>1014728.63</v>
      </c>
      <c r="I581" s="18">
        <f>9610.4+3703.19+1066571.03</f>
        <v>1079884.6200000001</v>
      </c>
      <c r="J581" s="18">
        <f>2753.18+1060.89+305558.6</f>
        <v>309372.67</v>
      </c>
      <c r="K581" s="104">
        <f t="shared" ref="K581:K587" si="47">SUM(H581:J581)</f>
        <v>2403985.92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12036.61+4638.09+1335841.78</f>
        <v>1352516.48</v>
      </c>
      <c r="I582" s="18">
        <f>5217.86+2010.61+579082.91</f>
        <v>586311.38</v>
      </c>
      <c r="J582" s="18">
        <f>5671.32+2185.34+629424.01</f>
        <v>637280.67000000004</v>
      </c>
      <c r="K582" s="104">
        <f t="shared" si="47"/>
        <v>2576108.5299999998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7774.5</f>
        <v>7774.5</v>
      </c>
      <c r="J584" s="18">
        <f>102963.62</f>
        <v>102963.62</v>
      </c>
      <c r="K584" s="104">
        <f t="shared" si="47"/>
        <v>110738.12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340</v>
      </c>
      <c r="I585" s="18">
        <v>1915</v>
      </c>
      <c r="J585" s="18">
        <f>2867.5+6605.25</f>
        <v>9472.75</v>
      </c>
      <c r="K585" s="104">
        <f t="shared" si="47"/>
        <v>11727.75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2367585.11</v>
      </c>
      <c r="I588" s="108">
        <f>SUM(I581:I587)</f>
        <v>1675885.5</v>
      </c>
      <c r="J588" s="108">
        <f>SUM(J581:J587)</f>
        <v>1059089.71</v>
      </c>
      <c r="K588" s="108">
        <f>SUM(K581:K587)</f>
        <v>5102560.3199999994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23397.96+17616+11388+429440.25+1062.01</f>
        <v>482904.22000000003</v>
      </c>
      <c r="I594" s="18">
        <f>14707.29+4971+91816.23+170</f>
        <v>111664.51999999999</v>
      </c>
      <c r="J594" s="18">
        <f>28746.07+283601.2+5059.94+22235.11+27114.24+22026.96+583.95+13196.57-4692</f>
        <v>397872.04000000004</v>
      </c>
      <c r="K594" s="104">
        <f>SUM(H594:J594)</f>
        <v>992440.78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482904.22000000003</v>
      </c>
      <c r="I595" s="108">
        <f>SUM(I592:I594)</f>
        <v>111664.51999999999</v>
      </c>
      <c r="J595" s="108">
        <f>SUM(J592:J594)</f>
        <v>397872.04000000004</v>
      </c>
      <c r="K595" s="108">
        <f>SUM(K592:K594)</f>
        <v>992440.78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8867.7+71725.64+1279.58+11436.13</f>
        <v>93309.05</v>
      </c>
      <c r="G601" s="18">
        <f>1444.42+11486.98+334.62+1574.29</f>
        <v>14840.310000000001</v>
      </c>
      <c r="H601" s="18">
        <f>20175.46+1586.85+51770.65+3164.52</f>
        <v>76697.48</v>
      </c>
      <c r="I601" s="18">
        <f>364</f>
        <v>364</v>
      </c>
      <c r="J601" s="18"/>
      <c r="K601" s="18"/>
      <c r="L601" s="88">
        <f>SUM(F601:K601)</f>
        <v>185210.84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6139.17+67952.75+13213.5</f>
        <v>87305.42</v>
      </c>
      <c r="G602" s="18">
        <f>999.98+13121.76+2084.59</f>
        <v>16206.33</v>
      </c>
      <c r="H602" s="18">
        <f>13967.63+1586.85+7883.86+3190+500</f>
        <v>27128.34</v>
      </c>
      <c r="I602" s="18">
        <f>252+162.87</f>
        <v>414.87</v>
      </c>
      <c r="J602" s="18"/>
      <c r="K602" s="18"/>
      <c r="L602" s="88">
        <f>SUM(F602:K602)</f>
        <v>131054.95999999999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2046.39+4541.88+26426.98</f>
        <v>33015.25</v>
      </c>
      <c r="G603" s="18">
        <f>333.34+889.67+4169.19</f>
        <v>5392.2</v>
      </c>
      <c r="H603" s="18">
        <f>4655.88+1586.85+11699.8+13630+1000</f>
        <v>32572.53</v>
      </c>
      <c r="I603" s="18">
        <f>84+325.73</f>
        <v>409.73</v>
      </c>
      <c r="J603" s="18"/>
      <c r="K603" s="18"/>
      <c r="L603" s="88">
        <f>SUM(F603:K603)</f>
        <v>71389.709999999992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213629.72</v>
      </c>
      <c r="G604" s="108">
        <f t="shared" si="48"/>
        <v>36438.839999999997</v>
      </c>
      <c r="H604" s="108">
        <f t="shared" si="48"/>
        <v>136398.34999999998</v>
      </c>
      <c r="I604" s="108">
        <f t="shared" si="48"/>
        <v>1188.5999999999999</v>
      </c>
      <c r="J604" s="108">
        <f t="shared" si="48"/>
        <v>0</v>
      </c>
      <c r="K604" s="108">
        <f t="shared" si="48"/>
        <v>0</v>
      </c>
      <c r="L604" s="89">
        <f t="shared" si="48"/>
        <v>387655.51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38549070.899999999</v>
      </c>
      <c r="H607" s="109">
        <f>SUM(F44)</f>
        <v>38549070.899999999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895810.58000000007</v>
      </c>
      <c r="H608" s="109">
        <f>SUM(G44)</f>
        <v>895810.58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5978685.2200000007</v>
      </c>
      <c r="H609" s="109">
        <f>SUM(H44)</f>
        <v>5978685.2200000007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8234769.6600000001</v>
      </c>
      <c r="H611" s="109">
        <f>SUM(J44)</f>
        <v>8234769.6600000001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1689628.3599999999</v>
      </c>
      <c r="H612" s="109">
        <f>F466</f>
        <v>1689628.3600000143</v>
      </c>
      <c r="I612" s="121" t="s">
        <v>106</v>
      </c>
      <c r="J612" s="109">
        <f t="shared" ref="J612:J645" si="49">G612-H612</f>
        <v>-1.4435499906539917E-8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733114.69</v>
      </c>
      <c r="H613" s="109">
        <f>G466</f>
        <v>733114.69000000041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1337900.99</v>
      </c>
      <c r="H614" s="109">
        <f>H466</f>
        <v>1337900.9900000021</v>
      </c>
      <c r="I614" s="121" t="s">
        <v>110</v>
      </c>
      <c r="J614" s="109">
        <f t="shared" si="49"/>
        <v>-2.0954757928848267E-9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8234769.6600000001</v>
      </c>
      <c r="H616" s="109">
        <f>J466</f>
        <v>8234769.6600000001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147452277.29999998</v>
      </c>
      <c r="H617" s="104">
        <f>SUM(F458)</f>
        <v>147452277.30000001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5331061.55</v>
      </c>
      <c r="H618" s="104">
        <f>SUM(G458)</f>
        <v>5331061.55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28912275.879999999</v>
      </c>
      <c r="H619" s="104">
        <f>SUM(H458)</f>
        <v>28912275.879999999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6188517.0800000001</v>
      </c>
      <c r="H621" s="104">
        <f>SUM(J458)</f>
        <v>6188517.0800000001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150936838.19</v>
      </c>
      <c r="H622" s="104">
        <f>SUM(F462)</f>
        <v>150936838.19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28187241.330000002</v>
      </c>
      <c r="H623" s="104">
        <f>SUM(H462)</f>
        <v>28187241.329999998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2408314.85</v>
      </c>
      <c r="H624" s="104">
        <f>I361</f>
        <v>2408314.8499999996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5467054.1399999997</v>
      </c>
      <c r="H625" s="104">
        <f>SUM(G462)</f>
        <v>5467054.1399999997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6188517.0799999991</v>
      </c>
      <c r="H627" s="164">
        <f>SUM(J458)</f>
        <v>6188517.0800000001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8234769.6600000001</v>
      </c>
      <c r="H630" s="104">
        <f>SUM(G451)</f>
        <v>8234769.6600000001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8234769.6600000001</v>
      </c>
      <c r="H632" s="104">
        <f>SUM(I451)</f>
        <v>8234769.6600000001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8457.6</v>
      </c>
      <c r="H634" s="104">
        <f>H400</f>
        <v>8457.6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6180059.4800000004</v>
      </c>
      <c r="H635" s="104">
        <f>G400</f>
        <v>6180059.4799999995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6188517.0800000001</v>
      </c>
      <c r="H636" s="104">
        <f>L400</f>
        <v>6188517.0799999991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5102560.3199999994</v>
      </c>
      <c r="H637" s="104">
        <f>L200+L218+L236</f>
        <v>5102560.32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992440.78</v>
      </c>
      <c r="H638" s="104">
        <f>(J249+J330)-(J247+J328)</f>
        <v>992440.78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2367585.11</v>
      </c>
      <c r="H639" s="104">
        <f>H588</f>
        <v>2367585.11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1675885.5</v>
      </c>
      <c r="H640" s="104">
        <f>I588</f>
        <v>1675885.5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1059089.71</v>
      </c>
      <c r="H641" s="104">
        <f>J588</f>
        <v>1059089.71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6180059.4800000004</v>
      </c>
      <c r="H645" s="104">
        <f>K258+K339</f>
        <v>6180059.4800000004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73056036.810000002</v>
      </c>
      <c r="G650" s="19">
        <f>(L221+L301+L351)</f>
        <v>36515447.039999999</v>
      </c>
      <c r="H650" s="19">
        <f>(L239+L320+L352)</f>
        <v>55540823.289999999</v>
      </c>
      <c r="I650" s="19">
        <f>SUM(F650:H650)</f>
        <v>165112307.13999999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581882.76884944295</v>
      </c>
      <c r="G651" s="19">
        <f>(L351/IF(SUM(L350:L352)=0,1,SUM(L350:L352))*(SUM(G89:G102)))</f>
        <v>474337.02118390088</v>
      </c>
      <c r="H651" s="19">
        <f>(L352/IF(SUM(L350:L352)=0,1,SUM(L350:L352))*(SUM(G89:G102)))</f>
        <v>655993.53996665636</v>
      </c>
      <c r="I651" s="19">
        <f>SUM(F651:H651)</f>
        <v>1712213.33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2367585.11</v>
      </c>
      <c r="G652" s="19">
        <f>(L218+L298)-(J218+J298)</f>
        <v>1675885.5</v>
      </c>
      <c r="H652" s="19">
        <f>(L236+L317)-(J236+J317)</f>
        <v>1067808.8599999999</v>
      </c>
      <c r="I652" s="19">
        <f>SUM(F652:H652)</f>
        <v>5111279.47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1978777.02</v>
      </c>
      <c r="G653" s="200">
        <f>SUM(G565:G577)+SUM(I592:I594)+L602</f>
        <v>1525460.85</v>
      </c>
      <c r="H653" s="200">
        <f>SUM(H565:H577)+SUM(J592:J594)+L603</f>
        <v>3441372.04</v>
      </c>
      <c r="I653" s="19">
        <f>SUM(F653:H653)</f>
        <v>6945609.9100000001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68127791.91115056</v>
      </c>
      <c r="G654" s="19">
        <f>G650-SUM(G651:G653)</f>
        <v>32839763.668816097</v>
      </c>
      <c r="H654" s="19">
        <f>H650-SUM(H651:H653)</f>
        <v>50375648.850033343</v>
      </c>
      <c r="I654" s="19">
        <f>I650-SUM(I651:I653)</f>
        <v>151343204.42999998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6474.59</v>
      </c>
      <c r="G655" s="249">
        <v>3309.96</v>
      </c>
      <c r="H655" s="249">
        <v>5506.46</v>
      </c>
      <c r="I655" s="19">
        <f>SUM(F655:H655)</f>
        <v>15291.009999999998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10522.33</v>
      </c>
      <c r="G657" s="19">
        <f>ROUND(G654/G655,2)</f>
        <v>9921.5</v>
      </c>
      <c r="H657" s="19">
        <f>ROUND(H654/H655,2)</f>
        <v>9148.4599999999991</v>
      </c>
      <c r="I657" s="19">
        <f>ROUND(I654/I655,2)</f>
        <v>9897.5300000000007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110.97</v>
      </c>
      <c r="I660" s="19">
        <f>SUM(F660:H660)</f>
        <v>110.97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10522.33</v>
      </c>
      <c r="G662" s="19">
        <f>ROUND((G654+G659)/(G655+G660),2)</f>
        <v>9921.5</v>
      </c>
      <c r="H662" s="19">
        <f>ROUND((H654+H659)/(H655+H660),2)</f>
        <v>8967.74</v>
      </c>
      <c r="I662" s="19">
        <f>ROUND((I654+I659)/(I655+I660),2)</f>
        <v>9826.2199999999993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8711-1FA6-4785-8613-76B650B24F76}">
  <sheetPr>
    <tabColor indexed="20"/>
  </sheetPr>
  <dimension ref="A1:C52"/>
  <sheetViews>
    <sheetView topLeftCell="A24" workbookViewId="0">
      <selection activeCell="B60" sqref="B6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Manchester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44774254.230000004</v>
      </c>
      <c r="C9" s="230">
        <f>'DOE25'!G189+'DOE25'!G207+'DOE25'!G225+'DOE25'!G268+'DOE25'!G287+'DOE25'!G306</f>
        <v>14401801.049999999</v>
      </c>
    </row>
    <row r="10" spans="1:3" x14ac:dyDescent="0.2">
      <c r="A10" t="s">
        <v>810</v>
      </c>
      <c r="B10" s="241">
        <v>44480846.030000001</v>
      </c>
      <c r="C10" s="241">
        <v>14301034.140000001</v>
      </c>
    </row>
    <row r="11" spans="1:3" x14ac:dyDescent="0.2">
      <c r="A11" t="s">
        <v>811</v>
      </c>
      <c r="B11" s="241">
        <v>120263.47</v>
      </c>
      <c r="C11" s="241">
        <v>31509.02</v>
      </c>
    </row>
    <row r="12" spans="1:3" x14ac:dyDescent="0.2">
      <c r="A12" t="s">
        <v>812</v>
      </c>
      <c r="B12" s="241">
        <v>173144.73</v>
      </c>
      <c r="C12" s="241">
        <v>69257.89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44774254.229999997</v>
      </c>
      <c r="C13" s="232">
        <f>SUM(C10:C12)</f>
        <v>14401801.050000001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25518032.57</v>
      </c>
      <c r="C18" s="230">
        <f>'DOE25'!G190+'DOE25'!G208+'DOE25'!G226+'DOE25'!G269+'DOE25'!G288+'DOE25'!G307</f>
        <v>12491967.930000002</v>
      </c>
    </row>
    <row r="19" spans="1:3" x14ac:dyDescent="0.2">
      <c r="A19" t="s">
        <v>810</v>
      </c>
      <c r="B19" s="241">
        <v>18497267.530000001</v>
      </c>
      <c r="C19" s="241">
        <v>7398907.0099999998</v>
      </c>
    </row>
    <row r="20" spans="1:3" x14ac:dyDescent="0.2">
      <c r="A20" t="s">
        <v>811</v>
      </c>
      <c r="B20" s="241">
        <f>4031637.36+157836.81+143407.49+69509.97+28128.28+329893.65+35080.42</f>
        <v>4795493.9800000004</v>
      </c>
      <c r="C20" s="241">
        <v>4202952.5</v>
      </c>
    </row>
    <row r="21" spans="1:3" x14ac:dyDescent="0.2">
      <c r="A21" t="s">
        <v>812</v>
      </c>
      <c r="B21" s="241">
        <v>2225271.06</v>
      </c>
      <c r="C21" s="241">
        <v>890108.42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25518032.57</v>
      </c>
      <c r="C22" s="232">
        <f>SUM(C19:C21)</f>
        <v>12491967.93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3165894.45</v>
      </c>
      <c r="C27" s="235">
        <f>'DOE25'!G191+'DOE25'!G209+'DOE25'!G227+'DOE25'!G270+'DOE25'!G289+'DOE25'!G308</f>
        <v>1521736.6099999999</v>
      </c>
    </row>
    <row r="28" spans="1:3" x14ac:dyDescent="0.2">
      <c r="A28" t="s">
        <v>810</v>
      </c>
      <c r="B28" s="241">
        <v>3049456.26</v>
      </c>
      <c r="C28" s="241">
        <v>1481061.17</v>
      </c>
    </row>
    <row r="29" spans="1:3" x14ac:dyDescent="0.2">
      <c r="A29" t="s">
        <v>811</v>
      </c>
      <c r="B29" s="241">
        <f>6008.8+36743.65</f>
        <v>42752.450000000004</v>
      </c>
      <c r="C29" s="241">
        <v>11201.14</v>
      </c>
    </row>
    <row r="30" spans="1:3" x14ac:dyDescent="0.2">
      <c r="A30" t="s">
        <v>812</v>
      </c>
      <c r="B30" s="241">
        <v>73685.740000000005</v>
      </c>
      <c r="C30" s="241">
        <v>29474.3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3165894.45</v>
      </c>
      <c r="C31" s="232">
        <f>SUM(C28:C30)</f>
        <v>1521736.6099999999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1913572.89</v>
      </c>
      <c r="C36" s="236">
        <f>'DOE25'!G192+'DOE25'!G210+'DOE25'!G228+'DOE25'!G271+'DOE25'!G290+'DOE25'!G309</f>
        <v>390805.73000000004</v>
      </c>
    </row>
    <row r="37" spans="1:3" x14ac:dyDescent="0.2">
      <c r="A37" t="s">
        <v>810</v>
      </c>
      <c r="B37" s="241">
        <v>1143359.8700000001</v>
      </c>
      <c r="C37" s="241">
        <v>236763.13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770213.02</v>
      </c>
      <c r="C39" s="241">
        <v>154042.6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1913572.8900000001</v>
      </c>
      <c r="C40" s="232">
        <f>SUM(C37:C39)</f>
        <v>390805.73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E190-6984-4C67-9CA2-13DED5A528EB}">
  <sheetPr>
    <tabColor indexed="11"/>
  </sheetPr>
  <dimension ref="A1:I51"/>
  <sheetViews>
    <sheetView workbookViewId="0">
      <pane ySplit="4" topLeftCell="A5" activePane="bottomLeft" state="frozen"/>
      <selection pane="bottomLeft" activeCell="D20" sqref="D2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Manchester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92782391.150000006</v>
      </c>
      <c r="D5" s="20">
        <f>SUM('DOE25'!L189:L192)+SUM('DOE25'!L207:L210)+SUM('DOE25'!L225:L228)-F5-G5</f>
        <v>92338066.180000007</v>
      </c>
      <c r="E5" s="244"/>
      <c r="F5" s="256">
        <f>SUM('DOE25'!J189:J192)+SUM('DOE25'!J207:J210)+SUM('DOE25'!J225:J228)</f>
        <v>62045.460000000006</v>
      </c>
      <c r="G5" s="53">
        <f>SUM('DOE25'!K189:K192)+SUM('DOE25'!K207:K210)+SUM('DOE25'!K225:K228)</f>
        <v>382279.50999999995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10315351.07</v>
      </c>
      <c r="D6" s="20">
        <f>'DOE25'!L194+'DOE25'!L212+'DOE25'!L230-F6-G6</f>
        <v>10315351.07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2038172.96</v>
      </c>
      <c r="D7" s="20">
        <f>'DOE25'!L195+'DOE25'!L213+'DOE25'!L231-F7-G7</f>
        <v>2038172.96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363142.41000000003</v>
      </c>
      <c r="D8" s="244"/>
      <c r="E8" s="20">
        <f>'DOE25'!L196+'DOE25'!L214+'DOE25'!L232-F8-G8-D9-D11</f>
        <v>349301.64</v>
      </c>
      <c r="F8" s="256">
        <f>'DOE25'!J196+'DOE25'!J214+'DOE25'!J232</f>
        <v>0</v>
      </c>
      <c r="G8" s="53">
        <f>'DOE25'!K196+'DOE25'!K214+'DOE25'!K232</f>
        <v>13840.77</v>
      </c>
      <c r="H8" s="260"/>
    </row>
    <row r="9" spans="1:9" x14ac:dyDescent="0.2">
      <c r="A9" s="32">
        <v>2310</v>
      </c>
      <c r="B9" t="s">
        <v>849</v>
      </c>
      <c r="C9" s="246">
        <f t="shared" si="0"/>
        <v>201803.26</v>
      </c>
      <c r="D9" s="245">
        <v>201803.26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86000</v>
      </c>
      <c r="D10" s="244"/>
      <c r="E10" s="245">
        <v>86000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627689.85</v>
      </c>
      <c r="D11" s="245">
        <v>627689.85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8423617.7300000004</v>
      </c>
      <c r="D12" s="20">
        <f>'DOE25'!L197+'DOE25'!L215+'DOE25'!L233-F12-G12</f>
        <v>8363368.8200000003</v>
      </c>
      <c r="E12" s="244"/>
      <c r="F12" s="256">
        <f>'DOE25'!J197+'DOE25'!J215+'DOE25'!J233</f>
        <v>14913</v>
      </c>
      <c r="G12" s="53">
        <f>'DOE25'!K197+'DOE25'!K215+'DOE25'!K233</f>
        <v>45335.91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1182604.53</v>
      </c>
      <c r="D13" s="244"/>
      <c r="E13" s="20">
        <f>'DOE25'!L198+'DOE25'!L216+'DOE25'!L234-F13-G13</f>
        <v>1182454.53</v>
      </c>
      <c r="F13" s="256">
        <f>'DOE25'!J198+'DOE25'!J216+'DOE25'!J234</f>
        <v>0</v>
      </c>
      <c r="G13" s="53">
        <f>'DOE25'!K198+'DOE25'!K216+'DOE25'!K234</f>
        <v>150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9886532.9100000001</v>
      </c>
      <c r="D14" s="20">
        <f>'DOE25'!L199+'DOE25'!L217+'DOE25'!L235-F14-G14</f>
        <v>9879346.9600000009</v>
      </c>
      <c r="E14" s="244"/>
      <c r="F14" s="256">
        <f>'DOE25'!J199+'DOE25'!J217+'DOE25'!J235</f>
        <v>7000.95</v>
      </c>
      <c r="G14" s="53">
        <f>'DOE25'!K199+'DOE25'!K217+'DOE25'!K235</f>
        <v>185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5102560.32</v>
      </c>
      <c r="D15" s="20">
        <f>'DOE25'!L200+'DOE25'!L218+'DOE25'!L236-F15-G15</f>
        <v>5102560.32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1356593.67</v>
      </c>
      <c r="D16" s="244"/>
      <c r="E16" s="20">
        <f>'DOE25'!L201+'DOE25'!L219+'DOE25'!L237-F16-G16</f>
        <v>1343387.18</v>
      </c>
      <c r="F16" s="256">
        <f>'DOE25'!J201+'DOE25'!J219+'DOE25'!J237</f>
        <v>13043.740000000002</v>
      </c>
      <c r="G16" s="53">
        <f>'DOE25'!K201+'DOE25'!K219+'DOE25'!K237</f>
        <v>162.75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210280.48</v>
      </c>
      <c r="D22" s="244"/>
      <c r="E22" s="244"/>
      <c r="F22" s="256">
        <f>'DOE25'!L247+'DOE25'!L328</f>
        <v>210280.48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12266038.370000001</v>
      </c>
      <c r="D25" s="244"/>
      <c r="E25" s="244"/>
      <c r="F25" s="259"/>
      <c r="G25" s="257"/>
      <c r="H25" s="258">
        <f>'DOE25'!L252+'DOE25'!L253+'DOE25'!L333+'DOE25'!L334</f>
        <v>12266038.370000001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3261593.42</v>
      </c>
      <c r="D29" s="20">
        <f>'DOE25'!L350+'DOE25'!L351+'DOE25'!L352-'DOE25'!I359-F29-G29</f>
        <v>3200900.4</v>
      </c>
      <c r="E29" s="244"/>
      <c r="F29" s="256">
        <f>'DOE25'!J350+'DOE25'!J351+'DOE25'!J352</f>
        <v>60693.020000000004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27835895.960000001</v>
      </c>
      <c r="D31" s="20">
        <f>'DOE25'!L282+'DOE25'!L301+'DOE25'!L320+'DOE25'!L325+'DOE25'!L326+'DOE25'!L327-F31-G31</f>
        <v>26859966.300000001</v>
      </c>
      <c r="E31" s="244"/>
      <c r="F31" s="256">
        <f>'DOE25'!J282+'DOE25'!J301+'DOE25'!J320+'DOE25'!J325+'DOE25'!J326+'DOE25'!J327</f>
        <v>895437.63</v>
      </c>
      <c r="G31" s="53">
        <f>'DOE25'!K282+'DOE25'!K301+'DOE25'!K320+'DOE25'!K325+'DOE25'!K326+'DOE25'!K327</f>
        <v>80492.03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158927226.12</v>
      </c>
      <c r="E33" s="247">
        <f>SUM(E5:E31)</f>
        <v>2961143.3499999996</v>
      </c>
      <c r="F33" s="247">
        <f>SUM(F5:F31)</f>
        <v>1263414.28</v>
      </c>
      <c r="G33" s="247">
        <f>SUM(G5:G31)</f>
        <v>522445.97</v>
      </c>
      <c r="H33" s="247">
        <f>SUM(H5:H31)</f>
        <v>12266038.370000001</v>
      </c>
    </row>
    <row r="35" spans="2:8" ht="12" thickBot="1" x14ac:dyDescent="0.25">
      <c r="B35" s="254" t="s">
        <v>878</v>
      </c>
      <c r="D35" s="255">
        <f>E33</f>
        <v>2961143.3499999996</v>
      </c>
      <c r="E35" s="250"/>
    </row>
    <row r="36" spans="2:8" ht="12" thickTop="1" x14ac:dyDescent="0.2">
      <c r="B36" t="s">
        <v>846</v>
      </c>
      <c r="D36" s="20">
        <f>D33</f>
        <v>158927226.12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EB37-2895-46C5-8723-AD9A3906DA79}">
  <sheetPr transitionEvaluation="1" codeName="Sheet2">
    <tabColor indexed="10"/>
  </sheetPr>
  <dimension ref="A1:I156"/>
  <sheetViews>
    <sheetView zoomScale="75" workbookViewId="0">
      <pane ySplit="2" topLeftCell="A120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Manchester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1097238.1499999999</v>
      </c>
      <c r="D9" s="95">
        <f>'DOE25'!G9</f>
        <v>122000.51999999999</v>
      </c>
      <c r="E9" s="95">
        <f>'DOE25'!H9</f>
        <v>1250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6056639.7599999998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551432.15</v>
      </c>
      <c r="E12" s="95">
        <f>'DOE25'!H12</f>
        <v>0</v>
      </c>
      <c r="F12" s="95">
        <f>'DOE25'!I12</f>
        <v>0</v>
      </c>
      <c r="G12" s="95">
        <f>'DOE25'!J12</f>
        <v>3411126.75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30468838.440000001</v>
      </c>
      <c r="D13" s="95">
        <f>'DOE25'!G13</f>
        <v>219010.95</v>
      </c>
      <c r="E13" s="95">
        <f>'DOE25'!H13</f>
        <v>41653.03</v>
      </c>
      <c r="F13" s="95">
        <f>'DOE25'!I13</f>
        <v>0</v>
      </c>
      <c r="G13" s="95">
        <f>'DOE25'!J13</f>
        <v>4823642.91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887217.28999999992</v>
      </c>
      <c r="D14" s="95">
        <f>'DOE25'!G14</f>
        <v>3366.96</v>
      </c>
      <c r="E14" s="95">
        <f>'DOE25'!H14</f>
        <v>5935570.6900000004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39137.26</v>
      </c>
      <c r="D17" s="95">
        <f>'DOE25'!G17</f>
        <v>0</v>
      </c>
      <c r="E17" s="95">
        <f>'DOE25'!H17</f>
        <v>211.5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38549070.899999999</v>
      </c>
      <c r="D19" s="41">
        <f>SUM(D9:D18)</f>
        <v>895810.58000000007</v>
      </c>
      <c r="E19" s="41">
        <f>SUM(E9:E18)</f>
        <v>5978685.2200000007</v>
      </c>
      <c r="F19" s="41">
        <f>SUM(F9:F18)</f>
        <v>0</v>
      </c>
      <c r="G19" s="41">
        <f>SUM(G9:G18)</f>
        <v>8234769.6600000001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272627.71999999997</v>
      </c>
      <c r="D22" s="95">
        <f>'DOE25'!G23</f>
        <v>0</v>
      </c>
      <c r="E22" s="95">
        <f>'DOE25'!H23</f>
        <v>3689931.18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105560.06000000001</v>
      </c>
      <c r="D24" s="95">
        <f>'DOE25'!G25</f>
        <v>100839.95</v>
      </c>
      <c r="E24" s="95">
        <f>'DOE25'!H25</f>
        <v>330246.44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2928154.54</v>
      </c>
      <c r="D28" s="95">
        <f>'DOE25'!G29</f>
        <v>18144.18</v>
      </c>
      <c r="E28" s="95">
        <f>'DOE25'!H29</f>
        <v>596678.99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1631101.79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31921998.43</v>
      </c>
      <c r="D30" s="95">
        <f>'DOE25'!G31</f>
        <v>43711.759999999995</v>
      </c>
      <c r="E30" s="95">
        <f>'DOE25'!H31</f>
        <v>23927.62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36859442.539999999</v>
      </c>
      <c r="D32" s="41">
        <f>SUM(D22:D31)</f>
        <v>162695.89000000001</v>
      </c>
      <c r="E32" s="41">
        <f>SUM(E22:E31)</f>
        <v>4640784.2300000004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668810.36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803800</v>
      </c>
      <c r="D40" s="95">
        <f>'DOE25'!G41</f>
        <v>733114.69</v>
      </c>
      <c r="E40" s="95">
        <f>'DOE25'!H41</f>
        <v>1337900.99</v>
      </c>
      <c r="F40" s="95">
        <f>'DOE25'!I41</f>
        <v>0</v>
      </c>
      <c r="G40" s="95">
        <f>'DOE25'!J41</f>
        <v>8234769.6600000001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217018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1689628.3599999999</v>
      </c>
      <c r="D42" s="41">
        <f>SUM(D34:D41)</f>
        <v>733114.69</v>
      </c>
      <c r="E42" s="41">
        <f>SUM(E34:E41)</f>
        <v>1337900.99</v>
      </c>
      <c r="F42" s="41">
        <f>SUM(F34:F41)</f>
        <v>0</v>
      </c>
      <c r="G42" s="41">
        <f>SUM(G34:G41)</f>
        <v>8234769.6600000001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38549070.899999999</v>
      </c>
      <c r="D43" s="41">
        <f>D42+D32</f>
        <v>895810.58</v>
      </c>
      <c r="E43" s="41">
        <f>E42+E32</f>
        <v>5978685.2200000007</v>
      </c>
      <c r="F43" s="41">
        <f>F42+F32</f>
        <v>0</v>
      </c>
      <c r="G43" s="41">
        <f>G42+G32</f>
        <v>8234769.6600000001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53047469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10978563.52</v>
      </c>
      <c r="D49" s="24" t="s">
        <v>312</v>
      </c>
      <c r="E49" s="95">
        <f>'DOE25'!H71</f>
        <v>3726256.09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177558.66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8457.6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1712213.33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713887.3</v>
      </c>
      <c r="D53" s="95">
        <f>SUM('DOE25'!G90:G102)</f>
        <v>0</v>
      </c>
      <c r="E53" s="95">
        <f>SUM('DOE25'!H90:H102)</f>
        <v>3790041.43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11870009.48</v>
      </c>
      <c r="D54" s="130">
        <f>SUM(D49:D53)</f>
        <v>1712213.33</v>
      </c>
      <c r="E54" s="130">
        <f>SUM(E49:E53)</f>
        <v>7516297.5199999996</v>
      </c>
      <c r="F54" s="130">
        <f>SUM(F49:F53)</f>
        <v>0</v>
      </c>
      <c r="G54" s="130">
        <f>SUM(G49:G53)</f>
        <v>8457.6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64917478.480000004</v>
      </c>
      <c r="D55" s="22">
        <f>D48+D54</f>
        <v>1712213.33</v>
      </c>
      <c r="E55" s="22">
        <f>E48+E54</f>
        <v>7516297.5199999996</v>
      </c>
      <c r="F55" s="22">
        <f>F48+F54</f>
        <v>0</v>
      </c>
      <c r="G55" s="22">
        <f>G48+G54</f>
        <v>8457.6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54774603.609999999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20793234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1986659.39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77554497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2037326.45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536147.96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546982.93999999994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83888.93</v>
      </c>
      <c r="E69" s="95">
        <f>SUM('DOE25'!H123:H127)</f>
        <v>131153.88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3120457.35</v>
      </c>
      <c r="D70" s="130">
        <f>SUM(D64:D69)</f>
        <v>83888.93</v>
      </c>
      <c r="E70" s="130">
        <f>SUM(E64:E69)</f>
        <v>131153.88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80674954.349999994</v>
      </c>
      <c r="D73" s="130">
        <f>SUM(D71:D72)+D70+D62</f>
        <v>83888.93</v>
      </c>
      <c r="E73" s="130">
        <f>SUM(E71:E72)+E70+E62</f>
        <v>131153.88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196779.19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1628096.18</v>
      </c>
      <c r="D80" s="95">
        <f>SUM('DOE25'!G145:G153)</f>
        <v>3338180.1</v>
      </c>
      <c r="E80" s="95">
        <f>SUM('DOE25'!H145:H153)</f>
        <v>21264824.48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1628096.18</v>
      </c>
      <c r="D83" s="131">
        <f>SUM(D77:D82)</f>
        <v>3534959.29</v>
      </c>
      <c r="E83" s="131">
        <f>SUM(E77:E82)</f>
        <v>21264824.48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6180059.4800000004</v>
      </c>
    </row>
    <row r="89" spans="1:7" x14ac:dyDescent="0.2">
      <c r="A89" t="s">
        <v>789</v>
      </c>
      <c r="B89" s="32" t="s">
        <v>211</v>
      </c>
      <c r="C89" s="95">
        <f>SUM('DOE25'!F172:F173)</f>
        <v>231748.29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231748.29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6180059.4800000004</v>
      </c>
    </row>
    <row r="96" spans="1:7" ht="12.75" thickTop="1" thickBot="1" x14ac:dyDescent="0.25">
      <c r="A96" s="33" t="s">
        <v>796</v>
      </c>
      <c r="C96" s="86">
        <f>C55+C73+C83+C95</f>
        <v>147452277.29999998</v>
      </c>
      <c r="D96" s="86">
        <f>D55+D73+D83+D95</f>
        <v>5331061.55</v>
      </c>
      <c r="E96" s="86">
        <f>E55+E73+E83+E95</f>
        <v>28912275.879999999</v>
      </c>
      <c r="F96" s="86">
        <f>F55+F73+F83+F95</f>
        <v>0</v>
      </c>
      <c r="G96" s="86">
        <f>G55+G73+G95</f>
        <v>6188517.0800000001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57673161.859999999</v>
      </c>
      <c r="D101" s="24" t="s">
        <v>312</v>
      </c>
      <c r="E101" s="95">
        <f>('DOE25'!L268)+('DOE25'!L287)+('DOE25'!L306)</f>
        <v>5124957.01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28517068.609999999</v>
      </c>
      <c r="D102" s="24" t="s">
        <v>312</v>
      </c>
      <c r="E102" s="95">
        <f>('DOE25'!L269)+('DOE25'!L288)+('DOE25'!L307)</f>
        <v>18627914.800000001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4613497.3199999994</v>
      </c>
      <c r="D103" s="24" t="s">
        <v>312</v>
      </c>
      <c r="E103" s="95">
        <f>('DOE25'!L270)+('DOE25'!L289)+('DOE25'!L308)</f>
        <v>575444.73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1978663.36</v>
      </c>
      <c r="D104" s="24" t="s">
        <v>312</v>
      </c>
      <c r="E104" s="95">
        <f>+('DOE25'!L271)+('DOE25'!L290)+('DOE25'!L309)</f>
        <v>1263162.6000000001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13424.23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471102.82000000007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92782391.149999991</v>
      </c>
      <c r="D107" s="86">
        <f>SUM(D101:D106)</f>
        <v>0</v>
      </c>
      <c r="E107" s="86">
        <f>SUM(E101:E106)</f>
        <v>26076006.190000005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10315351.07</v>
      </c>
      <c r="D110" s="24" t="s">
        <v>312</v>
      </c>
      <c r="E110" s="95">
        <f>+('DOE25'!L273)+('DOE25'!L292)+('DOE25'!L311)</f>
        <v>850591.39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2038172.96</v>
      </c>
      <c r="D111" s="24" t="s">
        <v>312</v>
      </c>
      <c r="E111" s="95">
        <f>+('DOE25'!L274)+('DOE25'!L293)+('DOE25'!L312)</f>
        <v>454580.38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1192635.52</v>
      </c>
      <c r="D112" s="24" t="s">
        <v>312</v>
      </c>
      <c r="E112" s="95">
        <f>+('DOE25'!L275)+('DOE25'!L294)+('DOE25'!L313)</f>
        <v>350031.39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8423617.7300000004</v>
      </c>
      <c r="D113" s="24" t="s">
        <v>312</v>
      </c>
      <c r="E113" s="95">
        <f>+('DOE25'!L276)+('DOE25'!L295)+('DOE25'!L314)</f>
        <v>577.95000000000005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1182604.53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9886532.9100000001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5102560.32</v>
      </c>
      <c r="D116" s="24" t="s">
        <v>312</v>
      </c>
      <c r="E116" s="95">
        <f>+('DOE25'!L279)+('DOE25'!L298)+('DOE25'!L317)</f>
        <v>8719.15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1356593.67</v>
      </c>
      <c r="D117" s="24" t="s">
        <v>312</v>
      </c>
      <c r="E117" s="95">
        <f>+('DOE25'!L280)+('DOE25'!L299)+('DOE25'!L318)</f>
        <v>108813.73999999999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5467054.1399999997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39498068.710000008</v>
      </c>
      <c r="D120" s="86">
        <f>SUM(D110:D119)</f>
        <v>5467054.1399999997</v>
      </c>
      <c r="E120" s="86">
        <f>SUM(E110:E119)</f>
        <v>1773314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210280.48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6162664.2800000003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6103374.0899999999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231748.29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6188517.0799999991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-8457.5999999986961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106172.85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18656378.330000002</v>
      </c>
      <c r="D136" s="141">
        <f>SUM(D122:D135)</f>
        <v>0</v>
      </c>
      <c r="E136" s="141">
        <f>SUM(E122:E135)</f>
        <v>337921.14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150936838.19</v>
      </c>
      <c r="D137" s="86">
        <f>(D107+D120+D136)</f>
        <v>5467054.1399999997</v>
      </c>
      <c r="E137" s="86">
        <f>(E107+E120+E136)</f>
        <v>28187241.330000006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7F50-267C-47AA-A131-0ABF4ABD5268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Manchester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10522</v>
      </c>
    </row>
    <row r="5" spans="1:4" x14ac:dyDescent="0.2">
      <c r="B5" t="s">
        <v>735</v>
      </c>
      <c r="C5" s="179">
        <f>IF('DOE25'!G655+'DOE25'!G660=0,0,ROUND('DOE25'!G662,0))</f>
        <v>9922</v>
      </c>
    </row>
    <row r="6" spans="1:4" x14ac:dyDescent="0.2">
      <c r="B6" t="s">
        <v>62</v>
      </c>
      <c r="C6" s="179">
        <f>IF('DOE25'!H655+'DOE25'!H660=0,0,ROUND('DOE25'!H662,0))</f>
        <v>8968</v>
      </c>
    </row>
    <row r="7" spans="1:4" x14ac:dyDescent="0.2">
      <c r="B7" t="s">
        <v>736</v>
      </c>
      <c r="C7" s="179">
        <f>IF('DOE25'!I655+'DOE25'!I660=0,0,ROUND('DOE25'!I662,0))</f>
        <v>9826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62798119</v>
      </c>
      <c r="D10" s="182">
        <f>ROUND((C10/$C$28)*100,1)</f>
        <v>36.9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47144983</v>
      </c>
      <c r="D11" s="182">
        <f>ROUND((C11/$C$28)*100,1)</f>
        <v>27.7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5188942</v>
      </c>
      <c r="D12" s="182">
        <f>ROUND((C12/$C$28)*100,1)</f>
        <v>3.1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3241826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11165942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2492753</v>
      </c>
      <c r="D16" s="182">
        <f t="shared" si="0"/>
        <v>1.5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3008074</v>
      </c>
      <c r="D17" s="182">
        <f t="shared" si="0"/>
        <v>1.8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8424196</v>
      </c>
      <c r="D18" s="182">
        <f t="shared" si="0"/>
        <v>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1182605</v>
      </c>
      <c r="D19" s="182">
        <f t="shared" si="0"/>
        <v>0.7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9886533</v>
      </c>
      <c r="D20" s="182">
        <f t="shared" si="0"/>
        <v>5.8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5111279</v>
      </c>
      <c r="D21" s="182">
        <f t="shared" si="0"/>
        <v>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13424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471103</v>
      </c>
      <c r="D24" s="182">
        <f t="shared" si="0"/>
        <v>0.3</v>
      </c>
    </row>
    <row r="25" spans="1:4" x14ac:dyDescent="0.2">
      <c r="A25">
        <v>5120</v>
      </c>
      <c r="B25" t="s">
        <v>751</v>
      </c>
      <c r="C25" s="179">
        <f>ROUND('DOE25'!L253+'DOE25'!L334,0)</f>
        <v>6103374</v>
      </c>
      <c r="D25" s="182">
        <f t="shared" si="0"/>
        <v>3.6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106172.85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3754840.67</v>
      </c>
      <c r="D27" s="182">
        <f t="shared" si="0"/>
        <v>2.2000000000000002</v>
      </c>
    </row>
    <row r="28" spans="1:4" x14ac:dyDescent="0.2">
      <c r="B28" s="187" t="s">
        <v>754</v>
      </c>
      <c r="C28" s="180">
        <f>SUM(C10:C27)</f>
        <v>170094166.51999998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210280</v>
      </c>
    </row>
    <row r="30" spans="1:4" x14ac:dyDescent="0.2">
      <c r="B30" s="187" t="s">
        <v>760</v>
      </c>
      <c r="C30" s="180">
        <f>SUM(C28:C29)</f>
        <v>170304446.51999998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6162664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53047469</v>
      </c>
      <c r="D35" s="182">
        <f t="shared" ref="D35:D40" si="1">ROUND((C35/$C$41)*100,1)</f>
        <v>29.5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19394764.599999994</v>
      </c>
      <c r="D36" s="182">
        <f t="shared" si="1"/>
        <v>10.8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77554497</v>
      </c>
      <c r="D37" s="182">
        <f t="shared" si="1"/>
        <v>43.1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3335500</v>
      </c>
      <c r="D38" s="182">
        <f t="shared" si="1"/>
        <v>1.9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26427880</v>
      </c>
      <c r="D39" s="182">
        <f t="shared" si="1"/>
        <v>14.7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179760110.59999999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D079-7098-4528-A2E0-3C1352B985A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Manchester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FC40:FM40"/>
    <mergeCell ref="HC39:HM39"/>
    <mergeCell ref="DC39:DM39"/>
    <mergeCell ref="DP39:DZ39"/>
    <mergeCell ref="EC39:EM39"/>
    <mergeCell ref="EP39:EZ39"/>
    <mergeCell ref="FC39:FM39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AP40:AZ40"/>
    <mergeCell ref="C42:M42"/>
    <mergeCell ref="FP39:FZ39"/>
    <mergeCell ref="GC39:GM39"/>
    <mergeCell ref="GP39:GZ39"/>
    <mergeCell ref="BP39:BZ39"/>
    <mergeCell ref="BC40:BM40"/>
    <mergeCell ref="BP40:BZ40"/>
    <mergeCell ref="DC38:DM38"/>
    <mergeCell ref="DP38:DZ38"/>
    <mergeCell ref="EC38:EM38"/>
    <mergeCell ref="C51:M51"/>
    <mergeCell ref="P39:Z39"/>
    <mergeCell ref="AC39:AM39"/>
    <mergeCell ref="AP39:AZ39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EC31:EM31"/>
    <mergeCell ref="EP31:EZ31"/>
    <mergeCell ref="FC31:FM31"/>
    <mergeCell ref="BP31:BZ31"/>
    <mergeCell ref="CC31:CM31"/>
    <mergeCell ref="CP31:CZ31"/>
    <mergeCell ref="DC31:DM31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2:E2"/>
    <mergeCell ref="A1:I1"/>
    <mergeCell ref="C3:M3"/>
    <mergeCell ref="C4:M4"/>
    <mergeCell ref="F2:I2"/>
    <mergeCell ref="C5:M5"/>
    <mergeCell ref="C6:M6"/>
    <mergeCell ref="C7:M7"/>
    <mergeCell ref="C8:M8"/>
    <mergeCell ref="C9:M9"/>
    <mergeCell ref="C10:M10"/>
    <mergeCell ref="C11:M11"/>
    <mergeCell ref="C36:M36"/>
    <mergeCell ref="C14:M14"/>
    <mergeCell ref="C15:M15"/>
    <mergeCell ref="C16:M16"/>
    <mergeCell ref="C17:M17"/>
    <mergeCell ref="C18:M18"/>
    <mergeCell ref="C22:M22"/>
    <mergeCell ref="C23:M23"/>
    <mergeCell ref="C12:M12"/>
    <mergeCell ref="C13:M13"/>
    <mergeCell ref="C34:M34"/>
    <mergeCell ref="C35:M35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85:M85"/>
    <mergeCell ref="C74:M74"/>
    <mergeCell ref="C75:M75"/>
    <mergeCell ref="C76:M76"/>
    <mergeCell ref="C77:M77"/>
    <mergeCell ref="C78:M78"/>
    <mergeCell ref="C79:M79"/>
    <mergeCell ref="C20:M20"/>
    <mergeCell ref="C29:M29"/>
    <mergeCell ref="C25:M25"/>
    <mergeCell ref="C26:M26"/>
    <mergeCell ref="C27:M27"/>
    <mergeCell ref="C80:M80"/>
    <mergeCell ref="C67:M67"/>
    <mergeCell ref="C68:M68"/>
    <mergeCell ref="C69:M69"/>
    <mergeCell ref="C70:M70"/>
    <mergeCell ref="C24:M24"/>
    <mergeCell ref="C86:M86"/>
    <mergeCell ref="C87:M87"/>
    <mergeCell ref="C88:M88"/>
    <mergeCell ref="C89:M89"/>
    <mergeCell ref="C90:M90"/>
    <mergeCell ref="C81:M81"/>
    <mergeCell ref="C82:M82"/>
    <mergeCell ref="C83:M83"/>
    <mergeCell ref="C84:M8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2011-12-30T16:36:34Z</cp:lastPrinted>
  <dcterms:created xsi:type="dcterms:W3CDTF">1997-12-04T19:04:30Z</dcterms:created>
  <dcterms:modified xsi:type="dcterms:W3CDTF">2025-01-10T20:06:28Z</dcterms:modified>
</cp:coreProperties>
</file>