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B694285-24C6-4937-9F2C-188FD4A1B300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2CA062E5-58A6-4B2B-BABA-A48E6CAC7CF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1" i="1" l="1"/>
  <c r="F601" i="1"/>
  <c r="F569" i="1"/>
  <c r="H516" i="1"/>
  <c r="I516" i="1"/>
  <c r="L516" i="1"/>
  <c r="G511" i="1"/>
  <c r="F511" i="1"/>
  <c r="H511" i="1"/>
  <c r="I511" i="1"/>
  <c r="F492" i="1"/>
  <c r="F491" i="1"/>
  <c r="F493" i="1" s="1"/>
  <c r="F487" i="1"/>
  <c r="J88" i="1"/>
  <c r="J458" i="1"/>
  <c r="H370" i="1"/>
  <c r="H374" i="1"/>
  <c r="I350" i="1"/>
  <c r="L350" i="1" s="1"/>
  <c r="G350" i="1"/>
  <c r="H274" i="1"/>
  <c r="G274" i="1"/>
  <c r="G271" i="1"/>
  <c r="L271" i="1"/>
  <c r="C13" i="10" s="1"/>
  <c r="F271" i="1"/>
  <c r="G269" i="1"/>
  <c r="F269" i="1"/>
  <c r="L269" i="1"/>
  <c r="J268" i="1"/>
  <c r="J282" i="1"/>
  <c r="I268" i="1"/>
  <c r="G268" i="1"/>
  <c r="L268" i="1" s="1"/>
  <c r="F268" i="1"/>
  <c r="H236" i="1"/>
  <c r="L236" i="1" s="1"/>
  <c r="I197" i="1"/>
  <c r="I203" i="1" s="1"/>
  <c r="I249" i="1" s="1"/>
  <c r="I263" i="1" s="1"/>
  <c r="I195" i="1"/>
  <c r="I194" i="1"/>
  <c r="H201" i="1"/>
  <c r="H200" i="1"/>
  <c r="H196" i="1"/>
  <c r="L196" i="1"/>
  <c r="C17" i="10" s="1"/>
  <c r="H195" i="1"/>
  <c r="H194" i="1"/>
  <c r="G192" i="1"/>
  <c r="G196" i="1"/>
  <c r="G195" i="1"/>
  <c r="L195" i="1" s="1"/>
  <c r="G194" i="1"/>
  <c r="G203" i="1" s="1"/>
  <c r="G249" i="1" s="1"/>
  <c r="G263" i="1" s="1"/>
  <c r="F196" i="1"/>
  <c r="F195" i="1"/>
  <c r="F194" i="1"/>
  <c r="F192" i="1"/>
  <c r="H151" i="1"/>
  <c r="H146" i="1"/>
  <c r="E80" i="2" s="1"/>
  <c r="H142" i="1"/>
  <c r="E79" i="2"/>
  <c r="E81" i="2"/>
  <c r="G89" i="1"/>
  <c r="F102" i="1"/>
  <c r="F103" i="1"/>
  <c r="F12" i="1"/>
  <c r="F9" i="1"/>
  <c r="C37" i="10"/>
  <c r="C60" i="2"/>
  <c r="B2" i="13"/>
  <c r="F8" i="13"/>
  <c r="G8" i="13"/>
  <c r="L214" i="1"/>
  <c r="L232" i="1"/>
  <c r="C112" i="2" s="1"/>
  <c r="D39" i="13"/>
  <c r="F13" i="13"/>
  <c r="G13" i="13"/>
  <c r="L198" i="1"/>
  <c r="L216" i="1"/>
  <c r="E13" i="13" s="1"/>
  <c r="C13" i="13" s="1"/>
  <c r="L234" i="1"/>
  <c r="F16" i="13"/>
  <c r="G16" i="13"/>
  <c r="L201" i="1"/>
  <c r="L219" i="1"/>
  <c r="L221" i="1" s="1"/>
  <c r="L237" i="1"/>
  <c r="F5" i="13"/>
  <c r="G5" i="13"/>
  <c r="L189" i="1"/>
  <c r="L190" i="1"/>
  <c r="L191" i="1"/>
  <c r="L207" i="1"/>
  <c r="L208" i="1"/>
  <c r="L209" i="1"/>
  <c r="L210" i="1"/>
  <c r="L225" i="1"/>
  <c r="L226" i="1"/>
  <c r="L227" i="1"/>
  <c r="L228" i="1"/>
  <c r="F6" i="13"/>
  <c r="G6" i="13"/>
  <c r="L212" i="1"/>
  <c r="L230" i="1"/>
  <c r="F7" i="13"/>
  <c r="G7" i="13"/>
  <c r="L213" i="1"/>
  <c r="L231" i="1"/>
  <c r="F12" i="13"/>
  <c r="G12" i="13"/>
  <c r="L215" i="1"/>
  <c r="L233" i="1"/>
  <c r="F14" i="13"/>
  <c r="G14" i="13"/>
  <c r="L199" i="1"/>
  <c r="L217" i="1"/>
  <c r="L235" i="1"/>
  <c r="F15" i="13"/>
  <c r="G15" i="13"/>
  <c r="L200" i="1"/>
  <c r="L218" i="1"/>
  <c r="F17" i="13"/>
  <c r="G17" i="13"/>
  <c r="L243" i="1"/>
  <c r="F18" i="13"/>
  <c r="G18" i="13"/>
  <c r="L244" i="1"/>
  <c r="D18" i="13" s="1"/>
  <c r="C18" i="13" s="1"/>
  <c r="F19" i="13"/>
  <c r="D19" i="13" s="1"/>
  <c r="C19" i="13" s="1"/>
  <c r="G19" i="13"/>
  <c r="G33" i="13" s="1"/>
  <c r="L245" i="1"/>
  <c r="F29" i="13"/>
  <c r="G29" i="13"/>
  <c r="L351" i="1"/>
  <c r="L352" i="1"/>
  <c r="I359" i="1"/>
  <c r="I361" i="1" s="1"/>
  <c r="H624" i="1" s="1"/>
  <c r="J624" i="1" s="1"/>
  <c r="J301" i="1"/>
  <c r="J320" i="1"/>
  <c r="J330" i="1" s="1"/>
  <c r="K282" i="1"/>
  <c r="G31" i="13"/>
  <c r="K301" i="1"/>
  <c r="K320" i="1"/>
  <c r="L270" i="1"/>
  <c r="L273" i="1"/>
  <c r="L274" i="1"/>
  <c r="E111" i="2"/>
  <c r="L275" i="1"/>
  <c r="L276" i="1"/>
  <c r="L277" i="1"/>
  <c r="E114" i="2" s="1"/>
  <c r="L278" i="1"/>
  <c r="L279" i="1"/>
  <c r="L280" i="1"/>
  <c r="L287" i="1"/>
  <c r="L288" i="1"/>
  <c r="L289" i="1"/>
  <c r="L290" i="1"/>
  <c r="L292" i="1"/>
  <c r="L293" i="1"/>
  <c r="L294" i="1"/>
  <c r="L295" i="1"/>
  <c r="L301" i="1" s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20" i="1" s="1"/>
  <c r="L315" i="1"/>
  <c r="L316" i="1"/>
  <c r="L317" i="1"/>
  <c r="L318" i="1"/>
  <c r="L325" i="1"/>
  <c r="L326" i="1"/>
  <c r="L327" i="1"/>
  <c r="E106" i="2" s="1"/>
  <c r="L252" i="1"/>
  <c r="L253" i="1"/>
  <c r="C124" i="2" s="1"/>
  <c r="L333" i="1"/>
  <c r="E123" i="2" s="1"/>
  <c r="E136" i="2" s="1"/>
  <c r="L334" i="1"/>
  <c r="L247" i="1"/>
  <c r="F22" i="13" s="1"/>
  <c r="C22" i="13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A31" i="12"/>
  <c r="B9" i="12"/>
  <c r="B13" i="12"/>
  <c r="C9" i="12"/>
  <c r="C13" i="12"/>
  <c r="A13" i="12" s="1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 s="1"/>
  <c r="L387" i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 s="1"/>
  <c r="G55" i="2" s="1"/>
  <c r="G51" i="2"/>
  <c r="G53" i="2"/>
  <c r="G54" i="2" s="1"/>
  <c r="G69" i="2"/>
  <c r="G70" i="2" s="1"/>
  <c r="G73" i="2" s="1"/>
  <c r="G61" i="2"/>
  <c r="G62" i="2"/>
  <c r="G88" i="2"/>
  <c r="G95" i="2" s="1"/>
  <c r="G89" i="2"/>
  <c r="G90" i="2"/>
  <c r="F2" i="11"/>
  <c r="L603" i="1"/>
  <c r="H653" i="1"/>
  <c r="L602" i="1"/>
  <c r="G653" i="1"/>
  <c r="L601" i="1"/>
  <c r="L604" i="1" s="1"/>
  <c r="C40" i="10"/>
  <c r="F52" i="1"/>
  <c r="G52" i="1"/>
  <c r="H52" i="1"/>
  <c r="I52" i="1"/>
  <c r="I104" i="1" s="1"/>
  <c r="F71" i="1"/>
  <c r="C49" i="2"/>
  <c r="F86" i="1"/>
  <c r="C50" i="2" s="1"/>
  <c r="C54" i="2" s="1"/>
  <c r="C55" i="2" s="1"/>
  <c r="G103" i="1"/>
  <c r="G104" i="1" s="1"/>
  <c r="H71" i="1"/>
  <c r="H86" i="1"/>
  <c r="H103" i="1"/>
  <c r="I103" i="1"/>
  <c r="J103" i="1"/>
  <c r="J104" i="1" s="1"/>
  <c r="J185" i="1" s="1"/>
  <c r="F113" i="1"/>
  <c r="F128" i="1"/>
  <c r="F132" i="1"/>
  <c r="G113" i="1"/>
  <c r="G132" i="1" s="1"/>
  <c r="C38" i="10" s="1"/>
  <c r="G128" i="1"/>
  <c r="H113" i="1"/>
  <c r="H132" i="1"/>
  <c r="H128" i="1"/>
  <c r="I113" i="1"/>
  <c r="I128" i="1"/>
  <c r="I132" i="1" s="1"/>
  <c r="J113" i="1"/>
  <c r="J128" i="1"/>
  <c r="J132" i="1"/>
  <c r="F139" i="1"/>
  <c r="F154" i="1"/>
  <c r="G139" i="1"/>
  <c r="G154" i="1"/>
  <c r="H139" i="1"/>
  <c r="H161" i="1" s="1"/>
  <c r="H154" i="1"/>
  <c r="I139" i="1"/>
  <c r="F77" i="2" s="1"/>
  <c r="F83" i="2" s="1"/>
  <c r="I154" i="1"/>
  <c r="C12" i="10"/>
  <c r="C19" i="10"/>
  <c r="L242" i="1"/>
  <c r="C23" i="10" s="1"/>
  <c r="L324" i="1"/>
  <c r="L246" i="1"/>
  <c r="L260" i="1"/>
  <c r="L261" i="1"/>
  <c r="C26" i="10"/>
  <c r="L341" i="1"/>
  <c r="L342" i="1"/>
  <c r="I655" i="1"/>
  <c r="I660" i="1"/>
  <c r="G652" i="1"/>
  <c r="I659" i="1"/>
  <c r="C6" i="10"/>
  <c r="C5" i="10"/>
  <c r="C42" i="10"/>
  <c r="L366" i="1"/>
  <c r="L367" i="1"/>
  <c r="L368" i="1"/>
  <c r="L369" i="1"/>
  <c r="L371" i="1"/>
  <c r="L372" i="1"/>
  <c r="F122" i="2" s="1"/>
  <c r="F136" i="2" s="1"/>
  <c r="F137" i="2" s="1"/>
  <c r="B2" i="10"/>
  <c r="L336" i="1"/>
  <c r="L337" i="1"/>
  <c r="L338" i="1"/>
  <c r="L339" i="1"/>
  <c r="K343" i="1"/>
  <c r="L512" i="1"/>
  <c r="F540" i="1" s="1"/>
  <c r="K540" i="1" s="1"/>
  <c r="L513" i="1"/>
  <c r="F541" i="1"/>
  <c r="L517" i="1"/>
  <c r="G540" i="1" s="1"/>
  <c r="G542" i="1" s="1"/>
  <c r="L518" i="1"/>
  <c r="G541" i="1"/>
  <c r="L521" i="1"/>
  <c r="L524" i="1" s="1"/>
  <c r="L522" i="1"/>
  <c r="H540" i="1" s="1"/>
  <c r="L523" i="1"/>
  <c r="H541" i="1"/>
  <c r="L526" i="1"/>
  <c r="I539" i="1" s="1"/>
  <c r="L527" i="1"/>
  <c r="I540" i="1"/>
  <c r="L528" i="1"/>
  <c r="I541" i="1" s="1"/>
  <c r="K541" i="1" s="1"/>
  <c r="L531" i="1"/>
  <c r="J539" i="1" s="1"/>
  <c r="J542" i="1" s="1"/>
  <c r="L532" i="1"/>
  <c r="J540" i="1"/>
  <c r="L533" i="1"/>
  <c r="J541" i="1" s="1"/>
  <c r="E124" i="2"/>
  <c r="K262" i="1"/>
  <c r="J262" i="1"/>
  <c r="I262" i="1"/>
  <c r="H262" i="1"/>
  <c r="G262" i="1"/>
  <c r="F262" i="1"/>
  <c r="C123" i="2"/>
  <c r="A1" i="2"/>
  <c r="A2" i="2"/>
  <c r="C9" i="2"/>
  <c r="D9" i="2"/>
  <c r="E9" i="2"/>
  <c r="E19" i="2" s="1"/>
  <c r="F9" i="2"/>
  <c r="I431" i="1"/>
  <c r="J9" i="1" s="1"/>
  <c r="C10" i="2"/>
  <c r="D10" i="2"/>
  <c r="D12" i="2"/>
  <c r="D13" i="2"/>
  <c r="D19" i="2" s="1"/>
  <c r="D14" i="2"/>
  <c r="D16" i="2"/>
  <c r="D17" i="2"/>
  <c r="D18" i="2"/>
  <c r="E10" i="2"/>
  <c r="F10" i="2"/>
  <c r="I432" i="1"/>
  <c r="J10" i="1"/>
  <c r="G10" i="2"/>
  <c r="C11" i="2"/>
  <c r="C12" i="2"/>
  <c r="E12" i="2"/>
  <c r="F12" i="2"/>
  <c r="I433" i="1"/>
  <c r="J12" i="1"/>
  <c r="G12" i="2" s="1"/>
  <c r="C13" i="2"/>
  <c r="E13" i="2"/>
  <c r="E14" i="2"/>
  <c r="E16" i="2"/>
  <c r="E17" i="2"/>
  <c r="E18" i="2"/>
  <c r="F13" i="2"/>
  <c r="I434" i="1"/>
  <c r="J13" i="1" s="1"/>
  <c r="G13" i="2" s="1"/>
  <c r="C14" i="2"/>
  <c r="F14" i="2"/>
  <c r="F19" i="2" s="1"/>
  <c r="I435" i="1"/>
  <c r="J14" i="1"/>
  <c r="G14" i="2" s="1"/>
  <c r="F15" i="2"/>
  <c r="C16" i="2"/>
  <c r="F16" i="2"/>
  <c r="C17" i="2"/>
  <c r="F17" i="2"/>
  <c r="I436" i="1"/>
  <c r="I438" i="1" s="1"/>
  <c r="G632" i="1" s="1"/>
  <c r="J632" i="1" s="1"/>
  <c r="C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E23" i="2"/>
  <c r="F23" i="2"/>
  <c r="F32" i="2" s="1"/>
  <c r="F43" i="2" s="1"/>
  <c r="I441" i="1"/>
  <c r="J24" i="1"/>
  <c r="G23" i="2" s="1"/>
  <c r="C24" i="2"/>
  <c r="D24" i="2"/>
  <c r="E24" i="2"/>
  <c r="F24" i="2"/>
  <c r="I442" i="1"/>
  <c r="I444" i="1" s="1"/>
  <c r="I451" i="1" s="1"/>
  <c r="H632" i="1" s="1"/>
  <c r="C25" i="2"/>
  <c r="D25" i="2"/>
  <c r="D32" i="2" s="1"/>
  <c r="E25" i="2"/>
  <c r="F25" i="2"/>
  <c r="C26" i="2"/>
  <c r="F26" i="2"/>
  <c r="C27" i="2"/>
  <c r="F27" i="2"/>
  <c r="C28" i="2"/>
  <c r="C29" i="2"/>
  <c r="C32" i="2" s="1"/>
  <c r="C30" i="2"/>
  <c r="C31" i="2"/>
  <c r="D28" i="2"/>
  <c r="E28" i="2"/>
  <c r="F28" i="2"/>
  <c r="D29" i="2"/>
  <c r="E29" i="2"/>
  <c r="F29" i="2"/>
  <c r="D30" i="2"/>
  <c r="E30" i="2"/>
  <c r="F30" i="2"/>
  <c r="D31" i="2"/>
  <c r="E31" i="2"/>
  <c r="F31" i="2"/>
  <c r="I443" i="1"/>
  <c r="J32" i="1" s="1"/>
  <c r="G31" i="2" s="1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E38" i="2"/>
  <c r="E40" i="2"/>
  <c r="E41" i="2"/>
  <c r="E42" i="2"/>
  <c r="E43" i="2" s="1"/>
  <c r="F37" i="2"/>
  <c r="I447" i="1"/>
  <c r="J38" i="1"/>
  <c r="G37" i="2" s="1"/>
  <c r="C38" i="2"/>
  <c r="D38" i="2"/>
  <c r="D40" i="2"/>
  <c r="D41" i="2"/>
  <c r="F38" i="2"/>
  <c r="I448" i="1"/>
  <c r="J40" i="1"/>
  <c r="G39" i="2" s="1"/>
  <c r="C40" i="2"/>
  <c r="F40" i="2"/>
  <c r="I449" i="1"/>
  <c r="I450" i="1"/>
  <c r="J41" i="1"/>
  <c r="G40" i="2" s="1"/>
  <c r="C41" i="2"/>
  <c r="F41" i="2"/>
  <c r="C48" i="2"/>
  <c r="D48" i="2"/>
  <c r="F48" i="2"/>
  <c r="E49" i="2"/>
  <c r="E54" i="2" s="1"/>
  <c r="E50" i="2"/>
  <c r="E51" i="2"/>
  <c r="E53" i="2"/>
  <c r="C51" i="2"/>
  <c r="D51" i="2"/>
  <c r="D54" i="2" s="1"/>
  <c r="D55" i="2" s="1"/>
  <c r="F51" i="2"/>
  <c r="F53" i="2"/>
  <c r="F54" i="2"/>
  <c r="D52" i="2"/>
  <c r="C53" i="2"/>
  <c r="D53" i="2"/>
  <c r="C58" i="2"/>
  <c r="C62" i="2" s="1"/>
  <c r="C73" i="2" s="1"/>
  <c r="C59" i="2"/>
  <c r="C61" i="2"/>
  <c r="D61" i="2"/>
  <c r="E61" i="2"/>
  <c r="E62" i="2" s="1"/>
  <c r="F61" i="2"/>
  <c r="F62" i="2" s="1"/>
  <c r="D62" i="2"/>
  <c r="C64" i="2"/>
  <c r="F64" i="2"/>
  <c r="C65" i="2"/>
  <c r="F65" i="2"/>
  <c r="F70" i="2" s="1"/>
  <c r="F73" i="2" s="1"/>
  <c r="F96" i="2" s="1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C71" i="2"/>
  <c r="D71" i="2"/>
  <c r="E71" i="2"/>
  <c r="C72" i="2"/>
  <c r="E72" i="2"/>
  <c r="C77" i="2"/>
  <c r="F79" i="2"/>
  <c r="F80" i="2"/>
  <c r="F81" i="2"/>
  <c r="C79" i="2"/>
  <c r="C80" i="2"/>
  <c r="C83" i="2" s="1"/>
  <c r="D80" i="2"/>
  <c r="C81" i="2"/>
  <c r="D81" i="2"/>
  <c r="C82" i="2"/>
  <c r="C85" i="2"/>
  <c r="F85" i="2"/>
  <c r="C86" i="2"/>
  <c r="F86" i="2"/>
  <c r="D88" i="2"/>
  <c r="D89" i="2"/>
  <c r="D90" i="2"/>
  <c r="D91" i="2"/>
  <c r="D92" i="2"/>
  <c r="D93" i="2"/>
  <c r="D94" i="2"/>
  <c r="D95" i="2"/>
  <c r="E88" i="2"/>
  <c r="E95" i="2" s="1"/>
  <c r="F88" i="2"/>
  <c r="C89" i="2"/>
  <c r="E89" i="2"/>
  <c r="F89" i="2"/>
  <c r="C90" i="2"/>
  <c r="E90" i="2"/>
  <c r="C91" i="2"/>
  <c r="E91" i="2"/>
  <c r="F91" i="2"/>
  <c r="C92" i="2"/>
  <c r="E92" i="2"/>
  <c r="F92" i="2"/>
  <c r="C93" i="2"/>
  <c r="E93" i="2"/>
  <c r="F93" i="2"/>
  <c r="C94" i="2"/>
  <c r="E94" i="2"/>
  <c r="F94" i="2"/>
  <c r="C95" i="2"/>
  <c r="C103" i="2"/>
  <c r="E103" i="2"/>
  <c r="C105" i="2"/>
  <c r="E105" i="2"/>
  <c r="D107" i="2"/>
  <c r="F107" i="2"/>
  <c r="G107" i="2"/>
  <c r="E110" i="2"/>
  <c r="E112" i="2"/>
  <c r="C114" i="2"/>
  <c r="E115" i="2"/>
  <c r="E116" i="2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 s="1"/>
  <c r="E127" i="2"/>
  <c r="L256" i="1"/>
  <c r="C128" i="2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G149" i="2" s="1"/>
  <c r="E149" i="2"/>
  <c r="F149" i="2"/>
  <c r="B150" i="2"/>
  <c r="C150" i="2"/>
  <c r="D150" i="2"/>
  <c r="E150" i="2"/>
  <c r="F150" i="2"/>
  <c r="G150" i="2"/>
  <c r="B151" i="2"/>
  <c r="C151" i="2"/>
  <c r="D151" i="2"/>
  <c r="G151" i="2" s="1"/>
  <c r="E151" i="2"/>
  <c r="F151" i="2"/>
  <c r="B152" i="2"/>
  <c r="C152" i="2"/>
  <c r="D152" i="2"/>
  <c r="E152" i="2"/>
  <c r="F152" i="2"/>
  <c r="G152" i="2"/>
  <c r="F490" i="1"/>
  <c r="B153" i="2" s="1"/>
  <c r="G153" i="2" s="1"/>
  <c r="C153" i="2"/>
  <c r="D153" i="2"/>
  <c r="E153" i="2"/>
  <c r="G490" i="1"/>
  <c r="H490" i="1"/>
  <c r="I490" i="1"/>
  <c r="J490" i="1"/>
  <c r="F153" i="2" s="1"/>
  <c r="C154" i="2"/>
  <c r="D154" i="2"/>
  <c r="E154" i="2"/>
  <c r="F154" i="2"/>
  <c r="B155" i="2"/>
  <c r="G155" i="2" s="1"/>
  <c r="C155" i="2"/>
  <c r="D155" i="2"/>
  <c r="E155" i="2"/>
  <c r="F155" i="2"/>
  <c r="C156" i="2"/>
  <c r="E156" i="2"/>
  <c r="F156" i="2"/>
  <c r="G493" i="1"/>
  <c r="H493" i="1"/>
  <c r="D156" i="2" s="1"/>
  <c r="I493" i="1"/>
  <c r="J493" i="1"/>
  <c r="F19" i="1"/>
  <c r="G607" i="1"/>
  <c r="G19" i="1"/>
  <c r="G608" i="1" s="1"/>
  <c r="H19" i="1"/>
  <c r="I19" i="1"/>
  <c r="G610" i="1"/>
  <c r="J610" i="1" s="1"/>
  <c r="F33" i="1"/>
  <c r="F44" i="1" s="1"/>
  <c r="H607" i="1" s="1"/>
  <c r="J607" i="1" s="1"/>
  <c r="G33" i="1"/>
  <c r="H33" i="1"/>
  <c r="I33" i="1"/>
  <c r="I44" i="1" s="1"/>
  <c r="H610" i="1" s="1"/>
  <c r="F43" i="1"/>
  <c r="G43" i="1"/>
  <c r="G613" i="1"/>
  <c r="J613" i="1" s="1"/>
  <c r="H43" i="1"/>
  <c r="H44" i="1" s="1"/>
  <c r="H609" i="1" s="1"/>
  <c r="J609" i="1" s="1"/>
  <c r="I43" i="1"/>
  <c r="F169" i="1"/>
  <c r="I169" i="1"/>
  <c r="F175" i="1"/>
  <c r="F184" i="1"/>
  <c r="G175" i="1"/>
  <c r="G184" i="1" s="1"/>
  <c r="H175" i="1"/>
  <c r="I175" i="1"/>
  <c r="J175" i="1"/>
  <c r="F180" i="1"/>
  <c r="G180" i="1"/>
  <c r="H180" i="1"/>
  <c r="H184" i="1"/>
  <c r="I180" i="1"/>
  <c r="J184" i="1"/>
  <c r="F203" i="1"/>
  <c r="H203" i="1"/>
  <c r="H249" i="1" s="1"/>
  <c r="H263" i="1" s="1"/>
  <c r="J203" i="1"/>
  <c r="K203" i="1"/>
  <c r="F221" i="1"/>
  <c r="G221" i="1"/>
  <c r="H221" i="1"/>
  <c r="I221" i="1"/>
  <c r="J221" i="1"/>
  <c r="K221" i="1"/>
  <c r="F239" i="1"/>
  <c r="F249" i="1" s="1"/>
  <c r="F263" i="1" s="1"/>
  <c r="G239" i="1"/>
  <c r="H239" i="1"/>
  <c r="I239" i="1"/>
  <c r="J239" i="1"/>
  <c r="K239" i="1"/>
  <c r="K249" i="1" s="1"/>
  <c r="K263" i="1" s="1"/>
  <c r="F248" i="1"/>
  <c r="G248" i="1"/>
  <c r="H248" i="1"/>
  <c r="I248" i="1"/>
  <c r="J248" i="1"/>
  <c r="K248" i="1"/>
  <c r="L248" i="1"/>
  <c r="F282" i="1"/>
  <c r="F330" i="1" s="1"/>
  <c r="F344" i="1" s="1"/>
  <c r="G282" i="1"/>
  <c r="G330" i="1"/>
  <c r="G344" i="1" s="1"/>
  <c r="H282" i="1"/>
  <c r="H330" i="1"/>
  <c r="H344" i="1" s="1"/>
  <c r="I282" i="1"/>
  <c r="F301" i="1"/>
  <c r="G301" i="1"/>
  <c r="H301" i="1"/>
  <c r="I301" i="1"/>
  <c r="F320" i="1"/>
  <c r="G320" i="1"/>
  <c r="H320" i="1"/>
  <c r="I320" i="1"/>
  <c r="I330" i="1" s="1"/>
  <c r="I344" i="1" s="1"/>
  <c r="F329" i="1"/>
  <c r="G329" i="1"/>
  <c r="H329" i="1"/>
  <c r="I329" i="1"/>
  <c r="L329" i="1" s="1"/>
  <c r="J329" i="1"/>
  <c r="K329" i="1"/>
  <c r="F354" i="1"/>
  <c r="G354" i="1"/>
  <c r="H354" i="1"/>
  <c r="I354" i="1"/>
  <c r="G624" i="1"/>
  <c r="J354" i="1"/>
  <c r="K354" i="1"/>
  <c r="I360" i="1"/>
  <c r="F361" i="1"/>
  <c r="G361" i="1"/>
  <c r="H361" i="1"/>
  <c r="L373" i="1"/>
  <c r="F374" i="1"/>
  <c r="G374" i="1"/>
  <c r="I374" i="1"/>
  <c r="J374" i="1"/>
  <c r="K374" i="1"/>
  <c r="F385" i="1"/>
  <c r="F400" i="1" s="1"/>
  <c r="H633" i="1" s="1"/>
  <c r="J633" i="1" s="1"/>
  <c r="G385" i="1"/>
  <c r="G400" i="1" s="1"/>
  <c r="H635" i="1" s="1"/>
  <c r="H385" i="1"/>
  <c r="I385" i="1"/>
  <c r="F393" i="1"/>
  <c r="G393" i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I425" i="1"/>
  <c r="J425" i="1"/>
  <c r="F426" i="1"/>
  <c r="J426" i="1"/>
  <c r="F438" i="1"/>
  <c r="G438" i="1"/>
  <c r="G630" i="1"/>
  <c r="H438" i="1"/>
  <c r="G631" i="1" s="1"/>
  <c r="J631" i="1" s="1"/>
  <c r="F444" i="1"/>
  <c r="F451" i="1" s="1"/>
  <c r="H629" i="1" s="1"/>
  <c r="G444" i="1"/>
  <c r="H444" i="1"/>
  <c r="H451" i="1" s="1"/>
  <c r="H631" i="1" s="1"/>
  <c r="F450" i="1"/>
  <c r="G450" i="1"/>
  <c r="G451" i="1"/>
  <c r="H630" i="1"/>
  <c r="J630" i="1" s="1"/>
  <c r="H450" i="1"/>
  <c r="F460" i="1"/>
  <c r="F466" i="1" s="1"/>
  <c r="H612" i="1" s="1"/>
  <c r="G460" i="1"/>
  <c r="G466" i="1" s="1"/>
  <c r="H613" i="1" s="1"/>
  <c r="H460" i="1"/>
  <c r="I460" i="1"/>
  <c r="J460" i="1"/>
  <c r="J466" i="1"/>
  <c r="H616" i="1" s="1"/>
  <c r="F464" i="1"/>
  <c r="G464" i="1"/>
  <c r="H464" i="1"/>
  <c r="I464" i="1"/>
  <c r="J464" i="1"/>
  <c r="I466" i="1"/>
  <c r="H615" i="1" s="1"/>
  <c r="J615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J535" i="1" s="1"/>
  <c r="K514" i="1"/>
  <c r="K535" i="1" s="1"/>
  <c r="F519" i="1"/>
  <c r="G519" i="1"/>
  <c r="I519" i="1"/>
  <c r="J519" i="1"/>
  <c r="K519" i="1"/>
  <c r="F524" i="1"/>
  <c r="F535" i="1" s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I535" i="1" s="1"/>
  <c r="J534" i="1"/>
  <c r="K534" i="1"/>
  <c r="L547" i="1"/>
  <c r="L548" i="1"/>
  <c r="L549" i="1"/>
  <c r="F550" i="1"/>
  <c r="G550" i="1"/>
  <c r="G561" i="1" s="1"/>
  <c r="H550" i="1"/>
  <c r="H561" i="1" s="1"/>
  <c r="I550" i="1"/>
  <c r="I561" i="1" s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J561" i="1" s="1"/>
  <c r="K555" i="1"/>
  <c r="L557" i="1"/>
  <c r="L558" i="1"/>
  <c r="L560" i="1" s="1"/>
  <c r="L559" i="1"/>
  <c r="F560" i="1"/>
  <c r="G560" i="1"/>
  <c r="H560" i="1"/>
  <c r="I560" i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G612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3" i="1"/>
  <c r="G634" i="1"/>
  <c r="J634" i="1" s="1"/>
  <c r="G635" i="1"/>
  <c r="G640" i="1"/>
  <c r="G642" i="1"/>
  <c r="H642" i="1"/>
  <c r="G643" i="1"/>
  <c r="J643" i="1"/>
  <c r="H643" i="1"/>
  <c r="G644" i="1"/>
  <c r="H644" i="1"/>
  <c r="J644" i="1"/>
  <c r="G645" i="1"/>
  <c r="J645" i="1" s="1"/>
  <c r="H645" i="1"/>
  <c r="L262" i="1"/>
  <c r="C106" i="2"/>
  <c r="E8" i="13"/>
  <c r="C8" i="13" s="1"/>
  <c r="C101" i="2"/>
  <c r="L192" i="1"/>
  <c r="C104" i="2" s="1"/>
  <c r="F161" i="1"/>
  <c r="E32" i="2"/>
  <c r="C42" i="2"/>
  <c r="C19" i="2"/>
  <c r="F561" i="1"/>
  <c r="F42" i="2"/>
  <c r="H466" i="1"/>
  <c r="H614" i="1" s="1"/>
  <c r="G44" i="1"/>
  <c r="H608" i="1"/>
  <c r="I184" i="1"/>
  <c r="J642" i="1"/>
  <c r="G615" i="1"/>
  <c r="L529" i="1"/>
  <c r="J249" i="1"/>
  <c r="E48" i="2"/>
  <c r="C35" i="10"/>
  <c r="C131" i="2"/>
  <c r="C70" i="2"/>
  <c r="F55" i="2"/>
  <c r="D17" i="13"/>
  <c r="C17" i="13"/>
  <c r="C24" i="10"/>
  <c r="C117" i="2"/>
  <c r="H104" i="1"/>
  <c r="H185" i="1" s="1"/>
  <c r="G619" i="1" s="1"/>
  <c r="J619" i="1" s="1"/>
  <c r="L393" i="1"/>
  <c r="C25" i="10"/>
  <c r="F95" i="2"/>
  <c r="G161" i="1"/>
  <c r="D77" i="2"/>
  <c r="D83" i="2"/>
  <c r="D14" i="13"/>
  <c r="C14" i="13" s="1"/>
  <c r="C20" i="10"/>
  <c r="C115" i="2"/>
  <c r="J263" i="1"/>
  <c r="L370" i="1"/>
  <c r="E117" i="2"/>
  <c r="K330" i="1"/>
  <c r="K344" i="1"/>
  <c r="E102" i="2"/>
  <c r="G539" i="1"/>
  <c r="L519" i="1"/>
  <c r="H519" i="1"/>
  <c r="H535" i="1"/>
  <c r="L511" i="1"/>
  <c r="F539" i="1" s="1"/>
  <c r="L514" i="1"/>
  <c r="D96" i="2" l="1"/>
  <c r="G185" i="1"/>
  <c r="G618" i="1" s="1"/>
  <c r="J618" i="1" s="1"/>
  <c r="K493" i="1"/>
  <c r="B156" i="2"/>
  <c r="G156" i="2" s="1"/>
  <c r="C96" i="2"/>
  <c r="L561" i="1"/>
  <c r="I185" i="1"/>
  <c r="G620" i="1" s="1"/>
  <c r="J620" i="1" s="1"/>
  <c r="J344" i="1"/>
  <c r="H638" i="1"/>
  <c r="F542" i="1"/>
  <c r="J635" i="1"/>
  <c r="L282" i="1"/>
  <c r="E101" i="2"/>
  <c r="E107" i="2" s="1"/>
  <c r="E137" i="2" s="1"/>
  <c r="C10" i="10"/>
  <c r="G641" i="1"/>
  <c r="J641" i="1" s="1"/>
  <c r="H652" i="1"/>
  <c r="J608" i="1"/>
  <c r="I542" i="1"/>
  <c r="G651" i="1"/>
  <c r="L354" i="1"/>
  <c r="D29" i="13"/>
  <c r="C29" i="13" s="1"/>
  <c r="F651" i="1"/>
  <c r="H651" i="1"/>
  <c r="D119" i="2"/>
  <c r="D120" i="2" s="1"/>
  <c r="D137" i="2" s="1"/>
  <c r="C16" i="10"/>
  <c r="D7" i="13"/>
  <c r="C7" i="13" s="1"/>
  <c r="C111" i="2"/>
  <c r="G636" i="1"/>
  <c r="G621" i="1"/>
  <c r="J621" i="1" s="1"/>
  <c r="L239" i="1"/>
  <c r="H650" i="1" s="1"/>
  <c r="G650" i="1"/>
  <c r="J629" i="1"/>
  <c r="J614" i="1"/>
  <c r="J637" i="1"/>
  <c r="G9" i="2"/>
  <c r="C39" i="10"/>
  <c r="J612" i="1"/>
  <c r="G137" i="2"/>
  <c r="G42" i="2"/>
  <c r="C21" i="10"/>
  <c r="E55" i="2"/>
  <c r="E96" i="2" s="1"/>
  <c r="C43" i="2"/>
  <c r="J638" i="1"/>
  <c r="G22" i="2"/>
  <c r="G96" i="2"/>
  <c r="C130" i="2"/>
  <c r="C133" i="2" s="1"/>
  <c r="L400" i="1"/>
  <c r="H637" i="1"/>
  <c r="G639" i="1"/>
  <c r="J639" i="1" s="1"/>
  <c r="F104" i="1"/>
  <c r="E113" i="2"/>
  <c r="E120" i="2" s="1"/>
  <c r="E16" i="13"/>
  <c r="C16" i="13" s="1"/>
  <c r="L194" i="1"/>
  <c r="I161" i="1"/>
  <c r="C32" i="10"/>
  <c r="D15" i="13"/>
  <c r="C15" i="13" s="1"/>
  <c r="J25" i="1"/>
  <c r="G24" i="2" s="1"/>
  <c r="J17" i="1"/>
  <c r="G17" i="2" s="1"/>
  <c r="E77" i="2"/>
  <c r="E83" i="2" s="1"/>
  <c r="J43" i="1"/>
  <c r="B154" i="2"/>
  <c r="G154" i="2" s="1"/>
  <c r="L374" i="1"/>
  <c r="G626" i="1" s="1"/>
  <c r="J626" i="1" s="1"/>
  <c r="F31" i="13"/>
  <c r="F33" i="13" s="1"/>
  <c r="D5" i="13"/>
  <c r="H539" i="1"/>
  <c r="H542" i="1" s="1"/>
  <c r="C29" i="10"/>
  <c r="H25" i="13"/>
  <c r="C102" i="2"/>
  <c r="C107" i="2" s="1"/>
  <c r="L534" i="1"/>
  <c r="L535" i="1" s="1"/>
  <c r="C11" i="10"/>
  <c r="L343" i="1"/>
  <c r="E104" i="2"/>
  <c r="F653" i="1"/>
  <c r="I653" i="1" s="1"/>
  <c r="L197" i="1"/>
  <c r="E33" i="13"/>
  <c r="D35" i="13" s="1"/>
  <c r="C116" i="2"/>
  <c r="F652" i="1"/>
  <c r="I652" i="1" s="1"/>
  <c r="G616" i="1" l="1"/>
  <c r="J616" i="1" s="1"/>
  <c r="H654" i="1"/>
  <c r="G627" i="1"/>
  <c r="J627" i="1" s="1"/>
  <c r="H636" i="1"/>
  <c r="J636" i="1" s="1"/>
  <c r="J33" i="1"/>
  <c r="J44" i="1" s="1"/>
  <c r="H611" i="1" s="1"/>
  <c r="C25" i="13"/>
  <c r="H33" i="13"/>
  <c r="G32" i="2"/>
  <c r="G43" i="2" s="1"/>
  <c r="J19" i="1"/>
  <c r="G611" i="1" s="1"/>
  <c r="L203" i="1"/>
  <c r="C15" i="10"/>
  <c r="D6" i="13"/>
  <c r="C6" i="13" s="1"/>
  <c r="C110" i="2"/>
  <c r="G19" i="2"/>
  <c r="C5" i="13"/>
  <c r="D31" i="13"/>
  <c r="C31" i="13" s="1"/>
  <c r="L330" i="1"/>
  <c r="L344" i="1" s="1"/>
  <c r="G623" i="1" s="1"/>
  <c r="J623" i="1" s="1"/>
  <c r="I651" i="1"/>
  <c r="D12" i="13"/>
  <c r="C12" i="13" s="1"/>
  <c r="C18" i="10"/>
  <c r="C113" i="2"/>
  <c r="C36" i="10"/>
  <c r="F185" i="1"/>
  <c r="G617" i="1" s="1"/>
  <c r="J617" i="1" s="1"/>
  <c r="K539" i="1"/>
  <c r="K542" i="1" s="1"/>
  <c r="C136" i="2"/>
  <c r="G654" i="1"/>
  <c r="G625" i="1"/>
  <c r="J625" i="1" s="1"/>
  <c r="C27" i="10"/>
  <c r="D33" i="13" l="1"/>
  <c r="D36" i="13" s="1"/>
  <c r="C120" i="2"/>
  <c r="C137" i="2" s="1"/>
  <c r="C41" i="10"/>
  <c r="D36" i="10"/>
  <c r="D15" i="10"/>
  <c r="F650" i="1"/>
  <c r="L249" i="1"/>
  <c r="L263" i="1" s="1"/>
  <c r="G622" i="1" s="1"/>
  <c r="J622" i="1" s="1"/>
  <c r="H657" i="1"/>
  <c r="H662" i="1"/>
  <c r="D27" i="10"/>
  <c r="D18" i="10"/>
  <c r="J611" i="1"/>
  <c r="C28" i="10"/>
  <c r="G662" i="1"/>
  <c r="G657" i="1"/>
  <c r="I650" i="1" l="1"/>
  <c r="I654" i="1" s="1"/>
  <c r="F654" i="1"/>
  <c r="D37" i="10"/>
  <c r="D35" i="10"/>
  <c r="D40" i="10"/>
  <c r="D38" i="10"/>
  <c r="D39" i="10"/>
  <c r="D19" i="10"/>
  <c r="D25" i="10"/>
  <c r="D24" i="10"/>
  <c r="C30" i="10"/>
  <c r="D26" i="10"/>
  <c r="D12" i="10"/>
  <c r="D22" i="10"/>
  <c r="D20" i="10"/>
  <c r="D13" i="10"/>
  <c r="D17" i="10"/>
  <c r="D23" i="10"/>
  <c r="D16" i="10"/>
  <c r="D10" i="10"/>
  <c r="D21" i="10"/>
  <c r="D11" i="10"/>
  <c r="H646" i="1"/>
  <c r="D28" i="10" l="1"/>
  <c r="D41" i="10"/>
  <c r="F662" i="1"/>
  <c r="C4" i="10" s="1"/>
  <c r="F657" i="1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04F9213-79E0-4A30-8E5B-C3C11D6EE53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A107698-AC25-4DF5-A33E-15F7C3A8B11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263DF77-6F68-41C5-A4A3-68237F0FDBF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EC80A57-A94B-4ADE-9B46-80CEAA6B493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F5B7FD6-9466-4617-B610-A5C93A3751C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62F5538-892B-44B4-8491-B35C5A0738C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E2DBDCE-7EF1-4CD2-AB9B-E9109B8FACA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421D9DB-E0B5-4C65-B6CD-02B8E31DC7B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823ED14-B0F6-4CEA-A46B-2C5DBA7F8C9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8B1F6A9-B80C-44D7-ADDD-E2F91DC73A1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9B2F1F0-63A5-4881-BF38-5BC13D51E90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DA37995-B5FE-4B9C-90C8-75544DE8BAC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<sst xmlns="http://schemas.openxmlformats.org/spreadsheetml/2006/main" count="3860" uniqueCount="897">
  <si>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</si>
  <si>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</si>
  <si>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</si>
  <si>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</si>
  <si>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</si>
  <si>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</si>
  <si>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</si>
  <si>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</si>
  <si>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</si>
  <si>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</si>
  <si>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</si>
  <si>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</si>
  <si>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</si>
  <si>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</si>
  <si>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</si>
  <si>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</si>
  <si>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</si>
  <si>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</si>
  <si>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</si>
  <si>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</si>
  <si>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</si>
  <si>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</si>
  <si>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</si>
  <si>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</si>
  <si>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</si>
  <si>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</si>
  <si>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</si>
  <si>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</si>
  <si>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</si>
  <si>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</si>
  <si>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</si>
  <si>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</si>
  <si>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</si>
  <si>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</si>
  <si>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</si>
  <si>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</si>
  <si>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</si>
  <si>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</si>
  <si>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</si>
  <si>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</si>
  <si>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</si>
  <si>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</si>
  <si>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</si>
  <si>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</si>
  <si>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</si>
  <si>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</si>
  <si>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</si>
  <si>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</si>
  <si>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</si>
  <si>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</si>
  <si>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</si>
  <si>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</si>
  <si>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</si>
  <si>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</si>
  <si>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</si>
  <si>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</si>
  <si>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</si>
  <si>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</si>
  <si>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</si>
  <si>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</si>
  <si>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</si>
  <si>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</si>
  <si>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</si>
  <si>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</si>
  <si>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</si>
  <si>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</si>
  <si>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</si>
  <si>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</si>
  <si>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</si>
  <si>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</si>
  <si>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</si>
  <si>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</si>
  <si>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</si>
  <si>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</si>
  <si>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</si>
  <si>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</si>
  <si>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</si>
  <si>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</si>
  <si>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</si>
  <si>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</si>
  <si>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</si>
  <si>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</si>
  <si>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</si>
  <si>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</si>
  <si>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</si>
  <si>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</si>
  <si>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</si>
  <si>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</si>
  <si>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</si>
  <si>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</si>
  <si>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</si>
  <si>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</si>
  <si>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</si>
  <si>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</si>
  <si>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</si>
  <si>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</si>
  <si>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</si>
  <si>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</si>
  <si>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</si>
  <si>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</si>
  <si>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</si>
  <si>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</si>
  <si>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</si>
  <si>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</si>
  <si>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</si>
  <si>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</si>
  <si>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</si>
  <si>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</si>
  <si>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</si>
  <si>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</si>
  <si>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</si>
  <si>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</si>
  <si>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</si>
  <si>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</si>
  <si>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</si>
  <si>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</si>
  <si>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</si>
  <si>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</si>
  <si>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</si>
  <si>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</si>
  <si>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</si>
  <si>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</si>
  <si>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</si>
  <si>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</si>
  <si>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</si>
  <si>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</si>
  <si>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</si>
  <si>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</si>
  <si>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</si>
  <si>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</si>
  <si>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</si>
  <si>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</si>
  <si>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</si>
  <si>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</si>
  <si>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</si>
  <si>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</si>
  <si>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</si>
  <si>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</si>
  <si>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</si>
  <si>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</si>
  <si>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</si>
  <si>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</si>
  <si>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</si>
  <si>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</si>
  <si>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</si>
  <si>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</si>
  <si>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</si>
  <si>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</si>
  <si>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</si>
  <si>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</si>
  <si>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</si>
  <si>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</si>
  <si>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</si>
  <si>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</si>
  <si>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</si>
  <si>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</si>
  <si>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</si>
  <si>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</si>
  <si>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</si>
  <si>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</si>
  <si>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</si>
  <si>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</si>
  <si>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</si>
  <si>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</si>
  <si>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</si>
  <si>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</si>
  <si>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</si>
  <si>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</si>
  <si>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</si>
  <si>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</si>
  <si>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</si>
  <si>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</si>
  <si>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</si>
  <si>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</si>
  <si>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</si>
  <si>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</si>
  <si>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</si>
  <si>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</si>
  <si>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</si>
  <si>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</si>
  <si>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</si>
  <si>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</si>
  <si>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</si>
  <si>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</si>
  <si>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</si>
  <si>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</si>
  <si>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</si>
  <si>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</si>
  <si>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</si>
  <si>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</si>
  <si>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</si>
  <si>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</si>
  <si>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</si>
  <si>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</si>
  <si>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</si>
  <si>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</si>
  <si>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</si>
  <si>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</si>
  <si>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</si>
  <si>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</si>
  <si>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</si>
  <si>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</si>
  <si>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</si>
  <si>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</si>
  <si>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</si>
  <si>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</si>
  <si>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</si>
  <si>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</si>
  <si>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</si>
  <si>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</si>
  <si>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</si>
  <si>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</si>
  <si>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</si>
  <si>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</si>
  <si>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</si>
  <si>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</si>
  <si>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</si>
  <si>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</si>
  <si>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</si>
  <si>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</si>
  <si>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</si>
  <si>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</si>
  <si>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</si>
  <si>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</si>
  <si>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</si>
  <si>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</si>
  <si>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</si>
  <si>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</si>
  <si>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</si>
  <si>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</si>
  <si>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</si>
  <si>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</si>
  <si>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</si>
  <si>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</si>
  <si>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</si>
  <si>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</si>
  <si>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</si>
  <si>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</si>
  <si>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</si>
  <si>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</si>
  <si>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</si>
  <si>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</si>
  <si>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</si>
  <si>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</si>
  <si>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</si>
  <si>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</si>
  <si>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</si>
  <si>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</si>
  <si>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</si>
  <si>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</si>
  <si>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</si>
  <si>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</si>
  <si>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</si>
  <si>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</si>
  <si>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</si>
  <si>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</si>
  <si>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</si>
  <si>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</si>
  <si>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</si>
  <si>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</si>
  <si>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</si>
  <si>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</si>
  <si>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</si>
  <si>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</si>
  <si>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</si>
  <si>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</si>
  <si>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</si>
  <si>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</si>
  <si>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</si>
  <si>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</si>
  <si>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</si>
  <si>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</si>
  <si>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</si>
  <si>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</si>
  <si>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</si>
  <si>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</si>
  <si>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</si>
  <si>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</si>
  <si>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</si>
  <si>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</si>
  <si>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</si>
  <si>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</si>
  <si>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</si>
  <si>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</si>
  <si>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</si>
  <si>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</si>
  <si>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</si>
  <si>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</si>
  <si>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</si>
  <si>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</si>
  <si>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</si>
  <si>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</si>
  <si>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</si>
  <si>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</si>
  <si>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</si>
  <si>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</si>
  <si>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</si>
  <si>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</si>
  <si>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</si>
  <si>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</si>
  <si>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</si>
  <si>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</si>
  <si>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</si>
  <si>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</si>
  <si>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</si>
  <si>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</si>
  <si>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</si>
  <si>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</si>
  <si>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</si>
  <si>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</si>
  <si>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</si>
  <si>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</si>
  <si>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</si>
  <si>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</si>
  <si>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</si>
  <si>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</si>
  <si>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</si>
  <si>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</si>
  <si>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</si>
  <si>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</si>
  <si>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</si>
  <si>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</si>
  <si>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</si>
  <si>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</si>
  <si>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</si>
  <si>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</si>
  <si>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</si>
  <si>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</si>
  <si>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</si>
  <si>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</si>
  <si>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</si>
  <si>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</si>
  <si>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</si>
  <si>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</si>
  <si>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</si>
  <si>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</si>
  <si>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</si>
  <si>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</si>
  <si>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</si>
  <si>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</si>
  <si>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</si>
  <si>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</si>
  <si>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</si>
  <si>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</si>
  <si>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</si>
  <si>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</si>
  <si>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</si>
  <si>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</si>
  <si>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</si>
  <si>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</si>
  <si>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</si>
  <si>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</si>
  <si>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</si>
  <si>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</si>
  <si>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</si>
  <si>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</si>
  <si>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</si>
  <si>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</si>
  <si>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</si>
  <si>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</si>
  <si>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</si>
  <si>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</si>
  <si>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</si>
  <si>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</si>
  <si>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</si>
  <si>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</si>
  <si>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</si>
  <si>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</si>
  <si>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</si>
  <si>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</si>
  <si>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</si>
  <si>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</si>
  <si>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</si>
  <si>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</si>
  <si>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</si>
  <si>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</si>
  <si>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</si>
  <si>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</si>
  <si>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</si>
  <si>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</si>
  <si>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</si>
  <si>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</si>
  <si>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</si>
  <si>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</si>
  <si>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</si>
  <si>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</si>
  <si>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</si>
  <si>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</si>
  <si>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</si>
  <si>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</si>
  <si>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</si>
  <si>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</si>
  <si>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</si>
  <si>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</si>
  <si>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</si>
  <si>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</si>
  <si>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</si>
  <si>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</si>
  <si>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</si>
  <si>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</si>
  <si>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</si>
  <si>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</si>
  <si>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</si>
  <si>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</si>
  <si>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</si>
  <si>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</si>
  <si>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</si>
  <si>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</si>
  <si>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</si>
  <si>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</si>
  <si>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</si>
  <si>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</si>
  <si>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</si>
  <si>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</si>
  <si>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</si>
  <si>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</si>
  <si>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</si>
  <si>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</si>
  <si>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</si>
  <si>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</si>
  <si>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</si>
  <si>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</si>
  <si>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</si>
  <si>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</si>
  <si>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</si>
  <si>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</si>
  <si>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</si>
  <si>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</si>
  <si>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</si>
  <si>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</si>
  <si>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</si>
  <si>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</si>
  <si>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</si>
  <si>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</si>
  <si>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</si>
  <si>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</si>
  <si>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</si>
  <si>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</si>
  <si>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</si>
  <si>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</si>
  <si>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</si>
  <si>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</si>
  <si>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</si>
  <si>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</si>
  <si>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</si>
  <si>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</si>
  <si>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</si>
  <si>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</si>
  <si>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</si>
  <si>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</si>
  <si>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</si>
  <si>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</si>
  <si>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</si>
  <si>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</si>
  <si>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</si>
  <si>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</si>
  <si>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</si>
  <si>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</si>
  <si>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</si>
  <si>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</si>
  <si>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</si>
  <si>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</si>
  <si>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</si>
  <si>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</si>
  <si>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</si>
  <si>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</si>
  <si>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</si>
  <si>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</si>
  <si>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</si>
  <si>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</si>
  <si>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</si>
  <si>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</si>
  <si>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</si>
  <si>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</si>
  <si>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</si>
  <si>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</si>
  <si>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</si>
  <si>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</si>
  <si>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</si>
  <si>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</si>
  <si>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</si>
  <si>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</si>
  <si>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</si>
  <si>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</si>
  <si>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</si>
  <si>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</si>
  <si>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</si>
  <si>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</si>
  <si>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</si>
  <si>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</si>
  <si>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</si>
  <si>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</si>
  <si>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</si>
  <si>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</si>
  <si>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</si>
  <si>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</si>
  <si>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</si>
  <si>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</si>
  <si>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</si>
  <si>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</si>
  <si>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</si>
  <si>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</si>
  <si>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</si>
  <si>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</si>
  <si>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</si>
  <si>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</si>
  <si>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</si>
  <si>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</si>
  <si>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</si>
  <si>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</si>
  <si>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</si>
  <si>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</si>
  <si>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</si>
  <si>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</si>
  <si>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</si>
  <si>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</si>
  <si>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</si>
  <si>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</si>
  <si>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</si>
  <si>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</si>
  <si>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</si>
  <si>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</si>
  <si>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</si>
  <si>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</si>
  <si>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</si>
  <si>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</si>
  <si>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</si>
  <si>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</si>
  <si>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</si>
  <si>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</si>
  <si>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</si>
  <si>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</si>
  <si>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</si>
  <si>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</si>
  <si>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</si>
  <si>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</si>
  <si>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</si>
  <si>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</si>
  <si>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</si>
  <si>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</si>
  <si>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</si>
  <si>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</si>
  <si>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</si>
  <si>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</si>
  <si>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</si>
  <si>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</si>
  <si>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</si>
  <si>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</si>
  <si>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</si>
  <si>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</si>
  <si>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</si>
  <si>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</si>
  <si>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</si>
  <si>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</si>
  <si>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</si>
  <si>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</si>
  <si>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</si>
  <si>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</si>
  <si>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</si>
  <si>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</si>
  <si>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</si>
  <si>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</si>
  <si>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</si>
  <si>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</si>
  <si>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</si>
  <si>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</si>
  <si>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</si>
  <si>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</si>
  <si>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</si>
  <si>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</si>
  <si>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</si>
  <si>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</si>
  <si>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</si>
  <si>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</si>
  <si>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</si>
  <si>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</si>
  <si>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</si>
  <si>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</si>
  <si>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</si>
  <si>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</si>
  <si>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</si>
  <si>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</si>
  <si>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</si>
  <si>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</si>
  <si>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</si>
  <si>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</si>
  <si>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</si>
  <si>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</si>
  <si>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</si>
  <si>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</si>
  <si>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</si>
  <si>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</si>
  <si>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</si>
  <si>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</si>
  <si>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</si>
  <si>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</si>
  <si>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</si>
  <si>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</si>
  <si>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</si>
  <si>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</si>
  <si>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</si>
  <si>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</si>
  <si>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</si>
  <si>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</si>
  <si>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</si>
  <si>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</si>
  <si>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</si>
  <si>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</si>
  <si>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</si>
  <si>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</si>
  <si>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</si>
  <si>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</si>
  <si>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</si>
  <si>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</si>
  <si>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</si>
  <si>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</si>
  <si>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</si>
  <si>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</si>
  <si>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</si>
  <si>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</si>
  <si>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</si>
  <si>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</si>
  <si>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</si>
  <si>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</si>
  <si>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</si>
  <si>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</si>
  <si>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</si>
  <si>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</si>
  <si>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</si>
  <si>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</si>
  <si>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</si>
  <si>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</si>
  <si>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</si>
  <si>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</si>
  <si>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</si>
  <si>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</si>
  <si>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</si>
  <si>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</si>
  <si>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</si>
  <si>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</si>
  <si>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</si>
  <si>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</si>
  <si>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</si>
  <si>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</si>
  <si>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</si>
  <si>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</si>
  <si>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</si>
  <si>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</si>
  <si>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</si>
  <si>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</si>
  <si>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</si>
  <si>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</si>
  <si>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</si>
  <si>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</si>
  <si>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</si>
  <si>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</si>
  <si>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</si>
  <si>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</si>
  <si>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</si>
  <si>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</si>
  <si>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</si>
  <si>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</si>
  <si>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</si>
  <si>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</si>
  <si>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</si>
  <si>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</si>
  <si>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</si>
  <si>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</si>
  <si>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</si>
  <si>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</si>
  <si>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</si>
  <si>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</si>
  <si>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</si>
  <si>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</si>
  <si>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</si>
  <si>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</si>
  <si>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</si>
  <si>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</si>
  <si>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</si>
  <si>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</si>
  <si>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</si>
  <si>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</si>
  <si>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</si>
  <si>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</si>
  <si>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</si>
  <si>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</si>
  <si>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</si>
  <si>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</si>
  <si>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</si>
  <si>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</si>
  <si>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</si>
  <si>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</si>
  <si>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</si>
  <si>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</si>
  <si>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</si>
  <si>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</si>
  <si>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</si>
  <si>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</si>
  <si>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</si>
  <si>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</si>
  <si>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</si>
  <si>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</si>
  <si>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</si>
  <si>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</si>
  <si>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</si>
  <si>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</si>
  <si>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</si>
  <si>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</si>
  <si>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</si>
  <si>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</si>
  <si>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</si>
  <si>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</si>
  <si>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</si>
  <si>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</si>
  <si>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</si>
  <si>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</si>
  <si>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</si>
  <si>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</si>
  <si>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</si>
  <si>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</si>
  <si>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</si>
  <si>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</si>
  <si>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</si>
  <si>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</si>
  <si>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</si>
  <si>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</si>
  <si>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</si>
  <si>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</si>
  <si>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</si>
  <si>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</si>
  <si>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</si>
  <si>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</si>
  <si>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</si>
  <si>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</si>
  <si>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</si>
  <si>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</si>
  <si>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</si>
  <si>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</si>
  <si>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</si>
  <si>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</si>
  <si>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</si>
  <si>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</si>
  <si>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</si>
  <si>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</si>
  <si>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</si>
  <si>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</si>
  <si>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</si>
  <si>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</si>
  <si>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</si>
  <si>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</si>
  <si>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</si>
  <si>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</si>
  <si>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</si>
  <si>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</si>
  <si>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</si>
  <si>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</si>
  <si>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</si>
  <si>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</si>
  <si>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</si>
  <si>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</si>
  <si>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</si>
  <si>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</si>
  <si>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</si>
  <si>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</si>
  <si>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</si>
  <si>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</si>
  <si>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</si>
  <si>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</si>
  <si>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</si>
  <si>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</si>
  <si>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</si>
  <si>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</si>
  <si>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</si>
  <si>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</si>
  <si>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</si>
  <si>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</si>
  <si>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</si>
  <si>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</si>
  <si>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</si>
  <si>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</si>
  <si>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</si>
  <si>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</si>
  <si>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</si>
  <si>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</si>
  <si>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</si>
  <si>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</si>
  <si>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</si>
  <si>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</si>
  <si>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</si>
  <si>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</si>
  <si>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</si>
  <si>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</si>
  <si>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</si>
  <si>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</si>
  <si>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</si>
  <si>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</si>
  <si>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</si>
  <si>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</si>
  <si>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</si>
  <si>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</si>
  <si>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</si>
  <si>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</si>
  <si>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</si>
  <si>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</si>
  <si>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</si>
  <si>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</si>
  <si>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</si>
  <si>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</si>
  <si>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</si>
  <si>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</si>
  <si>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</si>
  <si>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</si>
  <si>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</si>
  <si>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</si>
  <si>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</si>
  <si>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</si>
  <si>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</si>
  <si>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</si>
  <si>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</si>
  <si>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</si>
  <si>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</si>
  <si>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</si>
  <si>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</si>
  <si>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</si>
  <si>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</si>
  <si>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</si>
  <si>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</si>
  <si>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</si>
  <si>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</si>
  <si>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</si>
  <si>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</si>
  <si>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</si>
  <si>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</si>
  <si>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</si>
  <si>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</si>
  <si>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</si>
  <si>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</si>
  <si>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</si>
  <si>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</si>
  <si>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</si>
  <si>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</si>
  <si>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</si>
  <si>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</si>
  <si>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</si>
  <si>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</si>
  <si>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</si>
  <si>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</si>
  <si>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</si>
  <si>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</si>
  <si>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</si>
  <si>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</si>
  <si>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</si>
  <si>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</si>
  <si>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</si>
  <si>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</si>
  <si>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</si>
  <si>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</si>
  <si>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</si>
  <si>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</si>
  <si>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</si>
  <si>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</si>
  <si>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</si>
  <si>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</si>
  <si>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</si>
  <si>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</si>
  <si>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</si>
  <si>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</si>
  <si>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</si>
  <si>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</si>
  <si>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</si>
  <si>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</si>
  <si>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</si>
  <si>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</si>
  <si>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</si>
  <si>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</si>
  <si>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</si>
  <si>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</si>
  <si>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</si>
  <si>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</si>
  <si>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</si>
  <si>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</si>
  <si>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</si>
  <si>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</si>
  <si>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</si>
  <si>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</si>
  <si>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</si>
  <si>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</si>
  <si>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</si>
  <si>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</si>
  <si>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</si>
  <si>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</si>
  <si>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</si>
  <si>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</si>
  <si>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</si>
  <si>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07/08</t>
  </si>
  <si>
    <t>08/28</t>
  </si>
  <si>
    <t>Marlborough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</si>
</sst>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C1D4-CF6C-4C1B-A857-1695987C4AC8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17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339</v>
      </c>
      <c r="C2" s="21">
        <v>339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314273.83-31139.63</f>
        <v>283134.2</v>
      </c>
      <c r="G9" s="18"/>
      <c r="H9" s="18"/>
      <c r="I9" s="18">
        <v>341065.78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34446.120000000003</v>
      </c>
      <c r="G10" s="18"/>
      <c r="H10" s="18"/>
      <c r="I10" s="18"/>
      <c r="J10" s="67">
        <f>SUM(I432)</f>
        <v>359059.51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644.51+22007.17</f>
        <v>22651.679999999997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15929.15</v>
      </c>
      <c r="G13" s="18"/>
      <c r="H13" s="18">
        <v>24955.49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1690</v>
      </c>
      <c r="G14" s="18">
        <v>2155.1999999999998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709.78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358560.93000000005</v>
      </c>
      <c r="G19" s="41">
        <f>SUM(G9:G18)</f>
        <v>2155.1999999999998</v>
      </c>
      <c r="H19" s="41">
        <f>SUM(H9:H18)</f>
        <v>24955.49</v>
      </c>
      <c r="I19" s="41">
        <f>SUM(I9:I18)</f>
        <v>341065.78</v>
      </c>
      <c r="J19" s="41">
        <f>SUM(J9:J18)</f>
        <v>359059.51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644.51</v>
      </c>
      <c r="H23" s="18">
        <v>22007.17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3071.04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18837.28</v>
      </c>
      <c r="G25" s="18"/>
      <c r="H25" s="18">
        <v>2375.56</v>
      </c>
      <c r="I25" s="18">
        <v>2013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6830.08</v>
      </c>
      <c r="G29" s="18">
        <v>617.63</v>
      </c>
      <c r="H29" s="18">
        <v>572.76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893.06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28738.400000000001</v>
      </c>
      <c r="G33" s="41">
        <f>SUM(G23:G32)</f>
        <v>2155.1999999999998</v>
      </c>
      <c r="H33" s="41">
        <f>SUM(H23:H32)</f>
        <v>24955.489999999998</v>
      </c>
      <c r="I33" s="41">
        <f>SUM(I23:I32)</f>
        <v>2013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>
        <v>2900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>
        <v>336152.78</v>
      </c>
      <c r="J41" s="13">
        <f>SUM(I449)</f>
        <v>359059.51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329822.53000000003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329822.53000000003</v>
      </c>
      <c r="G43" s="41">
        <f>SUM(G35:G42)</f>
        <v>0</v>
      </c>
      <c r="H43" s="41">
        <f>SUM(H35:H42)</f>
        <v>0</v>
      </c>
      <c r="I43" s="41">
        <f>SUM(I35:I42)</f>
        <v>339052.78</v>
      </c>
      <c r="J43" s="41">
        <f>SUM(J35:J42)</f>
        <v>359059.51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358560.93000000005</v>
      </c>
      <c r="G44" s="41">
        <f>G43+G33</f>
        <v>2155.1999999999998</v>
      </c>
      <c r="H44" s="41">
        <f>H43+H33</f>
        <v>24955.489999999998</v>
      </c>
      <c r="I44" s="41">
        <f>I43+I33</f>
        <v>341065.78</v>
      </c>
      <c r="J44" s="41">
        <f>J43+J33</f>
        <v>359059.51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2955043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2955043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2534.44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2534.44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912.61</v>
      </c>
      <c r="G88" s="18"/>
      <c r="H88" s="18"/>
      <c r="I88" s="18"/>
      <c r="J88" s="18">
        <f>115.27+60.14</f>
        <v>175.41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22312.39+3141.65+2392.75+2637.6+157.4</f>
        <v>30641.79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107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3600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35222.769999999997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454.91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17358.74+4859.05</f>
        <v>22217.79</v>
      </c>
      <c r="G102" s="18">
        <v>10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62515.08</v>
      </c>
      <c r="G103" s="41">
        <f>SUM(G88:G102)</f>
        <v>30651.79</v>
      </c>
      <c r="H103" s="41">
        <f>SUM(H88:H102)</f>
        <v>0</v>
      </c>
      <c r="I103" s="41">
        <f>SUM(I88:I102)</f>
        <v>0</v>
      </c>
      <c r="J103" s="41">
        <f>SUM(J88:J102)</f>
        <v>175.41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3020092.52</v>
      </c>
      <c r="G104" s="41">
        <f>G52+G103</f>
        <v>30651.79</v>
      </c>
      <c r="H104" s="41">
        <f>H52+H71+H86+H103</f>
        <v>0</v>
      </c>
      <c r="I104" s="41">
        <f>I52+I103</f>
        <v>0</v>
      </c>
      <c r="J104" s="41">
        <f>J52+J103</f>
        <v>175.41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1141166.22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425112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41389.78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1607668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348581.28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248827.19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908.1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597408.47</v>
      </c>
      <c r="G128" s="41">
        <f>SUM(G115:G127)</f>
        <v>908.1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2205076.4699999997</v>
      </c>
      <c r="G132" s="41">
        <f>G113+SUM(G128:G129)</f>
        <v>908.1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10792.11+12003+2070.42</f>
        <v>24865.53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7412.09+4177.56+33289.9+2436.76+3197.02</f>
        <v>50513.33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65.88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39247.58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33822.34+18097.05</f>
        <v>51919.39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86597.38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86597.38</v>
      </c>
      <c r="G154" s="41">
        <f>SUM(G142:G153)</f>
        <v>39247.58</v>
      </c>
      <c r="H154" s="41">
        <f>SUM(H142:H153)</f>
        <v>127364.13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86597.38</v>
      </c>
      <c r="G161" s="41">
        <f>G139+G154+SUM(G155:G160)</f>
        <v>39247.58</v>
      </c>
      <c r="H161" s="41">
        <f>H139+H154+SUM(H155:H160)</f>
        <v>127364.13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20384.79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3774.46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3774.46</v>
      </c>
      <c r="G175" s="41">
        <f>SUM(G171:G174)</f>
        <v>20384.79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3774.46</v>
      </c>
      <c r="G184" s="41">
        <f>G175+SUM(G180:G183)</f>
        <v>20384.79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5315540.83</v>
      </c>
      <c r="G185" s="47">
        <f>G104+G132+G161+G184</f>
        <v>91192.260000000009</v>
      </c>
      <c r="H185" s="47">
        <f>H104+H132+H161+H184</f>
        <v>127364.13</v>
      </c>
      <c r="I185" s="47">
        <f>I104+I132+I161+I184</f>
        <v>0</v>
      </c>
      <c r="J185" s="47">
        <f>J104+J132+J184</f>
        <v>175.41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947944.21</v>
      </c>
      <c r="G189" s="18">
        <v>371878.72</v>
      </c>
      <c r="H189" s="18">
        <v>7409.69</v>
      </c>
      <c r="I189" s="18">
        <v>39278.36</v>
      </c>
      <c r="J189" s="18">
        <v>2313.15</v>
      </c>
      <c r="K189" s="18"/>
      <c r="L189" s="19">
        <f>SUM(F189:K189)</f>
        <v>1368824.13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241997.66</v>
      </c>
      <c r="G190" s="18">
        <v>65285.88</v>
      </c>
      <c r="H190" s="18">
        <v>218868.97</v>
      </c>
      <c r="I190" s="18">
        <v>347.25</v>
      </c>
      <c r="J190" s="18">
        <v>297.33</v>
      </c>
      <c r="K190" s="18"/>
      <c r="L190" s="19">
        <f>SUM(F190:K190)</f>
        <v>526797.09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9799.99+1820</f>
        <v>11619.99</v>
      </c>
      <c r="G192" s="18">
        <f>1110.16+245.55</f>
        <v>1355.71</v>
      </c>
      <c r="H192" s="18">
        <v>8237.3799999999992</v>
      </c>
      <c r="I192" s="18">
        <v>2068.52</v>
      </c>
      <c r="J192" s="18">
        <v>603.5</v>
      </c>
      <c r="K192" s="18">
        <v>8498</v>
      </c>
      <c r="L192" s="19">
        <f>SUM(F192:K192)</f>
        <v>32383.100000000002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64016.94+42916.36</f>
        <v>106933.3</v>
      </c>
      <c r="G194" s="18">
        <f>24039.92+3420.45</f>
        <v>27460.37</v>
      </c>
      <c r="H194" s="18">
        <f>200+3946+18277.27+40576.84+1350+16511.01</f>
        <v>80861.119999999995</v>
      </c>
      <c r="I194" s="18">
        <f>149.5+900.36+180.49+170.5</f>
        <v>1400.8500000000001</v>
      </c>
      <c r="J194" s="18">
        <v>731.28</v>
      </c>
      <c r="K194" s="18">
        <v>265</v>
      </c>
      <c r="L194" s="19">
        <f t="shared" ref="L194:L200" si="0">SUM(F194:K194)</f>
        <v>217651.92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2895+33451.06</f>
        <v>36346.06</v>
      </c>
      <c r="G195" s="18">
        <f>509+3717.75+2665.74</f>
        <v>6892.49</v>
      </c>
      <c r="H195" s="18">
        <f>1210.47+7475</f>
        <v>8685.4699999999993</v>
      </c>
      <c r="I195" s="18">
        <f>200+5586.26</f>
        <v>5786.26</v>
      </c>
      <c r="J195" s="18"/>
      <c r="K195" s="18"/>
      <c r="L195" s="19">
        <f t="shared" si="0"/>
        <v>57710.28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6345.75+2400</f>
        <v>8745.75</v>
      </c>
      <c r="G196" s="18">
        <f>506.1+191.28</f>
        <v>697.38</v>
      </c>
      <c r="H196" s="18">
        <f>427.3+400+150+7875+3481+400+169619</f>
        <v>182352.3</v>
      </c>
      <c r="I196" s="18">
        <v>1246.3</v>
      </c>
      <c r="J196" s="18"/>
      <c r="K196" s="18">
        <v>2561.6</v>
      </c>
      <c r="L196" s="19">
        <f t="shared" si="0"/>
        <v>195603.33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123278.99</v>
      </c>
      <c r="G197" s="18">
        <v>44613.27</v>
      </c>
      <c r="H197" s="18">
        <v>4717.55</v>
      </c>
      <c r="I197" s="18">
        <f>3246.98+761.69</f>
        <v>4008.67</v>
      </c>
      <c r="J197" s="18"/>
      <c r="K197" s="18">
        <v>470</v>
      </c>
      <c r="L197" s="19">
        <f t="shared" si="0"/>
        <v>177088.48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63471.13</v>
      </c>
      <c r="G199" s="18">
        <v>40786.35</v>
      </c>
      <c r="H199" s="18">
        <v>35856.65</v>
      </c>
      <c r="I199" s="18">
        <v>86977.14</v>
      </c>
      <c r="J199" s="18">
        <v>617.79</v>
      </c>
      <c r="K199" s="18"/>
      <c r="L199" s="19">
        <f t="shared" si="0"/>
        <v>227709.06000000003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89998.5+62412.5+5428.58+3306.62</f>
        <v>161146.19999999998</v>
      </c>
      <c r="I200" s="18"/>
      <c r="J200" s="18"/>
      <c r="K200" s="18"/>
      <c r="L200" s="19">
        <f t="shared" si="0"/>
        <v>161146.19999999998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79.400000000000006</v>
      </c>
      <c r="H201" s="18">
        <f>764.5+8642.62</f>
        <v>9407.1200000000008</v>
      </c>
      <c r="I201" s="18">
        <v>10356.73</v>
      </c>
      <c r="J201" s="18">
        <v>85</v>
      </c>
      <c r="K201" s="18"/>
      <c r="L201" s="19">
        <f>SUM(F201:K201)</f>
        <v>19928.25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1540337.0899999999</v>
      </c>
      <c r="G203" s="41">
        <f t="shared" si="1"/>
        <v>559049.57000000007</v>
      </c>
      <c r="H203" s="41">
        <f t="shared" si="1"/>
        <v>717542.45</v>
      </c>
      <c r="I203" s="41">
        <f t="shared" si="1"/>
        <v>151470.08000000002</v>
      </c>
      <c r="J203" s="41">
        <f t="shared" si="1"/>
        <v>4648.05</v>
      </c>
      <c r="K203" s="41">
        <f t="shared" si="1"/>
        <v>11794.6</v>
      </c>
      <c r="L203" s="41">
        <f t="shared" si="1"/>
        <v>2984841.84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596689.75</v>
      </c>
      <c r="I225" s="18"/>
      <c r="J225" s="18"/>
      <c r="K225" s="18"/>
      <c r="L225" s="19">
        <f>SUM(F225:K225)</f>
        <v>596689.75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745440.92</v>
      </c>
      <c r="I226" s="18"/>
      <c r="J226" s="18"/>
      <c r="K226" s="18"/>
      <c r="L226" s="19">
        <f>SUM(F226:K226)</f>
        <v>745440.92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28198+8930.4</f>
        <v>37128.400000000001</v>
      </c>
      <c r="I236" s="18"/>
      <c r="J236" s="18"/>
      <c r="K236" s="18"/>
      <c r="L236" s="19">
        <f t="shared" si="4"/>
        <v>37128.400000000001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1379259.0699999998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1379259.0699999998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>
        <v>3600</v>
      </c>
      <c r="L245" s="19">
        <f t="shared" si="6"/>
        <v>3600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3600</v>
      </c>
      <c r="L248" s="41">
        <f>SUM(F248:K248)</f>
        <v>3600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1540337.0899999999</v>
      </c>
      <c r="G249" s="41">
        <f t="shared" si="8"/>
        <v>559049.57000000007</v>
      </c>
      <c r="H249" s="41">
        <f t="shared" si="8"/>
        <v>2096801.5199999998</v>
      </c>
      <c r="I249" s="41">
        <f t="shared" si="8"/>
        <v>151470.08000000002</v>
      </c>
      <c r="J249" s="41">
        <f t="shared" si="8"/>
        <v>4648.05</v>
      </c>
      <c r="K249" s="41">
        <f t="shared" si="8"/>
        <v>15394.6</v>
      </c>
      <c r="L249" s="41">
        <f t="shared" si="8"/>
        <v>4367700.91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739653.09</v>
      </c>
      <c r="L252" s="19">
        <f>SUM(F252:K252)</f>
        <v>739653.09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76821.91</v>
      </c>
      <c r="L253" s="19">
        <f>SUM(F253:K253)</f>
        <v>76821.91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20384.79</v>
      </c>
      <c r="L255" s="19">
        <f>SUM(F255:K255)</f>
        <v>20384.79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836859.79</v>
      </c>
      <c r="L262" s="41">
        <f t="shared" si="9"/>
        <v>836859.79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1540337.0899999999</v>
      </c>
      <c r="G263" s="42">
        <f t="shared" si="11"/>
        <v>559049.57000000007</v>
      </c>
      <c r="H263" s="42">
        <f t="shared" si="11"/>
        <v>2096801.5199999998</v>
      </c>
      <c r="I263" s="42">
        <f t="shared" si="11"/>
        <v>151470.08000000002</v>
      </c>
      <c r="J263" s="42">
        <f t="shared" si="11"/>
        <v>4648.05</v>
      </c>
      <c r="K263" s="42">
        <f t="shared" si="11"/>
        <v>852254.39</v>
      </c>
      <c r="L263" s="42">
        <f t="shared" si="11"/>
        <v>5204560.7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2600+25210.52</f>
        <v>27810.52</v>
      </c>
      <c r="G268" s="18">
        <f>518+56.7+71.08+1928.57+197.43+1743.47+210.8-0.03+79.54+9.27</f>
        <v>4814.8300000000008</v>
      </c>
      <c r="H268" s="18"/>
      <c r="I268" s="18">
        <f>996.06+229.06+179.52+886.61+2395.14+801.5+1000+949.5</f>
        <v>7437.3899999999994</v>
      </c>
      <c r="J268" s="18">
        <f>9905.5+9607.86+917.76+1120.92</f>
        <v>21552.04</v>
      </c>
      <c r="K268" s="18"/>
      <c r="L268" s="19">
        <f>SUM(F268:K268)</f>
        <v>61614.780000000006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1560+6850.85</f>
        <v>8410.85</v>
      </c>
      <c r="G269" s="18">
        <f>524.09+119.34+21.38+5</f>
        <v>669.81000000000006</v>
      </c>
      <c r="H269" s="18"/>
      <c r="I269" s="18"/>
      <c r="J269" s="18"/>
      <c r="K269" s="18"/>
      <c r="L269" s="19">
        <f>SUM(F269:K269)</f>
        <v>9080.66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3775+1750</f>
        <v>5525</v>
      </c>
      <c r="G271" s="18">
        <f>287.92+132.63+280.3+140.36+12.08+5.6</f>
        <v>858.8900000000001</v>
      </c>
      <c r="H271" s="18"/>
      <c r="I271" s="18"/>
      <c r="J271" s="18"/>
      <c r="K271" s="18"/>
      <c r="L271" s="19">
        <f>SUM(F271:K271)</f>
        <v>6383.89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f>30.48+23.6</f>
        <v>54.08</v>
      </c>
      <c r="H274" s="18">
        <f>1065+2105+25000+6600+8750</f>
        <v>43520</v>
      </c>
      <c r="I274" s="18"/>
      <c r="J274" s="18"/>
      <c r="K274" s="18"/>
      <c r="L274" s="19">
        <f t="shared" si="12"/>
        <v>43574.080000000002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2279</v>
      </c>
      <c r="I275" s="18"/>
      <c r="J275" s="18"/>
      <c r="K275" s="18"/>
      <c r="L275" s="19">
        <f t="shared" si="12"/>
        <v>2279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4131.72</v>
      </c>
      <c r="L277" s="19">
        <f t="shared" si="12"/>
        <v>4131.72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v>300</v>
      </c>
      <c r="J280" s="18"/>
      <c r="K280" s="18"/>
      <c r="L280" s="19">
        <f>SUM(F280:K280)</f>
        <v>300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41746.370000000003</v>
      </c>
      <c r="G282" s="42">
        <f t="shared" si="13"/>
        <v>6397.6100000000015</v>
      </c>
      <c r="H282" s="42">
        <f t="shared" si="13"/>
        <v>45799</v>
      </c>
      <c r="I282" s="42">
        <f t="shared" si="13"/>
        <v>7737.3899999999994</v>
      </c>
      <c r="J282" s="42">
        <f t="shared" si="13"/>
        <v>21552.04</v>
      </c>
      <c r="K282" s="42">
        <f t="shared" si="13"/>
        <v>4131.72</v>
      </c>
      <c r="L282" s="41">
        <f t="shared" si="13"/>
        <v>127364.13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41746.370000000003</v>
      </c>
      <c r="G330" s="41">
        <f t="shared" si="20"/>
        <v>6397.6100000000015</v>
      </c>
      <c r="H330" s="41">
        <f t="shared" si="20"/>
        <v>45799</v>
      </c>
      <c r="I330" s="41">
        <f t="shared" si="20"/>
        <v>7737.3899999999994</v>
      </c>
      <c r="J330" s="41">
        <f t="shared" si="20"/>
        <v>21552.04</v>
      </c>
      <c r="K330" s="41">
        <f t="shared" si="20"/>
        <v>4131.72</v>
      </c>
      <c r="L330" s="41">
        <f t="shared" si="20"/>
        <v>127364.13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41746.370000000003</v>
      </c>
      <c r="G344" s="41">
        <f>G330</f>
        <v>6397.6100000000015</v>
      </c>
      <c r="H344" s="41">
        <f>H330</f>
        <v>45799</v>
      </c>
      <c r="I344" s="41">
        <f>I330</f>
        <v>7737.3899999999994</v>
      </c>
      <c r="J344" s="41">
        <f>J330</f>
        <v>21552.04</v>
      </c>
      <c r="K344" s="47">
        <f>K330+K343</f>
        <v>4131.72</v>
      </c>
      <c r="L344" s="41">
        <f>L330+L343</f>
        <v>127364.13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35570.44</v>
      </c>
      <c r="G350" s="18">
        <f>12904.99+699.96+56.7+77.28+2595.73+1950.04+639.04</f>
        <v>18923.740000000002</v>
      </c>
      <c r="H350" s="18">
        <v>5000</v>
      </c>
      <c r="I350" s="18">
        <f>1871.91+29842.95</f>
        <v>31714.86</v>
      </c>
      <c r="J350" s="18"/>
      <c r="K350" s="18">
        <v>1243.5</v>
      </c>
      <c r="L350" s="13">
        <f>SUM(F350:K350)</f>
        <v>92452.540000000008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35570.44</v>
      </c>
      <c r="G354" s="47">
        <f t="shared" si="22"/>
        <v>18923.740000000002</v>
      </c>
      <c r="H354" s="47">
        <f t="shared" si="22"/>
        <v>5000</v>
      </c>
      <c r="I354" s="47">
        <f t="shared" si="22"/>
        <v>31714.86</v>
      </c>
      <c r="J354" s="47">
        <f t="shared" si="22"/>
        <v>0</v>
      </c>
      <c r="K354" s="47">
        <f t="shared" si="22"/>
        <v>1243.5</v>
      </c>
      <c r="L354" s="47">
        <f t="shared" si="22"/>
        <v>92452.540000000008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29842.95</v>
      </c>
      <c r="G359" s="18"/>
      <c r="H359" s="18"/>
      <c r="I359" s="56">
        <f>SUM(F359:H359)</f>
        <v>29842.95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1871.91</v>
      </c>
      <c r="G360" s="63"/>
      <c r="H360" s="63"/>
      <c r="I360" s="56">
        <f>SUM(F360:H360)</f>
        <v>1871.91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31714.86</v>
      </c>
      <c r="G361" s="47">
        <f>SUM(G359:G360)</f>
        <v>0</v>
      </c>
      <c r="H361" s="47">
        <f>SUM(H359:H360)</f>
        <v>0</v>
      </c>
      <c r="I361" s="47">
        <f>SUM(I359:I360)</f>
        <v>31714.86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8012</v>
      </c>
      <c r="I368" s="18"/>
      <c r="J368" s="18"/>
      <c r="K368" s="18"/>
      <c r="L368" s="13">
        <f t="shared" si="23"/>
        <v>8012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-30872.72+205.16+1803</f>
        <v>-28864.560000000001</v>
      </c>
      <c r="I370" s="18">
        <v>3710.51</v>
      </c>
      <c r="J370" s="18">
        <v>484278.74</v>
      </c>
      <c r="K370" s="18"/>
      <c r="L370" s="13">
        <f t="shared" si="23"/>
        <v>459124.69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>
        <v>22568.85</v>
      </c>
      <c r="K372" s="18"/>
      <c r="L372" s="13">
        <f t="shared" si="23"/>
        <v>22568.85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-20852.560000000001</v>
      </c>
      <c r="I374" s="41">
        <f t="shared" si="24"/>
        <v>3710.51</v>
      </c>
      <c r="J374" s="47">
        <f t="shared" si="24"/>
        <v>506847.58999999997</v>
      </c>
      <c r="K374" s="47">
        <f t="shared" si="24"/>
        <v>0</v>
      </c>
      <c r="L374" s="47">
        <f t="shared" si="24"/>
        <v>489705.54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115.27</v>
      </c>
      <c r="I381" s="18"/>
      <c r="J381" s="24" t="s">
        <v>312</v>
      </c>
      <c r="K381" s="24" t="s">
        <v>312</v>
      </c>
      <c r="L381" s="56">
        <f t="shared" si="25"/>
        <v>115.27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115.27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115.27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60.14</v>
      </c>
      <c r="I390" s="18"/>
      <c r="J390" s="24" t="s">
        <v>312</v>
      </c>
      <c r="K390" s="24" t="s">
        <v>312</v>
      </c>
      <c r="L390" s="56">
        <f t="shared" si="26"/>
        <v>60.14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60.14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60.14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175.41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175.41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235908.72</v>
      </c>
      <c r="G432" s="18">
        <v>123150.79</v>
      </c>
      <c r="H432" s="18"/>
      <c r="I432" s="56">
        <f t="shared" si="33"/>
        <v>359059.51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235908.72</v>
      </c>
      <c r="G438" s="13">
        <f>SUM(G431:G437)</f>
        <v>123150.79</v>
      </c>
      <c r="H438" s="13">
        <f>SUM(H431:H437)</f>
        <v>0</v>
      </c>
      <c r="I438" s="13">
        <f>SUM(I431:I437)</f>
        <v>359059.51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235908.72</v>
      </c>
      <c r="G449" s="18">
        <v>123150.79</v>
      </c>
      <c r="H449" s="18"/>
      <c r="I449" s="56">
        <f>SUM(F449:H449)</f>
        <v>359059.51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235908.72</v>
      </c>
      <c r="G450" s="83">
        <f>SUM(G446:G449)</f>
        <v>123150.79</v>
      </c>
      <c r="H450" s="83">
        <f>SUM(H446:H449)</f>
        <v>0</v>
      </c>
      <c r="I450" s="83">
        <f>SUM(I446:I449)</f>
        <v>359059.51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235908.72</v>
      </c>
      <c r="G451" s="42">
        <f>G444+G450</f>
        <v>123150.79</v>
      </c>
      <c r="H451" s="42">
        <f>H444+H450</f>
        <v>0</v>
      </c>
      <c r="I451" s="42">
        <f>I444+I450</f>
        <v>359059.51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218842.4</v>
      </c>
      <c r="G455" s="18">
        <v>0</v>
      </c>
      <c r="H455" s="18">
        <v>0</v>
      </c>
      <c r="I455" s="18">
        <v>828758.32</v>
      </c>
      <c r="J455" s="18">
        <v>358884.1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5315540.83</v>
      </c>
      <c r="G458" s="18">
        <v>91192.26</v>
      </c>
      <c r="H458" s="18">
        <v>127364.13</v>
      </c>
      <c r="I458" s="18">
        <v>0</v>
      </c>
      <c r="J458" s="18">
        <f>60.14+115.27</f>
        <v>175.41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1260.28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5315540.83</v>
      </c>
      <c r="G460" s="53">
        <f>SUM(G458:G459)</f>
        <v>92452.54</v>
      </c>
      <c r="H460" s="53">
        <f>SUM(H458:H459)</f>
        <v>127364.13</v>
      </c>
      <c r="I460" s="53">
        <f>SUM(I458:I459)</f>
        <v>0</v>
      </c>
      <c r="J460" s="53">
        <f>SUM(J458:J459)</f>
        <v>175.41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5204560.7</v>
      </c>
      <c r="G462" s="18">
        <v>92452.54</v>
      </c>
      <c r="H462" s="18">
        <v>127364.13</v>
      </c>
      <c r="I462" s="18">
        <v>489705.54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5204560.7</v>
      </c>
      <c r="G464" s="53">
        <f>SUM(G462:G463)</f>
        <v>92452.54</v>
      </c>
      <c r="H464" s="53">
        <f>SUM(H462:H463)</f>
        <v>127364.13</v>
      </c>
      <c r="I464" s="53">
        <f>SUM(I462:I463)</f>
        <v>489705.54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329822.53000000026</v>
      </c>
      <c r="G466" s="53">
        <f>(G455+G460)- G464</f>
        <v>0</v>
      </c>
      <c r="H466" s="53">
        <f>(H455+H460)- H464</f>
        <v>0</v>
      </c>
      <c r="I466" s="53">
        <f>(I455+I460)- I464</f>
        <v>339052.77999999997</v>
      </c>
      <c r="J466" s="53">
        <f>(J455+J460)- J464</f>
        <v>359059.50999999995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10960000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4.33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9698616.6999999993</v>
      </c>
      <c r="G485" s="18"/>
      <c r="H485" s="18"/>
      <c r="I485" s="18"/>
      <c r="J485" s="18"/>
      <c r="K485" s="53">
        <f>SUM(F485:J485)</f>
        <v>9698616.6999999993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530267.28+209385.81</f>
        <v>739653.09000000008</v>
      </c>
      <c r="G487" s="18"/>
      <c r="H487" s="18"/>
      <c r="I487" s="18"/>
      <c r="J487" s="18"/>
      <c r="K487" s="53">
        <f t="shared" si="34"/>
        <v>739653.09000000008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8958963.6099999994</v>
      </c>
      <c r="G488" s="205"/>
      <c r="H488" s="205"/>
      <c r="I488" s="205"/>
      <c r="J488" s="205"/>
      <c r="K488" s="206">
        <f t="shared" si="34"/>
        <v>8958963.6099999994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5773561.3899999997</v>
      </c>
      <c r="G489" s="18"/>
      <c r="H489" s="18"/>
      <c r="I489" s="18"/>
      <c r="J489" s="18"/>
      <c r="K489" s="53">
        <f t="shared" si="34"/>
        <v>5773561.3899999997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14732525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14732525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f>517913.11+192259.98</f>
        <v>710173.09</v>
      </c>
      <c r="G491" s="205"/>
      <c r="H491" s="205"/>
      <c r="I491" s="205"/>
      <c r="J491" s="205"/>
      <c r="K491" s="206">
        <f t="shared" si="34"/>
        <v>710173.09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76924.39+33577.52</f>
        <v>110501.91</v>
      </c>
      <c r="G492" s="18"/>
      <c r="H492" s="18"/>
      <c r="I492" s="18"/>
      <c r="J492" s="18"/>
      <c r="K492" s="53">
        <f t="shared" si="34"/>
        <v>110501.91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820675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820675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113813.18+18274.05+109910.43+1560+6850.85</f>
        <v>250408.50999999998</v>
      </c>
      <c r="G511" s="18">
        <f>32577.99+1736.76+218.7+915.52+18260.7+10805.42+770.79+524.09+119.34+21.38+5</f>
        <v>65955.69</v>
      </c>
      <c r="H511" s="18">
        <f>134936.28+35258.29+48674.4</f>
        <v>218868.97</v>
      </c>
      <c r="I511" s="18">
        <f>268.15+79.1</f>
        <v>347.25</v>
      </c>
      <c r="J511" s="18">
        <v>297.33</v>
      </c>
      <c r="K511" s="18"/>
      <c r="L511" s="88">
        <f>SUM(F511:K511)</f>
        <v>535877.74999999988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745440.92</v>
      </c>
      <c r="I513" s="18"/>
      <c r="J513" s="18"/>
      <c r="K513" s="18"/>
      <c r="L513" s="88">
        <f>SUM(F513:K513)</f>
        <v>745440.92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250408.50999999998</v>
      </c>
      <c r="G514" s="108">
        <f t="shared" ref="G514:L514" si="35">SUM(G511:G513)</f>
        <v>65955.69</v>
      </c>
      <c r="H514" s="108">
        <f t="shared" si="35"/>
        <v>964309.89</v>
      </c>
      <c r="I514" s="108">
        <f t="shared" si="35"/>
        <v>347.25</v>
      </c>
      <c r="J514" s="108">
        <f t="shared" si="35"/>
        <v>297.33</v>
      </c>
      <c r="K514" s="108">
        <f t="shared" si="35"/>
        <v>0</v>
      </c>
      <c r="L514" s="89">
        <f t="shared" si="35"/>
        <v>1281318.67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18277.27+40576.84+1350+16511.01+31600+8750+7475</f>
        <v>124540.12</v>
      </c>
      <c r="I516" s="18">
        <f>180.49+170.5</f>
        <v>350.99</v>
      </c>
      <c r="J516" s="18">
        <v>731.28</v>
      </c>
      <c r="K516" s="18"/>
      <c r="L516" s="88">
        <f>SUM(F516:K516)</f>
        <v>125622.39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124540.12</v>
      </c>
      <c r="I519" s="89">
        <f t="shared" si="36"/>
        <v>350.99</v>
      </c>
      <c r="J519" s="89">
        <f t="shared" si="36"/>
        <v>731.28</v>
      </c>
      <c r="K519" s="89">
        <f t="shared" si="36"/>
        <v>0</v>
      </c>
      <c r="L519" s="89">
        <f t="shared" si="36"/>
        <v>125622.39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16983</v>
      </c>
      <c r="I521" s="18">
        <v>300</v>
      </c>
      <c r="J521" s="18"/>
      <c r="K521" s="18">
        <v>2188.73</v>
      </c>
      <c r="L521" s="88">
        <f>SUM(F521:K521)</f>
        <v>19471.73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16983</v>
      </c>
      <c r="I524" s="89">
        <f t="shared" si="37"/>
        <v>300</v>
      </c>
      <c r="J524" s="89">
        <f t="shared" si="37"/>
        <v>0</v>
      </c>
      <c r="K524" s="89">
        <f t="shared" si="37"/>
        <v>2188.73</v>
      </c>
      <c r="L524" s="89">
        <f t="shared" si="37"/>
        <v>19471.73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62412.5</v>
      </c>
      <c r="I531" s="18"/>
      <c r="J531" s="18"/>
      <c r="K531" s="18"/>
      <c r="L531" s="88">
        <f>SUM(F531:K531)</f>
        <v>62412.5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8930.4</v>
      </c>
      <c r="I533" s="18"/>
      <c r="J533" s="18"/>
      <c r="K533" s="18"/>
      <c r="L533" s="88">
        <f>SUM(F533:K533)</f>
        <v>8930.4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71342.899999999994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71342.899999999994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250408.50999999998</v>
      </c>
      <c r="G535" s="89">
        <f t="shared" ref="G535:L535" si="40">G514+G519+G524+G529+G534</f>
        <v>65955.69</v>
      </c>
      <c r="H535" s="89">
        <f t="shared" si="40"/>
        <v>1177175.9099999999</v>
      </c>
      <c r="I535" s="89">
        <f t="shared" si="40"/>
        <v>998.24</v>
      </c>
      <c r="J535" s="89">
        <f t="shared" si="40"/>
        <v>1028.6099999999999</v>
      </c>
      <c r="K535" s="89">
        <f t="shared" si="40"/>
        <v>2188.73</v>
      </c>
      <c r="L535" s="89">
        <f t="shared" si="40"/>
        <v>1497755.6899999997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535877.74999999988</v>
      </c>
      <c r="G539" s="87">
        <f>L516</f>
        <v>125622.39</v>
      </c>
      <c r="H539" s="87">
        <f>L521</f>
        <v>19471.73</v>
      </c>
      <c r="I539" s="87">
        <f>L526</f>
        <v>0</v>
      </c>
      <c r="J539" s="87">
        <f>L531</f>
        <v>62412.5</v>
      </c>
      <c r="K539" s="87">
        <f>SUM(F539:J539)</f>
        <v>743384.36999999988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745440.92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8930.4</v>
      </c>
      <c r="K541" s="87">
        <f>SUM(F541:J541)</f>
        <v>754371.32000000007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1281318.67</v>
      </c>
      <c r="G542" s="89">
        <f t="shared" si="41"/>
        <v>125622.39</v>
      </c>
      <c r="H542" s="89">
        <f t="shared" si="41"/>
        <v>19471.73</v>
      </c>
      <c r="I542" s="89">
        <f t="shared" si="41"/>
        <v>0</v>
      </c>
      <c r="J542" s="89">
        <f t="shared" si="41"/>
        <v>71342.899999999994</v>
      </c>
      <c r="K542" s="89">
        <f t="shared" si="41"/>
        <v>1497755.69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596689.75</v>
      </c>
      <c r="I565" s="87">
        <f>SUM(F565:H565)</f>
        <v>596689.75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134936.28+48674.4</f>
        <v>183610.68</v>
      </c>
      <c r="G569" s="18"/>
      <c r="H569" s="18">
        <v>269512.32000000001</v>
      </c>
      <c r="I569" s="87">
        <f t="shared" si="46"/>
        <v>453123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35258.29</v>
      </c>
      <c r="G572" s="18"/>
      <c r="H572" s="18">
        <v>475928.6</v>
      </c>
      <c r="I572" s="87">
        <f t="shared" si="46"/>
        <v>511186.88999999996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89998.5</v>
      </c>
      <c r="I581" s="18"/>
      <c r="J581" s="18">
        <v>28198</v>
      </c>
      <c r="K581" s="104">
        <f t="shared" ref="K581:K587" si="47">SUM(H581:J581)</f>
        <v>118196.5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62412.5</v>
      </c>
      <c r="I582" s="18"/>
      <c r="J582" s="18">
        <v>8930.4</v>
      </c>
      <c r="K582" s="104">
        <f t="shared" si="47"/>
        <v>71342.899999999994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5428.58</v>
      </c>
      <c r="I584" s="18"/>
      <c r="J584" s="18"/>
      <c r="K584" s="104">
        <f t="shared" si="47"/>
        <v>5428.58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3306.62</v>
      </c>
      <c r="I585" s="18"/>
      <c r="J585" s="18"/>
      <c r="K585" s="104">
        <f t="shared" si="47"/>
        <v>3306.62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161146.19999999998</v>
      </c>
      <c r="I588" s="108">
        <f>SUM(I581:I587)</f>
        <v>0</v>
      </c>
      <c r="J588" s="108">
        <f>SUM(J581:J587)</f>
        <v>37128.400000000001</v>
      </c>
      <c r="K588" s="108">
        <f>SUM(K581:K587)</f>
        <v>198274.59999999998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26200.09</v>
      </c>
      <c r="I594" s="18"/>
      <c r="J594" s="18"/>
      <c r="K594" s="104">
        <f>SUM(H594:J594)</f>
        <v>26200.09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26200.09</v>
      </c>
      <c r="I595" s="108">
        <f>SUM(I592:I594)</f>
        <v>0</v>
      </c>
      <c r="J595" s="108">
        <f>SUM(J592:J594)</f>
        <v>0</v>
      </c>
      <c r="K595" s="108">
        <f>SUM(K592:K594)</f>
        <v>26200.09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1820+3775+1750</f>
        <v>7345</v>
      </c>
      <c r="G601" s="18">
        <f>139.23+101.51+4.81+287.92+132.63+280.3+140.36+12.08+5.6</f>
        <v>1104.44</v>
      </c>
      <c r="H601" s="18"/>
      <c r="I601" s="18"/>
      <c r="J601" s="18"/>
      <c r="K601" s="18"/>
      <c r="L601" s="88">
        <f>SUM(F601:K601)</f>
        <v>8449.44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7345</v>
      </c>
      <c r="G604" s="108">
        <f t="shared" si="48"/>
        <v>1104.44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8449.44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358560.93000000005</v>
      </c>
      <c r="H607" s="109">
        <f>SUM(F44)</f>
        <v>358560.93000000005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2155.1999999999998</v>
      </c>
      <c r="H608" s="109">
        <f>SUM(G44)</f>
        <v>2155.1999999999998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24955.49</v>
      </c>
      <c r="H609" s="109">
        <f>SUM(H44)</f>
        <v>24955.489999999998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341065.78</v>
      </c>
      <c r="H610" s="109">
        <f>SUM(I44)</f>
        <v>341065.78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359059.51</v>
      </c>
      <c r="H611" s="109">
        <f>SUM(J44)</f>
        <v>359059.51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329822.53000000003</v>
      </c>
      <c r="H612" s="109">
        <f>F466</f>
        <v>329822.53000000026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339052.78</v>
      </c>
      <c r="H615" s="109">
        <f>I466</f>
        <v>339052.77999999997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359059.51</v>
      </c>
      <c r="H616" s="109">
        <f>J466</f>
        <v>359059.50999999995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5315540.83</v>
      </c>
      <c r="H617" s="104">
        <f>SUM(F458)</f>
        <v>5315540.83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91192.260000000009</v>
      </c>
      <c r="H618" s="104">
        <f>SUM(G458)</f>
        <v>91192.26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127364.13</v>
      </c>
      <c r="H619" s="104">
        <f>SUM(H458)</f>
        <v>127364.13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175.41</v>
      </c>
      <c r="H621" s="104">
        <f>SUM(J458)</f>
        <v>175.41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5204560.7</v>
      </c>
      <c r="H622" s="104">
        <f>SUM(F462)</f>
        <v>5204560.7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127364.13</v>
      </c>
      <c r="H623" s="104">
        <f>SUM(H462)</f>
        <v>127364.13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31714.86</v>
      </c>
      <c r="H624" s="104">
        <f>I361</f>
        <v>31714.86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92452.540000000008</v>
      </c>
      <c r="H625" s="104">
        <f>SUM(G462)</f>
        <v>92452.54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489705.54</v>
      </c>
      <c r="H626" s="104">
        <f>SUM(I462)</f>
        <v>489705.54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175.41</v>
      </c>
      <c r="H627" s="164">
        <f>SUM(J458)</f>
        <v>175.41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235908.72</v>
      </c>
      <c r="H629" s="104">
        <f>SUM(F451)</f>
        <v>235908.72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123150.79</v>
      </c>
      <c r="H630" s="104">
        <f>SUM(G451)</f>
        <v>123150.79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359059.51</v>
      </c>
      <c r="H632" s="104">
        <f>SUM(I451)</f>
        <v>359059.51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175.41</v>
      </c>
      <c r="H634" s="104">
        <f>H400</f>
        <v>175.41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175.41</v>
      </c>
      <c r="H636" s="104">
        <f>L400</f>
        <v>175.41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198274.59999999998</v>
      </c>
      <c r="H637" s="104">
        <f>L200+L218+L236</f>
        <v>198274.59999999998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26200.09</v>
      </c>
      <c r="H638" s="104">
        <f>(J249+J330)-(J247+J328)</f>
        <v>26200.09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161146.19999999998</v>
      </c>
      <c r="H639" s="104">
        <f>H588</f>
        <v>161146.19999999998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37128.400000000001</v>
      </c>
      <c r="H641" s="104">
        <f>J588</f>
        <v>37128.400000000001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20384.79</v>
      </c>
      <c r="H642" s="104">
        <f>K255+K337</f>
        <v>20384.79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3204658.51</v>
      </c>
      <c r="G650" s="19">
        <f>(L221+L301+L351)</f>
        <v>0</v>
      </c>
      <c r="H650" s="19">
        <f>(L239+L320+L352)</f>
        <v>1379259.0699999998</v>
      </c>
      <c r="I650" s="19">
        <f>SUM(F650:H650)</f>
        <v>4583917.58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30651.79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30651.79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161146.19999999998</v>
      </c>
      <c r="G652" s="19">
        <f>(L218+L298)-(J218+J298)</f>
        <v>0</v>
      </c>
      <c r="H652" s="19">
        <f>(L236+L317)-(J236+J317)</f>
        <v>37128.400000000001</v>
      </c>
      <c r="I652" s="19">
        <f>SUM(F652:H652)</f>
        <v>198274.59999999998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253518.5</v>
      </c>
      <c r="G653" s="200">
        <f>SUM(G565:G577)+SUM(I592:I594)+L602</f>
        <v>0</v>
      </c>
      <c r="H653" s="200">
        <f>SUM(H565:H577)+SUM(J592:J594)+L603</f>
        <v>1342130.67</v>
      </c>
      <c r="I653" s="19">
        <f>SUM(F653:H653)</f>
        <v>1595649.17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2759342.0199999996</v>
      </c>
      <c r="G654" s="19">
        <f>G650-SUM(G651:G653)</f>
        <v>0</v>
      </c>
      <c r="H654" s="19">
        <f>H650-SUM(H651:H653)</f>
        <v>0</v>
      </c>
      <c r="I654" s="19">
        <f>I650-SUM(I651:I653)</f>
        <v>2759342.0200000005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184.8</v>
      </c>
      <c r="G655" s="249"/>
      <c r="H655" s="249"/>
      <c r="I655" s="19">
        <f>SUM(F655:H655)</f>
        <v>184.8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14931.5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14931.5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14931.5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14931.5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9CAA-CBEA-4D8D-B5C6-07B600C37FD6}">
  <sheetPr>
    <tabColor indexed="20"/>
  </sheetPr>
  <dimension ref="A1:C52"/>
  <sheetViews>
    <sheetView topLeftCell="A7" zoomScale="110" zoomScaleNormal="110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Marlborough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975754.73</v>
      </c>
      <c r="C9" s="230">
        <f>'DOE25'!G189+'DOE25'!G207+'DOE25'!G225+'DOE25'!G268+'DOE25'!G287+'DOE25'!G306</f>
        <v>376693.55</v>
      </c>
    </row>
    <row r="10" spans="1:3" x14ac:dyDescent="0.2">
      <c r="A10" t="s">
        <v>810</v>
      </c>
      <c r="B10" s="241">
        <v>950544.21</v>
      </c>
      <c r="C10" s="241">
        <v>366960.94</v>
      </c>
    </row>
    <row r="11" spans="1:3" x14ac:dyDescent="0.2">
      <c r="A11" t="s">
        <v>811</v>
      </c>
      <c r="B11" s="241">
        <v>25210.52</v>
      </c>
      <c r="C11" s="241">
        <v>9732.61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975754.73</v>
      </c>
      <c r="C13" s="232">
        <f>SUM(C10:C12)</f>
        <v>376693.55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250408.51</v>
      </c>
      <c r="C18" s="230">
        <f>'DOE25'!G190+'DOE25'!G208+'DOE25'!G226+'DOE25'!G269+'DOE25'!G288+'DOE25'!G307</f>
        <v>65955.69</v>
      </c>
    </row>
    <row r="19" spans="1:3" x14ac:dyDescent="0.2">
      <c r="A19" t="s">
        <v>810</v>
      </c>
      <c r="B19" s="241">
        <v>115373.18</v>
      </c>
      <c r="C19" s="241">
        <v>30388.41</v>
      </c>
    </row>
    <row r="20" spans="1:3" x14ac:dyDescent="0.2">
      <c r="A20" t="s">
        <v>811</v>
      </c>
      <c r="B20" s="241">
        <v>135035.32999999999</v>
      </c>
      <c r="C20" s="241">
        <v>35567.279999999999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250408.50999999998</v>
      </c>
      <c r="C22" s="232">
        <f>SUM(C19:C21)</f>
        <v>65955.69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17144.989999999998</v>
      </c>
      <c r="C36" s="236">
        <f>'DOE25'!G192+'DOE25'!G210+'DOE25'!G228+'DOE25'!G271+'DOE25'!G290+'DOE25'!G309</f>
        <v>2214.6000000000004</v>
      </c>
    </row>
    <row r="37" spans="1:3" x14ac:dyDescent="0.2">
      <c r="A37" t="s">
        <v>810</v>
      </c>
      <c r="B37" s="241">
        <v>10419.99</v>
      </c>
      <c r="C37" s="241">
        <v>1345.94</v>
      </c>
    </row>
    <row r="38" spans="1:3" x14ac:dyDescent="0.2">
      <c r="A38" t="s">
        <v>811</v>
      </c>
      <c r="B38" s="241">
        <v>6725</v>
      </c>
      <c r="C38" s="241">
        <v>868.66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17144.989999999998</v>
      </c>
      <c r="C40" s="232">
        <f>SUM(C37:C39)</f>
        <v>2214.6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C3AE-17B5-46AC-B879-CE9A9B31E9B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Marlborough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3270134.9899999998</v>
      </c>
      <c r="D5" s="20">
        <f>SUM('DOE25'!L189:L192)+SUM('DOE25'!L207:L210)+SUM('DOE25'!L225:L228)-F5-G5</f>
        <v>3258423.01</v>
      </c>
      <c r="E5" s="244"/>
      <c r="F5" s="256">
        <f>SUM('DOE25'!J189:J192)+SUM('DOE25'!J207:J210)+SUM('DOE25'!J225:J228)</f>
        <v>3213.98</v>
      </c>
      <c r="G5" s="53">
        <f>SUM('DOE25'!K189:K192)+SUM('DOE25'!K207:K210)+SUM('DOE25'!K225:K228)</f>
        <v>8498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217651.92</v>
      </c>
      <c r="D6" s="20">
        <f>'DOE25'!L194+'DOE25'!L212+'DOE25'!L230-F6-G6</f>
        <v>216655.64</v>
      </c>
      <c r="E6" s="244"/>
      <c r="F6" s="256">
        <f>'DOE25'!J194+'DOE25'!J212+'DOE25'!J230</f>
        <v>731.28</v>
      </c>
      <c r="G6" s="53">
        <f>'DOE25'!K194+'DOE25'!K212+'DOE25'!K230</f>
        <v>265</v>
      </c>
      <c r="H6" s="260"/>
    </row>
    <row r="7" spans="1:9" x14ac:dyDescent="0.2">
      <c r="A7" s="32">
        <v>2200</v>
      </c>
      <c r="B7" t="s">
        <v>865</v>
      </c>
      <c r="C7" s="246">
        <f t="shared" si="0"/>
        <v>57710.28</v>
      </c>
      <c r="D7" s="20">
        <f>'DOE25'!L195+'DOE25'!L213+'DOE25'!L231-F7-G7</f>
        <v>57710.28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134857.28</v>
      </c>
      <c r="D8" s="244"/>
      <c r="E8" s="20">
        <f>'DOE25'!L196+'DOE25'!L214+'DOE25'!L232-F8-G8-D9-D11</f>
        <v>132295.67999999999</v>
      </c>
      <c r="F8" s="256">
        <f>'DOE25'!J196+'DOE25'!J214+'DOE25'!J232</f>
        <v>0</v>
      </c>
      <c r="G8" s="53">
        <f>'DOE25'!K196+'DOE25'!K214+'DOE25'!K232</f>
        <v>2561.6</v>
      </c>
      <c r="H8" s="260"/>
    </row>
    <row r="9" spans="1:9" x14ac:dyDescent="0.2">
      <c r="A9" s="32">
        <v>2310</v>
      </c>
      <c r="B9" t="s">
        <v>849</v>
      </c>
      <c r="C9" s="246">
        <f t="shared" si="0"/>
        <v>11087.05</v>
      </c>
      <c r="D9" s="245">
        <v>11087.05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7875</v>
      </c>
      <c r="D10" s="244"/>
      <c r="E10" s="245">
        <v>7875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49659</v>
      </c>
      <c r="D11" s="245">
        <v>49659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177088.48</v>
      </c>
      <c r="D12" s="20">
        <f>'DOE25'!L197+'DOE25'!L215+'DOE25'!L233-F12-G12</f>
        <v>176618.48</v>
      </c>
      <c r="E12" s="244"/>
      <c r="F12" s="256">
        <f>'DOE25'!J197+'DOE25'!J215+'DOE25'!J233</f>
        <v>0</v>
      </c>
      <c r="G12" s="53">
        <f>'DOE25'!K197+'DOE25'!K215+'DOE25'!K233</f>
        <v>470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227709.06000000003</v>
      </c>
      <c r="D14" s="20">
        <f>'DOE25'!L199+'DOE25'!L217+'DOE25'!L235-F14-G14</f>
        <v>227091.27000000002</v>
      </c>
      <c r="E14" s="244"/>
      <c r="F14" s="256">
        <f>'DOE25'!J199+'DOE25'!J217+'DOE25'!J235</f>
        <v>617.79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198274.59999999998</v>
      </c>
      <c r="D15" s="20">
        <f>'DOE25'!L200+'DOE25'!L218+'DOE25'!L236-F15-G15</f>
        <v>198274.59999999998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19928.25</v>
      </c>
      <c r="D16" s="244"/>
      <c r="E16" s="20">
        <f>'DOE25'!L201+'DOE25'!L219+'DOE25'!L237-F16-G16</f>
        <v>19843.25</v>
      </c>
      <c r="F16" s="256">
        <f>'DOE25'!J201+'DOE25'!J219+'DOE25'!J237</f>
        <v>85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3600</v>
      </c>
      <c r="D19" s="20">
        <f>'DOE25'!L245-F19-G19</f>
        <v>0</v>
      </c>
      <c r="E19" s="244"/>
      <c r="F19" s="256">
        <f>'DOE25'!J245</f>
        <v>0</v>
      </c>
      <c r="G19" s="53">
        <f>'DOE25'!K245</f>
        <v>3600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816475</v>
      </c>
      <c r="D25" s="244"/>
      <c r="E25" s="244"/>
      <c r="F25" s="259"/>
      <c r="G25" s="257"/>
      <c r="H25" s="258">
        <f>'DOE25'!L252+'DOE25'!L253+'DOE25'!L333+'DOE25'!L334</f>
        <v>816475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62609.590000000011</v>
      </c>
      <c r="D29" s="20">
        <f>'DOE25'!L350+'DOE25'!L351+'DOE25'!L352-'DOE25'!I359-F29-G29</f>
        <v>61366.090000000011</v>
      </c>
      <c r="E29" s="244"/>
      <c r="F29" s="256">
        <f>'DOE25'!J350+'DOE25'!J351+'DOE25'!J352</f>
        <v>0</v>
      </c>
      <c r="G29" s="53">
        <f>'DOE25'!K350+'DOE25'!K351+'DOE25'!K352</f>
        <v>1243.5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127364.13</v>
      </c>
      <c r="D31" s="20">
        <f>'DOE25'!L282+'DOE25'!L301+'DOE25'!L320+'DOE25'!L325+'DOE25'!L326+'DOE25'!L327-F31-G31</f>
        <v>101680.37</v>
      </c>
      <c r="E31" s="244"/>
      <c r="F31" s="256">
        <f>'DOE25'!J282+'DOE25'!J301+'DOE25'!J320+'DOE25'!J325+'DOE25'!J326+'DOE25'!J327</f>
        <v>21552.04</v>
      </c>
      <c r="G31" s="53">
        <f>'DOE25'!K282+'DOE25'!K301+'DOE25'!K320+'DOE25'!K325+'DOE25'!K326+'DOE25'!K327</f>
        <v>4131.72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4358565.7899999991</v>
      </c>
      <c r="E33" s="247">
        <f>SUM(E5:E31)</f>
        <v>160013.93</v>
      </c>
      <c r="F33" s="247">
        <f>SUM(F5:F31)</f>
        <v>26200.09</v>
      </c>
      <c r="G33" s="247">
        <f>SUM(G5:G31)</f>
        <v>20769.82</v>
      </c>
      <c r="H33" s="247">
        <f>SUM(H5:H31)</f>
        <v>816475</v>
      </c>
    </row>
    <row r="35" spans="2:8" ht="12" thickBot="1" x14ac:dyDescent="0.25">
      <c r="B35" s="254" t="s">
        <v>878</v>
      </c>
      <c r="D35" s="255">
        <f>E33</f>
        <v>160013.93</v>
      </c>
      <c r="E35" s="250"/>
    </row>
    <row r="36" spans="2:8" ht="12" thickTop="1" x14ac:dyDescent="0.2">
      <c r="B36" t="s">
        <v>846</v>
      </c>
      <c r="D36" s="20">
        <f>D33</f>
        <v>4358565.7899999991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1F37-62B3-48A3-A84B-D670593C4A06}">
  <sheetPr transitionEvaluation="1" codeName="Sheet2">
    <tabColor indexed="10"/>
  </sheetPr>
  <dimension ref="A1:I156"/>
  <sheetViews>
    <sheetView zoomScale="75" workbookViewId="0">
      <pane ySplit="2" topLeftCell="A13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Marlborough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283134.2</v>
      </c>
      <c r="D9" s="95">
        <f>'DOE25'!G9</f>
        <v>0</v>
      </c>
      <c r="E9" s="95">
        <f>'DOE25'!H9</f>
        <v>0</v>
      </c>
      <c r="F9" s="95">
        <f>'DOE25'!I9</f>
        <v>341065.78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34446.120000000003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359059.51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22651.679999999997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15929.15</v>
      </c>
      <c r="D13" s="95">
        <f>'DOE25'!G13</f>
        <v>0</v>
      </c>
      <c r="E13" s="95">
        <f>'DOE25'!H13</f>
        <v>24955.49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1690</v>
      </c>
      <c r="D14" s="95">
        <f>'DOE25'!G14</f>
        <v>2155.1999999999998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709.78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358560.93000000005</v>
      </c>
      <c r="D19" s="41">
        <f>SUM(D9:D18)</f>
        <v>2155.1999999999998</v>
      </c>
      <c r="E19" s="41">
        <f>SUM(E9:E18)</f>
        <v>24955.49</v>
      </c>
      <c r="F19" s="41">
        <f>SUM(F9:F18)</f>
        <v>341065.78</v>
      </c>
      <c r="G19" s="41">
        <f>SUM(G9:G18)</f>
        <v>359059.51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644.51</v>
      </c>
      <c r="E22" s="95">
        <f>'DOE25'!H23</f>
        <v>22007.17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3071.04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18837.28</v>
      </c>
      <c r="D24" s="95">
        <f>'DOE25'!G25</f>
        <v>0</v>
      </c>
      <c r="E24" s="95">
        <f>'DOE25'!H25</f>
        <v>2375.56</v>
      </c>
      <c r="F24" s="95">
        <f>'DOE25'!I25</f>
        <v>2013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6830.08</v>
      </c>
      <c r="D28" s="95">
        <f>'DOE25'!G29</f>
        <v>617.63</v>
      </c>
      <c r="E28" s="95">
        <f>'DOE25'!H29</f>
        <v>572.76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893.06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28738.400000000001</v>
      </c>
      <c r="D32" s="41">
        <f>SUM(D22:D31)</f>
        <v>2155.1999999999998</v>
      </c>
      <c r="E32" s="41">
        <f>SUM(E22:E31)</f>
        <v>24955.489999999998</v>
      </c>
      <c r="F32" s="41">
        <f>SUM(F22:F31)</f>
        <v>2013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2900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336152.78</v>
      </c>
      <c r="G40" s="95">
        <f>'DOE25'!J41</f>
        <v>359059.51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329822.53000000003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329822.53000000003</v>
      </c>
      <c r="D42" s="41">
        <f>SUM(D34:D41)</f>
        <v>0</v>
      </c>
      <c r="E42" s="41">
        <f>SUM(E34:E41)</f>
        <v>0</v>
      </c>
      <c r="F42" s="41">
        <f>SUM(F34:F41)</f>
        <v>339052.78</v>
      </c>
      <c r="G42" s="41">
        <f>SUM(G34:G41)</f>
        <v>359059.51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358560.93000000005</v>
      </c>
      <c r="D43" s="41">
        <f>D42+D32</f>
        <v>2155.1999999999998</v>
      </c>
      <c r="E43" s="41">
        <f>E42+E32</f>
        <v>24955.489999999998</v>
      </c>
      <c r="F43" s="41">
        <f>F42+F32</f>
        <v>341065.78</v>
      </c>
      <c r="G43" s="41">
        <f>G42+G32</f>
        <v>359059.51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2955043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2534.44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912.61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175.41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30641.79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61602.47</v>
      </c>
      <c r="D53" s="95">
        <f>SUM('DOE25'!G90:G102)</f>
        <v>10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65049.520000000004</v>
      </c>
      <c r="D54" s="130">
        <f>SUM(D49:D53)</f>
        <v>30651.79</v>
      </c>
      <c r="E54" s="130">
        <f>SUM(E49:E53)</f>
        <v>0</v>
      </c>
      <c r="F54" s="130">
        <f>SUM(F49:F53)</f>
        <v>0</v>
      </c>
      <c r="G54" s="130">
        <f>SUM(G49:G53)</f>
        <v>175.41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3020092.52</v>
      </c>
      <c r="D55" s="22">
        <f>D48+D54</f>
        <v>30651.79</v>
      </c>
      <c r="E55" s="22">
        <f>E48+E54</f>
        <v>0</v>
      </c>
      <c r="F55" s="22">
        <f>F48+F54</f>
        <v>0</v>
      </c>
      <c r="G55" s="22">
        <f>G48+G54</f>
        <v>175.41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1141166.22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425112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41389.78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1607668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348581.28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248827.19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908.1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597408.47</v>
      </c>
      <c r="D70" s="130">
        <f>SUM(D64:D69)</f>
        <v>908.1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2205076.4699999997</v>
      </c>
      <c r="D73" s="130">
        <f>SUM(D71:D72)+D70+D62</f>
        <v>908.1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24865.53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86597.38</v>
      </c>
      <c r="D80" s="95">
        <f>SUM('DOE25'!G145:G153)</f>
        <v>39247.58</v>
      </c>
      <c r="E80" s="95">
        <f>SUM('DOE25'!H145:H153)</f>
        <v>102498.6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86597.38</v>
      </c>
      <c r="D83" s="131">
        <f>SUM(D77:D82)</f>
        <v>39247.58</v>
      </c>
      <c r="E83" s="131">
        <f>SUM(E77:E82)</f>
        <v>127364.13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20384.79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3774.46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3774.46</v>
      </c>
      <c r="D95" s="86">
        <f>SUM(D85:D94)</f>
        <v>20384.79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5315540.83</v>
      </c>
      <c r="D96" s="86">
        <f>D55+D73+D83+D95</f>
        <v>91192.260000000009</v>
      </c>
      <c r="E96" s="86">
        <f>E55+E73+E83+E95</f>
        <v>127364.13</v>
      </c>
      <c r="F96" s="86">
        <f>F55+F73+F83+F95</f>
        <v>0</v>
      </c>
      <c r="G96" s="86">
        <f>G55+G73+G95</f>
        <v>175.41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1965513.88</v>
      </c>
      <c r="D101" s="24" t="s">
        <v>312</v>
      </c>
      <c r="E101" s="95">
        <f>('DOE25'!L268)+('DOE25'!L287)+('DOE25'!L306)</f>
        <v>61614.780000000006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1272238.01</v>
      </c>
      <c r="D102" s="24" t="s">
        <v>312</v>
      </c>
      <c r="E102" s="95">
        <f>('DOE25'!L269)+('DOE25'!L288)+('DOE25'!L307)</f>
        <v>9080.66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32383.100000000002</v>
      </c>
      <c r="D104" s="24" t="s">
        <v>312</v>
      </c>
      <c r="E104" s="95">
        <f>+('DOE25'!L271)+('DOE25'!L290)+('DOE25'!L309)</f>
        <v>6383.89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3600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3273734.9899999998</v>
      </c>
      <c r="D107" s="86">
        <f>SUM(D101:D106)</f>
        <v>0</v>
      </c>
      <c r="E107" s="86">
        <f>SUM(E101:E106)</f>
        <v>77079.33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217651.92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57710.28</v>
      </c>
      <c r="D111" s="24" t="s">
        <v>312</v>
      </c>
      <c r="E111" s="95">
        <f>+('DOE25'!L274)+('DOE25'!L293)+('DOE25'!L312)</f>
        <v>43574.080000000002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195603.33</v>
      </c>
      <c r="D112" s="24" t="s">
        <v>312</v>
      </c>
      <c r="E112" s="95">
        <f>+('DOE25'!L275)+('DOE25'!L294)+('DOE25'!L313)</f>
        <v>2279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177088.48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4131.72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227709.06000000003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198274.59999999998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19928.25</v>
      </c>
      <c r="D117" s="24" t="s">
        <v>312</v>
      </c>
      <c r="E117" s="95">
        <f>+('DOE25'!L280)+('DOE25'!L299)+('DOE25'!L318)</f>
        <v>300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92452.540000000008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1093965.92</v>
      </c>
      <c r="D120" s="86">
        <f>SUM(D110:D119)</f>
        <v>92452.540000000008</v>
      </c>
      <c r="E120" s="86">
        <f>SUM(E110:E119)</f>
        <v>50284.800000000003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489705.54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739653.09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76821.91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20384.79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115.27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60.14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-175.41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836859.79</v>
      </c>
      <c r="D136" s="141">
        <f>SUM(D122:D135)</f>
        <v>0</v>
      </c>
      <c r="E136" s="141">
        <f>SUM(E122:E135)</f>
        <v>0</v>
      </c>
      <c r="F136" s="141">
        <f>SUM(F122:F135)</f>
        <v>489705.54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5204560.7</v>
      </c>
      <c r="D137" s="86">
        <f>(D107+D120+D136)</f>
        <v>92452.540000000008</v>
      </c>
      <c r="E137" s="86">
        <f>(E107+E120+E136)</f>
        <v>127364.13</v>
      </c>
      <c r="F137" s="86">
        <f>(F107+F120+F136)</f>
        <v>489705.54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07/08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08/28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10960000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4.33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9698616.6999999993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9698616.6999999993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739653.09000000008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739653.09000000008</v>
      </c>
    </row>
    <row r="151" spans="1:7" x14ac:dyDescent="0.2">
      <c r="A151" s="22" t="s">
        <v>35</v>
      </c>
      <c r="B151" s="137">
        <f>'DOE25'!F488</f>
        <v>8958963.6099999994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8958963.6099999994</v>
      </c>
    </row>
    <row r="152" spans="1:7" x14ac:dyDescent="0.2">
      <c r="A152" s="22" t="s">
        <v>36</v>
      </c>
      <c r="B152" s="137">
        <f>'DOE25'!F489</f>
        <v>5773561.3899999997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5773561.3899999997</v>
      </c>
    </row>
    <row r="153" spans="1:7" x14ac:dyDescent="0.2">
      <c r="A153" s="22" t="s">
        <v>37</v>
      </c>
      <c r="B153" s="137">
        <f>'DOE25'!F490</f>
        <v>14732525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14732525</v>
      </c>
    </row>
    <row r="154" spans="1:7" x14ac:dyDescent="0.2">
      <c r="A154" s="22" t="s">
        <v>38</v>
      </c>
      <c r="B154" s="137">
        <f>'DOE25'!F491</f>
        <v>710173.09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710173.09</v>
      </c>
    </row>
    <row r="155" spans="1:7" x14ac:dyDescent="0.2">
      <c r="A155" s="22" t="s">
        <v>39</v>
      </c>
      <c r="B155" s="137">
        <f>'DOE25'!F492</f>
        <v>110501.91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110501.91</v>
      </c>
    </row>
    <row r="156" spans="1:7" x14ac:dyDescent="0.2">
      <c r="A156" s="22" t="s">
        <v>269</v>
      </c>
      <c r="B156" s="137">
        <f>'DOE25'!F493</f>
        <v>820675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820675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A3D5-F36A-43A4-B92C-933438007BC9}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Marlborough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14932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14932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2027129</v>
      </c>
      <c r="D10" s="182">
        <f>ROUND((C10/$C$28)*100,1)</f>
        <v>43.7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1281319</v>
      </c>
      <c r="D11" s="182">
        <f>ROUND((C11/$C$28)*100,1)</f>
        <v>27.7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38767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217652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101284</v>
      </c>
      <c r="D16" s="182">
        <f t="shared" si="0"/>
        <v>2.2000000000000002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218111</v>
      </c>
      <c r="D17" s="182">
        <f t="shared" si="0"/>
        <v>4.7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177088</v>
      </c>
      <c r="D18" s="182">
        <f t="shared" si="0"/>
        <v>3.8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4132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227709</v>
      </c>
      <c r="D20" s="182">
        <f t="shared" si="0"/>
        <v>4.9000000000000004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198275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3600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76822</v>
      </c>
      <c r="D25" s="182">
        <f t="shared" si="0"/>
        <v>1.7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61801.21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4633689.21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489706</v>
      </c>
    </row>
    <row r="30" spans="1:4" x14ac:dyDescent="0.2">
      <c r="B30" s="187" t="s">
        <v>760</v>
      </c>
      <c r="C30" s="180">
        <f>SUM(C28:C29)</f>
        <v>5123395.21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739653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2955043</v>
      </c>
      <c r="D35" s="182">
        <f t="shared" ref="D35:D40" si="1">ROUND((C35/$C$41)*100,1)</f>
        <v>53.9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65224.930000000168</v>
      </c>
      <c r="D36" s="182">
        <f t="shared" si="1"/>
        <v>1.2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1607668</v>
      </c>
      <c r="D37" s="182">
        <f t="shared" si="1"/>
        <v>29.3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598317</v>
      </c>
      <c r="D38" s="182">
        <f t="shared" si="1"/>
        <v>10.9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253209</v>
      </c>
      <c r="D39" s="182">
        <f t="shared" si="1"/>
        <v>4.5999999999999996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5479461.9299999997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2DF1-B0DE-47FE-9B7C-85B6AB47A14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Marlborough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C39:CM39"/>
    <mergeCell ref="CP39:CZ39"/>
    <mergeCell ref="BP39:BZ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2011-10-24T12:46:39Z</cp:lastPrinted>
  <dcterms:created xsi:type="dcterms:W3CDTF">1997-12-04T19:04:30Z</dcterms:created>
  <dcterms:modified xsi:type="dcterms:W3CDTF">2025-01-10T20:06:22Z</dcterms:modified>
</cp:coreProperties>
</file>