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6252D435-3CB9-4362-A7A8-A545164AB96C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5C1445C1-FD42-4096-8A68-DB66A7CD582F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94" i="1" l="1"/>
  <c r="H581" i="1"/>
  <c r="C39" i="12"/>
  <c r="C19" i="12"/>
  <c r="C22" i="12" s="1"/>
  <c r="C20" i="12"/>
  <c r="C12" i="12"/>
  <c r="C10" i="12"/>
  <c r="C11" i="12"/>
  <c r="B10" i="12"/>
  <c r="B13" i="12" s="1"/>
  <c r="B12" i="12"/>
  <c r="B11" i="12"/>
  <c r="G602" i="1"/>
  <c r="I594" i="1"/>
  <c r="H594" i="1"/>
  <c r="J581" i="1"/>
  <c r="I581" i="1"/>
  <c r="H584" i="1"/>
  <c r="H582" i="1"/>
  <c r="H531" i="1"/>
  <c r="K521" i="1"/>
  <c r="J521" i="1"/>
  <c r="J524" i="1" s="1"/>
  <c r="H521" i="1"/>
  <c r="H524" i="1" s="1"/>
  <c r="H535" i="1" s="1"/>
  <c r="F521" i="1"/>
  <c r="L521" i="1" s="1"/>
  <c r="H516" i="1"/>
  <c r="H518" i="1"/>
  <c r="G518" i="1"/>
  <c r="F518" i="1"/>
  <c r="H517" i="1"/>
  <c r="G517" i="1"/>
  <c r="F517" i="1"/>
  <c r="F516" i="1"/>
  <c r="G516" i="1"/>
  <c r="J511" i="1"/>
  <c r="J514" i="1" s="1"/>
  <c r="J535" i="1" s="1"/>
  <c r="J513" i="1"/>
  <c r="I513" i="1"/>
  <c r="I514" i="1" s="1"/>
  <c r="I535" i="1" s="1"/>
  <c r="I512" i="1"/>
  <c r="I511" i="1"/>
  <c r="H513" i="1"/>
  <c r="H512" i="1"/>
  <c r="H511" i="1"/>
  <c r="G511" i="1"/>
  <c r="F511" i="1"/>
  <c r="F492" i="1"/>
  <c r="B155" i="2"/>
  <c r="C155" i="2"/>
  <c r="G155" i="2" s="1"/>
  <c r="D155" i="2"/>
  <c r="E155" i="2"/>
  <c r="F155" i="2"/>
  <c r="C146" i="2"/>
  <c r="F459" i="1"/>
  <c r="H459" i="1"/>
  <c r="F463" i="1"/>
  <c r="K485" i="1"/>
  <c r="E148" i="2"/>
  <c r="L350" i="1"/>
  <c r="L354" i="1" s="1"/>
  <c r="L351" i="1"/>
  <c r="F651" i="1" s="1"/>
  <c r="L352" i="1"/>
  <c r="F103" i="1"/>
  <c r="F175" i="1"/>
  <c r="F184" i="1" s="1"/>
  <c r="J459" i="1"/>
  <c r="H354" i="1"/>
  <c r="L325" i="1"/>
  <c r="I306" i="1"/>
  <c r="G306" i="1"/>
  <c r="F306" i="1"/>
  <c r="L306" i="1" s="1"/>
  <c r="L320" i="1" s="1"/>
  <c r="K336" i="1"/>
  <c r="L336" i="1" s="1"/>
  <c r="E126" i="2" s="1"/>
  <c r="H298" i="1"/>
  <c r="G287" i="1"/>
  <c r="F287" i="1"/>
  <c r="I273" i="1"/>
  <c r="I269" i="1"/>
  <c r="H273" i="1"/>
  <c r="J275" i="1"/>
  <c r="G275" i="1"/>
  <c r="F275" i="1"/>
  <c r="L275" i="1" s="1"/>
  <c r="E112" i="2" s="1"/>
  <c r="K268" i="1"/>
  <c r="K282" i="1" s="1"/>
  <c r="G268" i="1"/>
  <c r="C9" i="12" s="1"/>
  <c r="F268" i="1"/>
  <c r="L268" i="1" s="1"/>
  <c r="I268" i="1"/>
  <c r="H268" i="1"/>
  <c r="F273" i="1"/>
  <c r="L273" i="1" s="1"/>
  <c r="E110" i="2" s="1"/>
  <c r="H274" i="1"/>
  <c r="G273" i="1"/>
  <c r="H269" i="1"/>
  <c r="I235" i="1"/>
  <c r="H235" i="1"/>
  <c r="G235" i="1"/>
  <c r="F235" i="1"/>
  <c r="L235" i="1" s="1"/>
  <c r="H233" i="1"/>
  <c r="K232" i="1"/>
  <c r="I232" i="1"/>
  <c r="H232" i="1"/>
  <c r="G232" i="1"/>
  <c r="F232" i="1"/>
  <c r="J230" i="1"/>
  <c r="I230" i="1"/>
  <c r="I239" i="1"/>
  <c r="H230" i="1"/>
  <c r="H239" i="1" s="1"/>
  <c r="G230" i="1"/>
  <c r="F230" i="1"/>
  <c r="L230" i="1" s="1"/>
  <c r="H228" i="1"/>
  <c r="H227" i="1"/>
  <c r="H226" i="1"/>
  <c r="H225" i="1"/>
  <c r="L225" i="1" s="1"/>
  <c r="I217" i="1"/>
  <c r="H217" i="1"/>
  <c r="G217" i="1"/>
  <c r="F217" i="1"/>
  <c r="H215" i="1"/>
  <c r="K214" i="1"/>
  <c r="K221" i="1" s="1"/>
  <c r="K249" i="1" s="1"/>
  <c r="K263" i="1" s="1"/>
  <c r="I214" i="1"/>
  <c r="I221" i="1" s="1"/>
  <c r="I249" i="1" s="1"/>
  <c r="I263" i="1" s="1"/>
  <c r="H214" i="1"/>
  <c r="H221" i="1" s="1"/>
  <c r="G214" i="1"/>
  <c r="F214" i="1"/>
  <c r="I212" i="1"/>
  <c r="G212" i="1"/>
  <c r="F212" i="1"/>
  <c r="H208" i="1"/>
  <c r="H207" i="1"/>
  <c r="I199" i="1"/>
  <c r="H199" i="1"/>
  <c r="G199" i="1"/>
  <c r="G203" i="1" s="1"/>
  <c r="G249" i="1" s="1"/>
  <c r="G263" i="1" s="1"/>
  <c r="F199" i="1"/>
  <c r="L199" i="1" s="1"/>
  <c r="H197" i="1"/>
  <c r="K196" i="1"/>
  <c r="I196" i="1"/>
  <c r="H196" i="1"/>
  <c r="G196" i="1"/>
  <c r="F196" i="1"/>
  <c r="I194" i="1"/>
  <c r="L194" i="1" s="1"/>
  <c r="H194" i="1"/>
  <c r="G194" i="1"/>
  <c r="H189" i="1"/>
  <c r="H151" i="1"/>
  <c r="H146" i="1"/>
  <c r="H154" i="1" s="1"/>
  <c r="H41" i="1"/>
  <c r="E40" i="2" s="1"/>
  <c r="E34" i="2"/>
  <c r="E35" i="2"/>
  <c r="E36" i="2"/>
  <c r="E37" i="2"/>
  <c r="E38" i="2"/>
  <c r="E41" i="2"/>
  <c r="G41" i="1"/>
  <c r="F42" i="1"/>
  <c r="C41" i="2" s="1"/>
  <c r="K253" i="1"/>
  <c r="K262" i="1" s="1"/>
  <c r="H102" i="1"/>
  <c r="H103" i="1" s="1"/>
  <c r="F49" i="1"/>
  <c r="C34" i="2"/>
  <c r="C35" i="2"/>
  <c r="C36" i="2"/>
  <c r="C37" i="2"/>
  <c r="C38" i="2"/>
  <c r="C40" i="2"/>
  <c r="G89" i="1"/>
  <c r="D52" i="2" s="1"/>
  <c r="F62" i="1"/>
  <c r="F71" i="1" s="1"/>
  <c r="C49" i="2" s="1"/>
  <c r="I41" i="1"/>
  <c r="I43" i="1" s="1"/>
  <c r="C37" i="10"/>
  <c r="C60" i="2"/>
  <c r="C58" i="2"/>
  <c r="C59" i="2"/>
  <c r="C61" i="2"/>
  <c r="C62" i="2"/>
  <c r="B2" i="13"/>
  <c r="F8" i="13"/>
  <c r="L196" i="1"/>
  <c r="L232" i="1"/>
  <c r="D39" i="13"/>
  <c r="F13" i="13"/>
  <c r="G13" i="13"/>
  <c r="L198" i="1"/>
  <c r="C114" i="2" s="1"/>
  <c r="L216" i="1"/>
  <c r="L234" i="1"/>
  <c r="F16" i="13"/>
  <c r="G16" i="13"/>
  <c r="L201" i="1"/>
  <c r="E16" i="13" s="1"/>
  <c r="C16" i="13" s="1"/>
  <c r="L219" i="1"/>
  <c r="L237" i="1"/>
  <c r="F5" i="13"/>
  <c r="L189" i="1"/>
  <c r="L190" i="1"/>
  <c r="L191" i="1"/>
  <c r="L192" i="1"/>
  <c r="L208" i="1"/>
  <c r="L209" i="1"/>
  <c r="L210" i="1"/>
  <c r="L226" i="1"/>
  <c r="C102" i="2" s="1"/>
  <c r="L228" i="1"/>
  <c r="C13" i="10" s="1"/>
  <c r="C104" i="2"/>
  <c r="F6" i="13"/>
  <c r="G6" i="13"/>
  <c r="L212" i="1"/>
  <c r="F7" i="13"/>
  <c r="G7" i="13"/>
  <c r="L195" i="1"/>
  <c r="L213" i="1"/>
  <c r="L231" i="1"/>
  <c r="F12" i="13"/>
  <c r="G12" i="13"/>
  <c r="L197" i="1"/>
  <c r="D12" i="13" s="1"/>
  <c r="C12" i="13" s="1"/>
  <c r="L215" i="1"/>
  <c r="L233" i="1"/>
  <c r="F14" i="13"/>
  <c r="G14" i="13"/>
  <c r="L217" i="1"/>
  <c r="F15" i="13"/>
  <c r="G15" i="13"/>
  <c r="L200" i="1"/>
  <c r="G639" i="1" s="1"/>
  <c r="J639" i="1" s="1"/>
  <c r="L218" i="1"/>
  <c r="G652" i="1" s="1"/>
  <c r="G640" i="1"/>
  <c r="J640" i="1" s="1"/>
  <c r="L236" i="1"/>
  <c r="G641" i="1" s="1"/>
  <c r="F17" i="13"/>
  <c r="G17" i="13"/>
  <c r="L243" i="1"/>
  <c r="C106" i="2" s="1"/>
  <c r="D17" i="13"/>
  <c r="C17" i="13"/>
  <c r="F18" i="13"/>
  <c r="G18" i="13"/>
  <c r="L244" i="1"/>
  <c r="D18" i="13"/>
  <c r="C18" i="13" s="1"/>
  <c r="F19" i="13"/>
  <c r="G19" i="13"/>
  <c r="L245" i="1"/>
  <c r="D19" i="13" s="1"/>
  <c r="C19" i="13" s="1"/>
  <c r="F29" i="13"/>
  <c r="G29" i="13"/>
  <c r="I359" i="1"/>
  <c r="J282" i="1"/>
  <c r="F31" i="13" s="1"/>
  <c r="J301" i="1"/>
  <c r="J320" i="1"/>
  <c r="K301" i="1"/>
  <c r="K320" i="1"/>
  <c r="L269" i="1"/>
  <c r="L270" i="1"/>
  <c r="L271" i="1"/>
  <c r="L274" i="1"/>
  <c r="L276" i="1"/>
  <c r="L277" i="1"/>
  <c r="E114" i="2" s="1"/>
  <c r="L278" i="1"/>
  <c r="E115" i="2" s="1"/>
  <c r="L279" i="1"/>
  <c r="E116" i="2" s="1"/>
  <c r="L280" i="1"/>
  <c r="L287" i="1"/>
  <c r="L288" i="1"/>
  <c r="L289" i="1"/>
  <c r="L290" i="1"/>
  <c r="L292" i="1"/>
  <c r="L293" i="1"/>
  <c r="L294" i="1"/>
  <c r="L295" i="1"/>
  <c r="L296" i="1"/>
  <c r="L297" i="1"/>
  <c r="L298" i="1"/>
  <c r="L299" i="1"/>
  <c r="L307" i="1"/>
  <c r="L308" i="1"/>
  <c r="E103" i="2"/>
  <c r="L309" i="1"/>
  <c r="L311" i="1"/>
  <c r="L312" i="1"/>
  <c r="L313" i="1"/>
  <c r="L314" i="1"/>
  <c r="E113" i="2"/>
  <c r="L315" i="1"/>
  <c r="L316" i="1"/>
  <c r="L317" i="1"/>
  <c r="L318" i="1"/>
  <c r="L326" i="1"/>
  <c r="L327" i="1"/>
  <c r="L252" i="1"/>
  <c r="C123" i="2" s="1"/>
  <c r="L333" i="1"/>
  <c r="E123" i="2" s="1"/>
  <c r="L334" i="1"/>
  <c r="E124" i="2" s="1"/>
  <c r="L247" i="1"/>
  <c r="F22" i="13" s="1"/>
  <c r="C22" i="13" s="1"/>
  <c r="L328" i="1"/>
  <c r="C11" i="13"/>
  <c r="C10" i="13"/>
  <c r="C9" i="13"/>
  <c r="L353" i="1"/>
  <c r="B4" i="12"/>
  <c r="B36" i="12"/>
  <c r="C36" i="12"/>
  <c r="B40" i="12"/>
  <c r="C40" i="12"/>
  <c r="B27" i="12"/>
  <c r="C27" i="12"/>
  <c r="B31" i="12"/>
  <c r="C31" i="12"/>
  <c r="C13" i="12"/>
  <c r="B18" i="12"/>
  <c r="B22" i="12"/>
  <c r="C18" i="12"/>
  <c r="A22" i="12" s="1"/>
  <c r="B1" i="12"/>
  <c r="L379" i="1"/>
  <c r="L385" i="1" s="1"/>
  <c r="L380" i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6" i="1"/>
  <c r="L397" i="1"/>
  <c r="L399" i="1" s="1"/>
  <c r="C132" i="2" s="1"/>
  <c r="L398" i="1"/>
  <c r="L258" i="1"/>
  <c r="J52" i="1"/>
  <c r="J104" i="1" s="1"/>
  <c r="J185" i="1" s="1"/>
  <c r="G51" i="2"/>
  <c r="G54" i="2" s="1"/>
  <c r="G53" i="2"/>
  <c r="G69" i="2"/>
  <c r="G70" i="2" s="1"/>
  <c r="G73" i="2" s="1"/>
  <c r="G61" i="2"/>
  <c r="G62" i="2"/>
  <c r="G88" i="2"/>
  <c r="G89" i="2"/>
  <c r="G90" i="2"/>
  <c r="G95" i="2"/>
  <c r="F2" i="11"/>
  <c r="L603" i="1"/>
  <c r="H653" i="1"/>
  <c r="H651" i="1"/>
  <c r="L602" i="1"/>
  <c r="L604" i="1"/>
  <c r="L601" i="1"/>
  <c r="F653" i="1"/>
  <c r="I653" i="1" s="1"/>
  <c r="C40" i="10"/>
  <c r="F52" i="1"/>
  <c r="C35" i="10"/>
  <c r="G52" i="1"/>
  <c r="H52" i="1"/>
  <c r="I52" i="1"/>
  <c r="F86" i="1"/>
  <c r="C50" i="2" s="1"/>
  <c r="H71" i="1"/>
  <c r="H104" i="1" s="1"/>
  <c r="H86" i="1"/>
  <c r="E50" i="2" s="1"/>
  <c r="I103" i="1"/>
  <c r="I104" i="1"/>
  <c r="J103" i="1"/>
  <c r="F113" i="1"/>
  <c r="F132" i="1" s="1"/>
  <c r="F128" i="1"/>
  <c r="G113" i="1"/>
  <c r="G128" i="1"/>
  <c r="G132" i="1"/>
  <c r="H113" i="1"/>
  <c r="H128" i="1"/>
  <c r="H132" i="1" s="1"/>
  <c r="I113" i="1"/>
  <c r="I128" i="1"/>
  <c r="I132" i="1"/>
  <c r="J113" i="1"/>
  <c r="J132" i="1" s="1"/>
  <c r="J128" i="1"/>
  <c r="F139" i="1"/>
  <c r="F154" i="1"/>
  <c r="F161" i="1"/>
  <c r="G139" i="1"/>
  <c r="G154" i="1"/>
  <c r="H139" i="1"/>
  <c r="H161" i="1" s="1"/>
  <c r="I139" i="1"/>
  <c r="I161" i="1" s="1"/>
  <c r="I154" i="1"/>
  <c r="L242" i="1"/>
  <c r="L324" i="1"/>
  <c r="C23" i="10"/>
  <c r="L246" i="1"/>
  <c r="L260" i="1"/>
  <c r="C134" i="2"/>
  <c r="L261" i="1"/>
  <c r="L341" i="1"/>
  <c r="L342" i="1"/>
  <c r="C26" i="10" s="1"/>
  <c r="I655" i="1"/>
  <c r="I660" i="1"/>
  <c r="I659" i="1"/>
  <c r="C42" i="10"/>
  <c r="L366" i="1"/>
  <c r="L367" i="1"/>
  <c r="F122" i="2" s="1"/>
  <c r="F136" i="2" s="1"/>
  <c r="F137" i="2" s="1"/>
  <c r="L368" i="1"/>
  <c r="L369" i="1"/>
  <c r="L370" i="1"/>
  <c r="F126" i="2"/>
  <c r="F120" i="2"/>
  <c r="L371" i="1"/>
  <c r="L372" i="1"/>
  <c r="B2" i="10"/>
  <c r="L337" i="1"/>
  <c r="L338" i="1"/>
  <c r="L339" i="1"/>
  <c r="L512" i="1"/>
  <c r="F540" i="1"/>
  <c r="L516" i="1"/>
  <c r="G539" i="1"/>
  <c r="L517" i="1"/>
  <c r="G540" i="1"/>
  <c r="L518" i="1"/>
  <c r="G541" i="1"/>
  <c r="L522" i="1"/>
  <c r="L523" i="1"/>
  <c r="H541" i="1" s="1"/>
  <c r="L526" i="1"/>
  <c r="I539" i="1" s="1"/>
  <c r="I542" i="1" s="1"/>
  <c r="L527" i="1"/>
  <c r="I540" i="1"/>
  <c r="L528" i="1"/>
  <c r="I541" i="1"/>
  <c r="L531" i="1"/>
  <c r="J539" i="1" s="1"/>
  <c r="L532" i="1"/>
  <c r="L534" i="1" s="1"/>
  <c r="L533" i="1"/>
  <c r="J541" i="1" s="1"/>
  <c r="J262" i="1"/>
  <c r="I262" i="1"/>
  <c r="H262" i="1"/>
  <c r="G262" i="1"/>
  <c r="F262" i="1"/>
  <c r="L262" i="1" s="1"/>
  <c r="A1" i="2"/>
  <c r="A2" i="2"/>
  <c r="C9" i="2"/>
  <c r="C19" i="2" s="1"/>
  <c r="C10" i="2"/>
  <c r="C11" i="2"/>
  <c r="C12" i="2"/>
  <c r="C13" i="2"/>
  <c r="C14" i="2"/>
  <c r="C16" i="2"/>
  <c r="C17" i="2"/>
  <c r="C18" i="2"/>
  <c r="D9" i="2"/>
  <c r="D19" i="2" s="1"/>
  <c r="E9" i="2"/>
  <c r="E19" i="2" s="1"/>
  <c r="E10" i="2"/>
  <c r="E12" i="2"/>
  <c r="E13" i="2"/>
  <c r="E14" i="2"/>
  <c r="E16" i="2"/>
  <c r="E17" i="2"/>
  <c r="E18" i="2"/>
  <c r="F9" i="2"/>
  <c r="I431" i="1"/>
  <c r="J9" i="1"/>
  <c r="G9" i="2" s="1"/>
  <c r="D10" i="2"/>
  <c r="F10" i="2"/>
  <c r="F19" i="2" s="1"/>
  <c r="I432" i="1"/>
  <c r="J10" i="1" s="1"/>
  <c r="G10" i="2" s="1"/>
  <c r="D12" i="2"/>
  <c r="F12" i="2"/>
  <c r="I433" i="1"/>
  <c r="J12" i="1"/>
  <c r="G12" i="2" s="1"/>
  <c r="D13" i="2"/>
  <c r="F13" i="2"/>
  <c r="I434" i="1"/>
  <c r="J13" i="1"/>
  <c r="G13" i="2" s="1"/>
  <c r="D14" i="2"/>
  <c r="F14" i="2"/>
  <c r="I435" i="1"/>
  <c r="J14" i="1" s="1"/>
  <c r="G14" i="2" s="1"/>
  <c r="F15" i="2"/>
  <c r="D16" i="2"/>
  <c r="F16" i="2"/>
  <c r="D17" i="2"/>
  <c r="F17" i="2"/>
  <c r="I436" i="1"/>
  <c r="J17" i="1" s="1"/>
  <c r="G17" i="2" s="1"/>
  <c r="D18" i="2"/>
  <c r="F18" i="2"/>
  <c r="I437" i="1"/>
  <c r="J18" i="1"/>
  <c r="G18" i="2"/>
  <c r="C22" i="2"/>
  <c r="D22" i="2"/>
  <c r="E22" i="2"/>
  <c r="F22" i="2"/>
  <c r="F32" i="2" s="1"/>
  <c r="I440" i="1"/>
  <c r="J23" i="1" s="1"/>
  <c r="C23" i="2"/>
  <c r="D23" i="2"/>
  <c r="E23" i="2"/>
  <c r="F23" i="2"/>
  <c r="I441" i="1"/>
  <c r="J24" i="1"/>
  <c r="G23" i="2"/>
  <c r="C24" i="2"/>
  <c r="C25" i="2"/>
  <c r="C26" i="2"/>
  <c r="C32" i="2" s="1"/>
  <c r="C27" i="2"/>
  <c r="C28" i="2"/>
  <c r="C29" i="2"/>
  <c r="C30" i="2"/>
  <c r="C31" i="2"/>
  <c r="D24" i="2"/>
  <c r="E24" i="2"/>
  <c r="E25" i="2"/>
  <c r="E28" i="2"/>
  <c r="E29" i="2"/>
  <c r="E30" i="2"/>
  <c r="E31" i="2"/>
  <c r="E32" i="2"/>
  <c r="F24" i="2"/>
  <c r="F25" i="2"/>
  <c r="F26" i="2"/>
  <c r="F27" i="2"/>
  <c r="F28" i="2"/>
  <c r="F29" i="2"/>
  <c r="F30" i="2"/>
  <c r="F31" i="2"/>
  <c r="I442" i="1"/>
  <c r="J25" i="1" s="1"/>
  <c r="G24" i="2" s="1"/>
  <c r="D25" i="2"/>
  <c r="D28" i="2"/>
  <c r="D29" i="2"/>
  <c r="D30" i="2"/>
  <c r="D32" i="2" s="1"/>
  <c r="D31" i="2"/>
  <c r="I443" i="1"/>
  <c r="J32" i="1" s="1"/>
  <c r="G31" i="2" s="1"/>
  <c r="D34" i="2"/>
  <c r="D42" i="2" s="1"/>
  <c r="D43" i="2" s="1"/>
  <c r="F34" i="2"/>
  <c r="D35" i="2"/>
  <c r="F35" i="2"/>
  <c r="D36" i="2"/>
  <c r="F36" i="2"/>
  <c r="I446" i="1"/>
  <c r="I450" i="1" s="1"/>
  <c r="D37" i="2"/>
  <c r="F37" i="2"/>
  <c r="I447" i="1"/>
  <c r="J38" i="1" s="1"/>
  <c r="D38" i="2"/>
  <c r="F38" i="2"/>
  <c r="I448" i="1"/>
  <c r="J40" i="1" s="1"/>
  <c r="G39" i="2" s="1"/>
  <c r="D40" i="2"/>
  <c r="D41" i="2"/>
  <c r="I449" i="1"/>
  <c r="J41" i="1"/>
  <c r="G40" i="2" s="1"/>
  <c r="F41" i="2"/>
  <c r="C48" i="2"/>
  <c r="C51" i="2"/>
  <c r="C53" i="2"/>
  <c r="C71" i="2"/>
  <c r="C72" i="2"/>
  <c r="C64" i="2"/>
  <c r="C65" i="2"/>
  <c r="C66" i="2"/>
  <c r="C67" i="2"/>
  <c r="C68" i="2"/>
  <c r="C69" i="2"/>
  <c r="C70" i="2"/>
  <c r="C73" i="2" s="1"/>
  <c r="C77" i="2"/>
  <c r="C83" i="2" s="1"/>
  <c r="C79" i="2"/>
  <c r="C80" i="2"/>
  <c r="C81" i="2"/>
  <c r="C82" i="2"/>
  <c r="C85" i="2"/>
  <c r="C95" i="2" s="1"/>
  <c r="C86" i="2"/>
  <c r="C89" i="2"/>
  <c r="C90" i="2"/>
  <c r="C91" i="2"/>
  <c r="C92" i="2"/>
  <c r="C93" i="2"/>
  <c r="C94" i="2"/>
  <c r="D48" i="2"/>
  <c r="D51" i="2"/>
  <c r="D53" i="2"/>
  <c r="D71" i="2"/>
  <c r="D69" i="2"/>
  <c r="D70" i="2"/>
  <c r="D61" i="2"/>
  <c r="D62" i="2" s="1"/>
  <c r="D77" i="2"/>
  <c r="D80" i="2"/>
  <c r="D81" i="2"/>
  <c r="D83" i="2"/>
  <c r="D88" i="2"/>
  <c r="D95" i="2" s="1"/>
  <c r="D89" i="2"/>
  <c r="D90" i="2"/>
  <c r="D91" i="2"/>
  <c r="D92" i="2"/>
  <c r="D93" i="2"/>
  <c r="D94" i="2"/>
  <c r="E48" i="2"/>
  <c r="F48" i="2"/>
  <c r="F55" i="2" s="1"/>
  <c r="E51" i="2"/>
  <c r="F51" i="2"/>
  <c r="F53" i="2"/>
  <c r="F54" i="2"/>
  <c r="F64" i="2"/>
  <c r="F65" i="2"/>
  <c r="F68" i="2"/>
  <c r="F70" i="2" s="1"/>
  <c r="F69" i="2"/>
  <c r="F61" i="2"/>
  <c r="F62" i="2" s="1"/>
  <c r="F77" i="2"/>
  <c r="F83" i="2" s="1"/>
  <c r="F79" i="2"/>
  <c r="F80" i="2"/>
  <c r="F81" i="2"/>
  <c r="F85" i="2"/>
  <c r="F86" i="2"/>
  <c r="F88" i="2"/>
  <c r="F89" i="2"/>
  <c r="F91" i="2"/>
  <c r="F92" i="2"/>
  <c r="F93" i="2"/>
  <c r="F94" i="2"/>
  <c r="F95" i="2" s="1"/>
  <c r="E61" i="2"/>
  <c r="E62" i="2" s="1"/>
  <c r="E68" i="2"/>
  <c r="E70" i="2" s="1"/>
  <c r="E73" i="2" s="1"/>
  <c r="E69" i="2"/>
  <c r="E71" i="2"/>
  <c r="E72" i="2"/>
  <c r="E77" i="2"/>
  <c r="E83" i="2" s="1"/>
  <c r="E79" i="2"/>
  <c r="E80" i="2"/>
  <c r="E81" i="2"/>
  <c r="E88" i="2"/>
  <c r="E89" i="2"/>
  <c r="E90" i="2"/>
  <c r="E91" i="2"/>
  <c r="E92" i="2"/>
  <c r="E93" i="2"/>
  <c r="E94" i="2"/>
  <c r="E95" i="2"/>
  <c r="C105" i="2"/>
  <c r="E105" i="2"/>
  <c r="D107" i="2"/>
  <c r="F107" i="2"/>
  <c r="G107" i="2"/>
  <c r="E117" i="2"/>
  <c r="G120" i="2"/>
  <c r="E122" i="2"/>
  <c r="D126" i="2"/>
  <c r="D136" i="2"/>
  <c r="E127" i="2"/>
  <c r="E129" i="2"/>
  <c r="E134" i="2"/>
  <c r="K411" i="1"/>
  <c r="K419" i="1"/>
  <c r="K425" i="1"/>
  <c r="K426" i="1" s="1"/>
  <c r="G126" i="2" s="1"/>
  <c r="G136" i="2" s="1"/>
  <c r="G137" i="2" s="1"/>
  <c r="L255" i="1"/>
  <c r="C127" i="2" s="1"/>
  <c r="L256" i="1"/>
  <c r="C128" i="2" s="1"/>
  <c r="L257" i="1"/>
  <c r="C129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D146" i="2"/>
  <c r="E146" i="2"/>
  <c r="F146" i="2"/>
  <c r="B147" i="2"/>
  <c r="C147" i="2"/>
  <c r="D147" i="2"/>
  <c r="E147" i="2"/>
  <c r="F147" i="2"/>
  <c r="C148" i="2"/>
  <c r="D148" i="2"/>
  <c r="G148" i="2" s="1"/>
  <c r="F148" i="2"/>
  <c r="B149" i="2"/>
  <c r="G149" i="2" s="1"/>
  <c r="C149" i="2"/>
  <c r="D149" i="2"/>
  <c r="E149" i="2"/>
  <c r="F149" i="2"/>
  <c r="B150" i="2"/>
  <c r="G150" i="2" s="1"/>
  <c r="C150" i="2"/>
  <c r="D150" i="2"/>
  <c r="E150" i="2"/>
  <c r="F150" i="2"/>
  <c r="B151" i="2"/>
  <c r="G151" i="2" s="1"/>
  <c r="C151" i="2"/>
  <c r="D151" i="2"/>
  <c r="E151" i="2"/>
  <c r="F151" i="2"/>
  <c r="B152" i="2"/>
  <c r="C152" i="2"/>
  <c r="D152" i="2"/>
  <c r="E152" i="2"/>
  <c r="F152" i="2"/>
  <c r="G152" i="2"/>
  <c r="F490" i="1"/>
  <c r="K490" i="1"/>
  <c r="G490" i="1"/>
  <c r="C153" i="2" s="1"/>
  <c r="H490" i="1"/>
  <c r="D153" i="2"/>
  <c r="I490" i="1"/>
  <c r="E153" i="2"/>
  <c r="J490" i="1"/>
  <c r="F153" i="2" s="1"/>
  <c r="B154" i="2"/>
  <c r="C154" i="2"/>
  <c r="G154" i="2" s="1"/>
  <c r="D154" i="2"/>
  <c r="E154" i="2"/>
  <c r="F154" i="2"/>
  <c r="F493" i="1"/>
  <c r="B156" i="2" s="1"/>
  <c r="C156" i="2"/>
  <c r="G493" i="1"/>
  <c r="H493" i="1"/>
  <c r="D156" i="2" s="1"/>
  <c r="I493" i="1"/>
  <c r="E156" i="2" s="1"/>
  <c r="J493" i="1"/>
  <c r="F156" i="2" s="1"/>
  <c r="F19" i="1"/>
  <c r="G607" i="1" s="1"/>
  <c r="G19" i="1"/>
  <c r="G608" i="1"/>
  <c r="H19" i="1"/>
  <c r="G609" i="1"/>
  <c r="I19" i="1"/>
  <c r="G610" i="1" s="1"/>
  <c r="F33" i="1"/>
  <c r="G33" i="1"/>
  <c r="H33" i="1"/>
  <c r="I33" i="1"/>
  <c r="G43" i="1"/>
  <c r="G613" i="1" s="1"/>
  <c r="F169" i="1"/>
  <c r="I169" i="1"/>
  <c r="I184" i="1" s="1"/>
  <c r="G175" i="1"/>
  <c r="G184" i="1" s="1"/>
  <c r="H175" i="1"/>
  <c r="H184" i="1" s="1"/>
  <c r="I175" i="1"/>
  <c r="J175" i="1"/>
  <c r="F180" i="1"/>
  <c r="G180" i="1"/>
  <c r="H180" i="1"/>
  <c r="I180" i="1"/>
  <c r="J184" i="1"/>
  <c r="F203" i="1"/>
  <c r="H203" i="1"/>
  <c r="H249" i="1" s="1"/>
  <c r="H263" i="1" s="1"/>
  <c r="I203" i="1"/>
  <c r="J203" i="1"/>
  <c r="K203" i="1"/>
  <c r="F221" i="1"/>
  <c r="G221" i="1"/>
  <c r="J221" i="1"/>
  <c r="G239" i="1"/>
  <c r="J239" i="1"/>
  <c r="J249" i="1" s="1"/>
  <c r="F248" i="1"/>
  <c r="G248" i="1"/>
  <c r="H248" i="1"/>
  <c r="I248" i="1"/>
  <c r="J248" i="1"/>
  <c r="K248" i="1"/>
  <c r="L248" i="1"/>
  <c r="H282" i="1"/>
  <c r="H330" i="1" s="1"/>
  <c r="H344" i="1" s="1"/>
  <c r="I282" i="1"/>
  <c r="I330" i="1" s="1"/>
  <c r="I344" i="1" s="1"/>
  <c r="F301" i="1"/>
  <c r="G301" i="1"/>
  <c r="H301" i="1"/>
  <c r="I301" i="1"/>
  <c r="G320" i="1"/>
  <c r="H320" i="1"/>
  <c r="I320" i="1"/>
  <c r="F329" i="1"/>
  <c r="L329" i="1" s="1"/>
  <c r="G329" i="1"/>
  <c r="H329" i="1"/>
  <c r="I329" i="1"/>
  <c r="J329" i="1"/>
  <c r="K329" i="1"/>
  <c r="F354" i="1"/>
  <c r="G354" i="1"/>
  <c r="I354" i="1"/>
  <c r="G624" i="1"/>
  <c r="J354" i="1"/>
  <c r="K354" i="1"/>
  <c r="I360" i="1"/>
  <c r="I361" i="1"/>
  <c r="H624" i="1" s="1"/>
  <c r="J624" i="1" s="1"/>
  <c r="F361" i="1"/>
  <c r="G361" i="1"/>
  <c r="H361" i="1"/>
  <c r="L373" i="1"/>
  <c r="F374" i="1"/>
  <c r="G374" i="1"/>
  <c r="H374" i="1"/>
  <c r="I374" i="1"/>
  <c r="J374" i="1"/>
  <c r="K374" i="1"/>
  <c r="F385" i="1"/>
  <c r="F400" i="1" s="1"/>
  <c r="H633" i="1" s="1"/>
  <c r="J633" i="1" s="1"/>
  <c r="G385" i="1"/>
  <c r="G400" i="1" s="1"/>
  <c r="H635" i="1" s="1"/>
  <c r="H385" i="1"/>
  <c r="H400" i="1" s="1"/>
  <c r="H634" i="1" s="1"/>
  <c r="I385" i="1"/>
  <c r="I400" i="1" s="1"/>
  <c r="F393" i="1"/>
  <c r="G393" i="1"/>
  <c r="H393" i="1"/>
  <c r="I393" i="1"/>
  <c r="F399" i="1"/>
  <c r="G399" i="1"/>
  <c r="H399" i="1"/>
  <c r="I399" i="1"/>
  <c r="L405" i="1"/>
  <c r="L411" i="1" s="1"/>
  <c r="L426" i="1" s="1"/>
  <c r="G628" i="1" s="1"/>
  <c r="J628" i="1" s="1"/>
  <c r="L406" i="1"/>
  <c r="L407" i="1"/>
  <c r="L408" i="1"/>
  <c r="L409" i="1"/>
  <c r="L410" i="1"/>
  <c r="F411" i="1"/>
  <c r="F426" i="1" s="1"/>
  <c r="G411" i="1"/>
  <c r="H411" i="1"/>
  <c r="H426" i="1" s="1"/>
  <c r="I411" i="1"/>
  <c r="I426" i="1" s="1"/>
  <c r="J411" i="1"/>
  <c r="J426" i="1"/>
  <c r="L413" i="1"/>
  <c r="L414" i="1"/>
  <c r="L415" i="1"/>
  <c r="L416" i="1"/>
  <c r="L417" i="1"/>
  <c r="L418" i="1"/>
  <c r="F419" i="1"/>
  <c r="G419" i="1"/>
  <c r="G426" i="1" s="1"/>
  <c r="H419" i="1"/>
  <c r="I419" i="1"/>
  <c r="J419" i="1"/>
  <c r="L421" i="1"/>
  <c r="L422" i="1"/>
  <c r="L423" i="1"/>
  <c r="L425" i="1"/>
  <c r="L424" i="1"/>
  <c r="F425" i="1"/>
  <c r="G425" i="1"/>
  <c r="H425" i="1"/>
  <c r="I425" i="1"/>
  <c r="J425" i="1"/>
  <c r="F438" i="1"/>
  <c r="G438" i="1"/>
  <c r="G630" i="1"/>
  <c r="H438" i="1"/>
  <c r="F444" i="1"/>
  <c r="F451" i="1" s="1"/>
  <c r="H629" i="1" s="1"/>
  <c r="J629" i="1" s="1"/>
  <c r="G444" i="1"/>
  <c r="G451" i="1" s="1"/>
  <c r="H630" i="1" s="1"/>
  <c r="J630" i="1" s="1"/>
  <c r="H444" i="1"/>
  <c r="F450" i="1"/>
  <c r="G450" i="1"/>
  <c r="H450" i="1"/>
  <c r="H451" i="1"/>
  <c r="J460" i="1"/>
  <c r="J464" i="1"/>
  <c r="J466" i="1" s="1"/>
  <c r="H616" i="1" s="1"/>
  <c r="K486" i="1"/>
  <c r="K487" i="1"/>
  <c r="K488" i="1"/>
  <c r="K489" i="1"/>
  <c r="K491" i="1"/>
  <c r="K492" i="1"/>
  <c r="F507" i="1"/>
  <c r="G507" i="1"/>
  <c r="H507" i="1"/>
  <c r="I507" i="1"/>
  <c r="F514" i="1"/>
  <c r="F535" i="1" s="1"/>
  <c r="G514" i="1"/>
  <c r="H514" i="1"/>
  <c r="K514" i="1"/>
  <c r="F519" i="1"/>
  <c r="G519" i="1"/>
  <c r="G535" i="1" s="1"/>
  <c r="H519" i="1"/>
  <c r="I519" i="1"/>
  <c r="J519" i="1"/>
  <c r="K519" i="1"/>
  <c r="K535" i="1" s="1"/>
  <c r="F524" i="1"/>
  <c r="G524" i="1"/>
  <c r="I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47" i="1"/>
  <c r="L550" i="1" s="1"/>
  <c r="L548" i="1"/>
  <c r="L549" i="1"/>
  <c r="F550" i="1"/>
  <c r="F561" i="1" s="1"/>
  <c r="G550" i="1"/>
  <c r="G561" i="1"/>
  <c r="H550" i="1"/>
  <c r="I550" i="1"/>
  <c r="J550" i="1"/>
  <c r="J561" i="1" s="1"/>
  <c r="K550" i="1"/>
  <c r="L552" i="1"/>
  <c r="L553" i="1"/>
  <c r="L554" i="1"/>
  <c r="L555" i="1"/>
  <c r="F555" i="1"/>
  <c r="G555" i="1"/>
  <c r="H555" i="1"/>
  <c r="H561" i="1"/>
  <c r="I555" i="1"/>
  <c r="I561" i="1" s="1"/>
  <c r="J555" i="1"/>
  <c r="K555" i="1"/>
  <c r="K561" i="1" s="1"/>
  <c r="L557" i="1"/>
  <c r="L560" i="1" s="1"/>
  <c r="L558" i="1"/>
  <c r="L559" i="1"/>
  <c r="F560" i="1"/>
  <c r="G560" i="1"/>
  <c r="H560" i="1"/>
  <c r="I560" i="1"/>
  <c r="J560" i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K582" i="1"/>
  <c r="K583" i="1"/>
  <c r="K584" i="1"/>
  <c r="K585" i="1"/>
  <c r="K586" i="1"/>
  <c r="K587" i="1"/>
  <c r="H588" i="1"/>
  <c r="H639" i="1"/>
  <c r="I588" i="1"/>
  <c r="H640" i="1"/>
  <c r="J588" i="1"/>
  <c r="H641" i="1" s="1"/>
  <c r="K592" i="1"/>
  <c r="K593" i="1"/>
  <c r="K594" i="1"/>
  <c r="K595" i="1"/>
  <c r="G638" i="1"/>
  <c r="H595" i="1"/>
  <c r="I595" i="1"/>
  <c r="J595" i="1"/>
  <c r="F604" i="1"/>
  <c r="G604" i="1"/>
  <c r="H604" i="1"/>
  <c r="I604" i="1"/>
  <c r="J604" i="1"/>
  <c r="K604" i="1"/>
  <c r="H621" i="1"/>
  <c r="H627" i="1"/>
  <c r="H628" i="1"/>
  <c r="G629" i="1"/>
  <c r="G631" i="1"/>
  <c r="J631" i="1" s="1"/>
  <c r="H631" i="1"/>
  <c r="G633" i="1"/>
  <c r="G634" i="1"/>
  <c r="J634" i="1" s="1"/>
  <c r="G635" i="1"/>
  <c r="J635" i="1" s="1"/>
  <c r="G642" i="1"/>
  <c r="H642" i="1"/>
  <c r="J642" i="1" s="1"/>
  <c r="G643" i="1"/>
  <c r="H643" i="1"/>
  <c r="J643" i="1" s="1"/>
  <c r="G644" i="1"/>
  <c r="H644" i="1"/>
  <c r="J644" i="1"/>
  <c r="G645" i="1"/>
  <c r="J645" i="1" s="1"/>
  <c r="H645" i="1"/>
  <c r="G161" i="1"/>
  <c r="L419" i="1"/>
  <c r="H540" i="1"/>
  <c r="J37" i="1"/>
  <c r="G36" i="2" s="1"/>
  <c r="E104" i="2"/>
  <c r="E13" i="13"/>
  <c r="C13" i="13" s="1"/>
  <c r="D15" i="13"/>
  <c r="C15" i="13" s="1"/>
  <c r="L207" i="1"/>
  <c r="C101" i="2" s="1"/>
  <c r="C107" i="2" s="1"/>
  <c r="L227" i="1"/>
  <c r="C103" i="2" s="1"/>
  <c r="K239" i="1"/>
  <c r="G5" i="13"/>
  <c r="A40" i="12"/>
  <c r="A31" i="12"/>
  <c r="G653" i="1"/>
  <c r="L519" i="1"/>
  <c r="G542" i="1"/>
  <c r="B153" i="2"/>
  <c r="B148" i="2"/>
  <c r="L374" i="1"/>
  <c r="G626" i="1" s="1"/>
  <c r="E106" i="2"/>
  <c r="C24" i="10"/>
  <c r="E111" i="2"/>
  <c r="L301" i="1"/>
  <c r="E102" i="2"/>
  <c r="C12" i="10"/>
  <c r="D7" i="13"/>
  <c r="C7" i="13"/>
  <c r="C16" i="10"/>
  <c r="C111" i="2"/>
  <c r="G44" i="1"/>
  <c r="H608" i="1" s="1"/>
  <c r="J608" i="1" s="1"/>
  <c r="L561" i="1" l="1"/>
  <c r="I44" i="1"/>
  <c r="H610" i="1" s="1"/>
  <c r="J610" i="1" s="1"/>
  <c r="G615" i="1"/>
  <c r="I185" i="1"/>
  <c r="C54" i="2"/>
  <c r="C55" i="2" s="1"/>
  <c r="C96" i="2" s="1"/>
  <c r="H539" i="1"/>
  <c r="H542" i="1" s="1"/>
  <c r="L524" i="1"/>
  <c r="J263" i="1"/>
  <c r="E120" i="2"/>
  <c r="G156" i="2"/>
  <c r="G19" i="2"/>
  <c r="H185" i="1"/>
  <c r="L239" i="1"/>
  <c r="H650" i="1" s="1"/>
  <c r="D5" i="13"/>
  <c r="I651" i="1"/>
  <c r="G153" i="2"/>
  <c r="G636" i="1"/>
  <c r="G621" i="1"/>
  <c r="J621" i="1" s="1"/>
  <c r="C27" i="10"/>
  <c r="G462" i="1"/>
  <c r="G625" i="1"/>
  <c r="G42" i="2"/>
  <c r="C39" i="10"/>
  <c r="J641" i="1"/>
  <c r="L282" i="1"/>
  <c r="E101" i="2"/>
  <c r="E107" i="2" s="1"/>
  <c r="D73" i="2"/>
  <c r="F33" i="13"/>
  <c r="E42" i="2"/>
  <c r="E43" i="2" s="1"/>
  <c r="G104" i="1"/>
  <c r="G185" i="1" s="1"/>
  <c r="C42" i="2"/>
  <c r="C43" i="2" s="1"/>
  <c r="G31" i="13"/>
  <c r="K330" i="1"/>
  <c r="D14" i="13"/>
  <c r="C14" i="13" s="1"/>
  <c r="C115" i="2"/>
  <c r="C20" i="10"/>
  <c r="F73" i="2"/>
  <c r="F96" i="2" s="1"/>
  <c r="G37" i="2"/>
  <c r="J43" i="1"/>
  <c r="G22" i="2"/>
  <c r="G32" i="2" s="1"/>
  <c r="J33" i="1"/>
  <c r="F104" i="1"/>
  <c r="F185" i="1" s="1"/>
  <c r="C130" i="2"/>
  <c r="C133" i="2" s="1"/>
  <c r="L400" i="1"/>
  <c r="L203" i="1"/>
  <c r="C15" i="10"/>
  <c r="D6" i="13"/>
  <c r="C6" i="13" s="1"/>
  <c r="C110" i="2"/>
  <c r="D54" i="2"/>
  <c r="D55" i="2" s="1"/>
  <c r="D96" i="2" s="1"/>
  <c r="C38" i="10"/>
  <c r="J330" i="1"/>
  <c r="J344" i="1" s="1"/>
  <c r="K493" i="1"/>
  <c r="I438" i="1"/>
  <c r="G632" i="1" s="1"/>
  <c r="L343" i="1"/>
  <c r="J540" i="1"/>
  <c r="J542" i="1" s="1"/>
  <c r="L513" i="1"/>
  <c r="F541" i="1" s="1"/>
  <c r="K541" i="1" s="1"/>
  <c r="G651" i="1"/>
  <c r="G48" i="2"/>
  <c r="G55" i="2" s="1"/>
  <c r="G96" i="2" s="1"/>
  <c r="L214" i="1"/>
  <c r="B9" i="12"/>
  <c r="A13" i="12" s="1"/>
  <c r="D119" i="2"/>
  <c r="D120" i="2" s="1"/>
  <c r="D137" i="2" s="1"/>
  <c r="H43" i="1"/>
  <c r="G282" i="1"/>
  <c r="G330" i="1" s="1"/>
  <c r="G344" i="1" s="1"/>
  <c r="F239" i="1"/>
  <c r="F249" i="1" s="1"/>
  <c r="F263" i="1" s="1"/>
  <c r="C122" i="2"/>
  <c r="G8" i="13"/>
  <c r="I462" i="1"/>
  <c r="C11" i="10"/>
  <c r="F282" i="1"/>
  <c r="F330" i="1" s="1"/>
  <c r="F344" i="1" s="1"/>
  <c r="K343" i="1"/>
  <c r="L253" i="1"/>
  <c r="D29" i="13"/>
  <c r="C29" i="13" s="1"/>
  <c r="C18" i="10"/>
  <c r="E49" i="2"/>
  <c r="G103" i="1"/>
  <c r="C113" i="2"/>
  <c r="C117" i="2"/>
  <c r="C29" i="10"/>
  <c r="L511" i="1"/>
  <c r="E135" i="2"/>
  <c r="E136" i="2" s="1"/>
  <c r="F40" i="2"/>
  <c r="F42" i="2" s="1"/>
  <c r="F43" i="2" s="1"/>
  <c r="C10" i="10"/>
  <c r="F652" i="1"/>
  <c r="I652" i="1" s="1"/>
  <c r="C21" i="10"/>
  <c r="J19" i="1"/>
  <c r="G611" i="1" s="1"/>
  <c r="C32" i="10"/>
  <c r="F320" i="1"/>
  <c r="L529" i="1"/>
  <c r="C19" i="10"/>
  <c r="C116" i="2"/>
  <c r="F43" i="1"/>
  <c r="H652" i="1"/>
  <c r="H637" i="1"/>
  <c r="J637" i="1" s="1"/>
  <c r="I444" i="1"/>
  <c r="I451" i="1" s="1"/>
  <c r="H632" i="1" s="1"/>
  <c r="E53" i="2"/>
  <c r="C124" i="2" l="1"/>
  <c r="H25" i="13"/>
  <c r="C25" i="10"/>
  <c r="J625" i="1"/>
  <c r="H654" i="1"/>
  <c r="I458" i="1"/>
  <c r="G620" i="1"/>
  <c r="C120" i="2"/>
  <c r="H625" i="1"/>
  <c r="G464" i="1"/>
  <c r="H458" i="1"/>
  <c r="G619" i="1"/>
  <c r="L221" i="1"/>
  <c r="G650" i="1" s="1"/>
  <c r="G654" i="1" s="1"/>
  <c r="C112" i="2"/>
  <c r="G616" i="1"/>
  <c r="J616" i="1" s="1"/>
  <c r="J44" i="1"/>
  <c r="H611" i="1" s="1"/>
  <c r="G612" i="1"/>
  <c r="F44" i="1"/>
  <c r="H607" i="1" s="1"/>
  <c r="J607" i="1" s="1"/>
  <c r="F539" i="1"/>
  <c r="L514" i="1"/>
  <c r="L535" i="1" s="1"/>
  <c r="G614" i="1"/>
  <c r="H44" i="1"/>
  <c r="H609" i="1" s="1"/>
  <c r="J609" i="1" s="1"/>
  <c r="C17" i="10"/>
  <c r="F650" i="1"/>
  <c r="L249" i="1"/>
  <c r="L263" i="1" s="1"/>
  <c r="G43" i="2"/>
  <c r="C36" i="10"/>
  <c r="G627" i="1"/>
  <c r="J627" i="1" s="1"/>
  <c r="H636" i="1"/>
  <c r="J636" i="1" s="1"/>
  <c r="E8" i="13"/>
  <c r="K540" i="1"/>
  <c r="H626" i="1"/>
  <c r="J626" i="1" s="1"/>
  <c r="I464" i="1"/>
  <c r="E137" i="2"/>
  <c r="H638" i="1"/>
  <c r="J638" i="1" s="1"/>
  <c r="G33" i="13"/>
  <c r="F458" i="1"/>
  <c r="G617" i="1"/>
  <c r="L330" i="1"/>
  <c r="L344" i="1" s="1"/>
  <c r="D31" i="13"/>
  <c r="C31" i="13" s="1"/>
  <c r="G458" i="1"/>
  <c r="G618" i="1"/>
  <c r="C136" i="2"/>
  <c r="J632" i="1"/>
  <c r="K344" i="1"/>
  <c r="D33" i="13"/>
  <c r="D36" i="13" s="1"/>
  <c r="C5" i="13"/>
  <c r="J611" i="1"/>
  <c r="E54" i="2"/>
  <c r="E55" i="2" s="1"/>
  <c r="E96" i="2" s="1"/>
  <c r="F542" i="1" l="1"/>
  <c r="K539" i="1"/>
  <c r="K542" i="1" s="1"/>
  <c r="C137" i="2"/>
  <c r="C41" i="10"/>
  <c r="J620" i="1"/>
  <c r="F460" i="1"/>
  <c r="H617" i="1"/>
  <c r="I460" i="1"/>
  <c r="I466" i="1" s="1"/>
  <c r="H615" i="1" s="1"/>
  <c r="J615" i="1" s="1"/>
  <c r="H620" i="1"/>
  <c r="F462" i="1"/>
  <c r="G622" i="1"/>
  <c r="H662" i="1"/>
  <c r="C6" i="10" s="1"/>
  <c r="H657" i="1"/>
  <c r="I650" i="1"/>
  <c r="I654" i="1" s="1"/>
  <c r="F654" i="1"/>
  <c r="H618" i="1"/>
  <c r="G460" i="1"/>
  <c r="G466" i="1" s="1"/>
  <c r="H613" i="1" s="1"/>
  <c r="J613" i="1" s="1"/>
  <c r="C25" i="13"/>
  <c r="H33" i="13"/>
  <c r="D17" i="10"/>
  <c r="C8" i="13"/>
  <c r="E33" i="13"/>
  <c r="D35" i="13" s="1"/>
  <c r="G662" i="1"/>
  <c r="C5" i="10" s="1"/>
  <c r="G657" i="1"/>
  <c r="J618" i="1"/>
  <c r="G623" i="1"/>
  <c r="H462" i="1"/>
  <c r="D25" i="10"/>
  <c r="J617" i="1"/>
  <c r="H619" i="1"/>
  <c r="J619" i="1" s="1"/>
  <c r="H460" i="1"/>
  <c r="C28" i="10"/>
  <c r="H464" i="1" l="1"/>
  <c r="H466" i="1" s="1"/>
  <c r="H614" i="1" s="1"/>
  <c r="J614" i="1" s="1"/>
  <c r="H623" i="1"/>
  <c r="J623" i="1" s="1"/>
  <c r="F662" i="1"/>
  <c r="C4" i="10" s="1"/>
  <c r="F657" i="1"/>
  <c r="I662" i="1"/>
  <c r="C7" i="10" s="1"/>
  <c r="I657" i="1"/>
  <c r="J622" i="1"/>
  <c r="D37" i="10"/>
  <c r="D40" i="10"/>
  <c r="D35" i="10"/>
  <c r="D39" i="10"/>
  <c r="D38" i="10"/>
  <c r="D36" i="10"/>
  <c r="D22" i="10"/>
  <c r="D23" i="10"/>
  <c r="D16" i="10"/>
  <c r="D12" i="10"/>
  <c r="C30" i="10"/>
  <c r="D13" i="10"/>
  <c r="D24" i="10"/>
  <c r="D26" i="10"/>
  <c r="D15" i="10"/>
  <c r="D10" i="10"/>
  <c r="D27" i="10"/>
  <c r="D20" i="10"/>
  <c r="D11" i="10"/>
  <c r="D21" i="10"/>
  <c r="D19" i="10"/>
  <c r="D18" i="10"/>
  <c r="F464" i="1"/>
  <c r="F466" i="1" s="1"/>
  <c r="H612" i="1" s="1"/>
  <c r="H622" i="1"/>
  <c r="J612" i="1" l="1"/>
  <c r="H646" i="1"/>
  <c r="D28" i="10"/>
  <c r="D4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234652A9-C86B-45F2-B06D-C32A02A8B123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5F161069-F9F2-48B0-8930-0A17E76D23E7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D1D3F29C-922E-41F9-AB43-F93DC3CA7E07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15189CF1-523F-4A95-B329-3327BC9CBD99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D7A3D99D-4338-4AA4-AF38-B83B600D9D3F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618336CA-5A91-448F-A826-0ED03934EEE0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FDBB08E9-F2C0-4843-BDFC-D3C0DB863FE3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BF82C804-2116-4F02-BD4A-95E8BF8D86AF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F8709A7B-E271-4053-B6C1-010BBB0C2A9B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350F8DF3-644D-4923-95EF-894689BA8DEB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6D32D3B3-98B1-4ED8-A96A-909F4A6BE362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D9E1AA41-F185-4E4B-8222-18B64633061F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<sst xmlns="http://schemas.openxmlformats.org/spreadsheetml/2006/main" count="3865" uniqueCount="902">
  <si>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</si>
  <si>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</si>
  <si>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</si>
  <si>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</si>
  <si>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</si>
  <si>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</si>
  <si>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</si>
  <si>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</si>
  <si>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</si>
  <si>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</si>
  <si>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</si>
  <si>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</si>
  <si>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</si>
  <si>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</si>
  <si>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</si>
  <si>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</si>
  <si>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</si>
  <si>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</si>
  <si>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</si>
  <si>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</si>
  <si>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</si>
  <si>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</si>
  <si>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</si>
  <si>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</si>
  <si>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</si>
  <si>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</si>
  <si>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</si>
  <si>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</si>
  <si>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</si>
  <si>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</si>
  <si>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</si>
  <si>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</si>
  <si>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</si>
  <si>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</si>
  <si>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</si>
  <si>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</si>
  <si>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</si>
  <si>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</si>
  <si>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</si>
  <si>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</si>
  <si>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</si>
  <si>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</si>
  <si>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</si>
  <si>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</si>
  <si>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</si>
  <si>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</si>
  <si>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</si>
  <si>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</si>
  <si>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</si>
  <si>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</si>
  <si>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</si>
  <si>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</si>
  <si>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</si>
  <si>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</si>
  <si>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</si>
  <si>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</si>
  <si>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</si>
  <si>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</si>
  <si>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</si>
  <si>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</si>
  <si>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</si>
  <si>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</si>
  <si>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</si>
  <si>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</si>
  <si>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</si>
  <si>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</si>
  <si>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</si>
  <si>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</si>
  <si>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</si>
  <si>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</si>
  <si>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</si>
  <si>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</si>
  <si>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</si>
  <si>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</si>
  <si>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</si>
  <si>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</si>
  <si>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</si>
  <si>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</si>
  <si>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</si>
  <si>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</si>
  <si>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</si>
  <si>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</si>
  <si>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</si>
  <si>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</si>
  <si>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</si>
  <si>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</si>
  <si>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</si>
  <si>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</si>
  <si>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</si>
  <si>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</si>
  <si>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</si>
  <si>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</si>
  <si>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</si>
  <si>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</si>
  <si>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</si>
  <si>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</si>
  <si>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</si>
  <si>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</si>
  <si>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</si>
  <si>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</si>
  <si>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</si>
  <si>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</si>
  <si>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</si>
  <si>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</si>
  <si>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</si>
  <si>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</si>
  <si>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</si>
  <si>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</si>
  <si>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</si>
  <si>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</si>
  <si>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</si>
  <si>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</si>
  <si>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</si>
  <si>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</si>
  <si>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</si>
  <si>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</si>
  <si>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</si>
  <si>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</si>
  <si>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</si>
  <si>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</si>
  <si>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</si>
  <si>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</si>
  <si>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</si>
  <si>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</si>
  <si>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</si>
  <si>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</si>
  <si>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</si>
  <si>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</si>
  <si>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</si>
  <si>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</si>
  <si>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</si>
  <si>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</si>
  <si>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</si>
  <si>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</si>
  <si>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</si>
  <si>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</si>
  <si>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</si>
  <si>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</si>
  <si>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</si>
  <si>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</si>
  <si>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</si>
  <si>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</si>
  <si>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</si>
  <si>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</si>
  <si>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</si>
  <si>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</si>
  <si>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</si>
  <si>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</si>
  <si>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</si>
  <si>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</si>
  <si>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</si>
  <si>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</si>
  <si>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</si>
  <si>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</si>
  <si>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</si>
  <si>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</si>
  <si>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</si>
  <si>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</si>
  <si>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</si>
  <si>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</si>
  <si>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</si>
  <si>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</si>
  <si>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</si>
  <si>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</si>
  <si>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</si>
  <si>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</si>
  <si>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</si>
  <si>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</si>
  <si>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</si>
  <si>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</si>
  <si>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</si>
  <si>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</si>
  <si>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</si>
  <si>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</si>
  <si>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</si>
  <si>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</si>
  <si>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</si>
  <si>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</si>
  <si>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</si>
  <si>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</si>
  <si>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</si>
  <si>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</si>
  <si>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</si>
  <si>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</si>
  <si>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</si>
  <si>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</si>
  <si>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</si>
  <si>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</si>
  <si>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</si>
  <si>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</si>
  <si>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</si>
  <si>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</si>
  <si>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</si>
  <si>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</si>
  <si>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</si>
  <si>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</si>
  <si>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</si>
  <si>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</si>
  <si>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</si>
  <si>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</si>
  <si>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</si>
  <si>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</si>
  <si>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</si>
  <si>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</si>
  <si>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</si>
  <si>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</si>
  <si>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</si>
  <si>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</si>
  <si>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</si>
  <si>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</si>
  <si>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</si>
  <si>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</si>
  <si>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</si>
  <si>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</si>
  <si>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</si>
  <si>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</si>
  <si>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</si>
  <si>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</si>
  <si>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</si>
  <si>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</si>
  <si>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</si>
  <si>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</si>
  <si>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</si>
  <si>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</si>
  <si>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</si>
  <si>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</si>
  <si>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</si>
  <si>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</si>
  <si>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</si>
  <si>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</si>
  <si>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</si>
  <si>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</si>
  <si>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</si>
  <si>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</si>
  <si>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</si>
  <si>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</si>
  <si>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</si>
  <si>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</si>
  <si>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</si>
  <si>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</si>
  <si>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</si>
  <si>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</si>
  <si>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</si>
  <si>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</si>
  <si>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</si>
  <si>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</si>
  <si>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</si>
  <si>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</si>
  <si>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</si>
  <si>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</si>
  <si>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</si>
  <si>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</si>
  <si>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</si>
  <si>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</si>
  <si>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</si>
  <si>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</si>
  <si>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</si>
  <si>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</si>
  <si>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</si>
  <si>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</si>
  <si>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</si>
  <si>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</si>
  <si>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</si>
  <si>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</si>
  <si>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</si>
  <si>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</si>
  <si>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</si>
  <si>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</si>
  <si>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</si>
  <si>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</si>
  <si>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</si>
  <si>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</si>
  <si>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</si>
  <si>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</si>
  <si>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</si>
  <si>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</si>
  <si>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</si>
  <si>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</si>
  <si>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</si>
  <si>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</si>
  <si>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</si>
  <si>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</si>
  <si>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</si>
  <si>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</si>
  <si>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</si>
  <si>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</si>
  <si>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</si>
  <si>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</si>
  <si>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</si>
  <si>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</si>
  <si>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</si>
  <si>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</si>
  <si>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</si>
  <si>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</si>
  <si>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</si>
  <si>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</si>
  <si>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</si>
  <si>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</si>
  <si>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</si>
  <si>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</si>
  <si>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</si>
  <si>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</si>
  <si>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</si>
  <si>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</si>
  <si>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</si>
  <si>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</si>
  <si>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</si>
  <si>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</si>
  <si>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</si>
  <si>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</si>
  <si>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</si>
  <si>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</si>
  <si>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</si>
  <si>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</si>
  <si>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</si>
  <si>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</si>
  <si>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</si>
  <si>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</si>
  <si>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</si>
  <si>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</si>
  <si>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</si>
  <si>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</si>
  <si>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</si>
  <si>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</si>
  <si>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</si>
  <si>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</si>
  <si>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</si>
  <si>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</si>
  <si>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</si>
  <si>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</si>
  <si>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</si>
  <si>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</si>
  <si>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</si>
  <si>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</si>
  <si>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</si>
  <si>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</si>
  <si>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</si>
  <si>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</si>
  <si>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</si>
  <si>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</si>
  <si>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</si>
  <si>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</si>
  <si>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</si>
  <si>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</si>
  <si>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</si>
  <si>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</si>
  <si>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</si>
  <si>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</si>
  <si>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</si>
  <si>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</si>
  <si>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</si>
  <si>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</si>
  <si>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</si>
  <si>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</si>
  <si>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</si>
  <si>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</si>
  <si>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</si>
  <si>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</si>
  <si>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</si>
  <si>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</si>
  <si>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</si>
  <si>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</si>
  <si>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</si>
  <si>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</si>
  <si>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</si>
  <si>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</si>
  <si>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</si>
  <si>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</si>
  <si>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</si>
  <si>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</si>
  <si>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</si>
  <si>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</si>
  <si>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</si>
  <si>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</si>
  <si>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</si>
  <si>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</si>
  <si>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</si>
  <si>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</si>
  <si>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</si>
  <si>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</si>
  <si>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</si>
  <si>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</si>
  <si>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</si>
  <si>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</si>
  <si>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</si>
  <si>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</si>
  <si>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</si>
  <si>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</si>
  <si>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</si>
  <si>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</si>
  <si>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</si>
  <si>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</si>
  <si>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</si>
  <si>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</si>
  <si>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</si>
  <si>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</si>
  <si>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</si>
  <si>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</si>
  <si>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</si>
  <si>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</si>
  <si>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</si>
  <si>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</si>
  <si>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</si>
  <si>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</si>
  <si>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</si>
  <si>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</si>
  <si>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</si>
  <si>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</si>
  <si>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</si>
  <si>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</si>
  <si>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</si>
  <si>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</si>
  <si>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</si>
  <si>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</si>
  <si>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</si>
  <si>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</si>
  <si>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</si>
  <si>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</si>
  <si>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</si>
  <si>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</si>
  <si>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</si>
  <si>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</si>
  <si>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</si>
  <si>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</si>
  <si>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</si>
  <si>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</si>
  <si>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</si>
  <si>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</si>
  <si>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</si>
  <si>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</si>
  <si>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</si>
  <si>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</si>
  <si>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</si>
  <si>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</si>
  <si>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</si>
  <si>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</si>
  <si>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</si>
  <si>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</si>
  <si>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</si>
  <si>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</si>
  <si>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</si>
  <si>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</si>
  <si>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</si>
  <si>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</si>
  <si>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</si>
  <si>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</si>
  <si>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</si>
  <si>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</si>
  <si>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</si>
  <si>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</si>
  <si>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</si>
  <si>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</si>
  <si>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</si>
  <si>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</si>
  <si>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</si>
  <si>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</si>
  <si>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</si>
  <si>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</si>
  <si>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</si>
  <si>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</si>
  <si>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</si>
  <si>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</si>
  <si>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</si>
  <si>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</si>
  <si>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</si>
  <si>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</si>
  <si>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</si>
  <si>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</si>
  <si>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</si>
  <si>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</si>
  <si>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</si>
  <si>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</si>
  <si>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</si>
  <si>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</si>
  <si>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</si>
  <si>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</si>
  <si>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</si>
  <si>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</si>
  <si>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</si>
  <si>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</si>
  <si>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</si>
  <si>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</si>
  <si>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</si>
  <si>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</si>
  <si>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</si>
  <si>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</si>
  <si>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</si>
  <si>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</si>
  <si>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</si>
  <si>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</si>
  <si>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</si>
  <si>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</si>
  <si>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</si>
  <si>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</si>
  <si>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</si>
  <si>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</si>
  <si>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</si>
  <si>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</si>
  <si>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</si>
  <si>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</si>
  <si>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</si>
  <si>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</si>
  <si>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</si>
  <si>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</si>
  <si>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</si>
  <si>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</si>
  <si>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</si>
  <si>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</si>
  <si>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</si>
  <si>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</si>
  <si>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</si>
  <si>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</si>
  <si>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</si>
  <si>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</si>
  <si>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</si>
  <si>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</si>
  <si>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</si>
  <si>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</si>
  <si>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</si>
  <si>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</si>
  <si>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</si>
  <si>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</si>
  <si>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</si>
  <si>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</si>
  <si>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</si>
  <si>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</si>
  <si>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</si>
  <si>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</si>
  <si>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</si>
  <si>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</si>
  <si>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</si>
  <si>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</si>
  <si>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</si>
  <si>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</si>
  <si>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</si>
  <si>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</si>
  <si>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</si>
  <si>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</si>
  <si>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</si>
  <si>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</si>
  <si>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</si>
  <si>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</si>
  <si>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</si>
  <si>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</si>
  <si>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</si>
  <si>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</si>
  <si>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</si>
  <si>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</si>
  <si>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</si>
  <si>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</si>
  <si>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</si>
  <si>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</si>
  <si>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</si>
  <si>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</si>
  <si>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</si>
  <si>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</si>
  <si>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</si>
  <si>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</si>
  <si>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</si>
  <si>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</si>
  <si>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</si>
  <si>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</si>
  <si>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</si>
  <si>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</si>
  <si>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</si>
  <si>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</si>
  <si>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</si>
  <si>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</si>
  <si>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</si>
  <si>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</si>
  <si>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</si>
  <si>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</si>
  <si>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</si>
  <si>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</si>
  <si>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</si>
  <si>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</si>
  <si>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</si>
  <si>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</si>
  <si>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</si>
  <si>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</si>
  <si>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</si>
  <si>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</si>
  <si>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</si>
  <si>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</si>
  <si>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</si>
  <si>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</si>
  <si>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</si>
  <si>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</si>
  <si>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</si>
  <si>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</si>
  <si>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</si>
  <si>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</si>
  <si>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</si>
  <si>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</si>
  <si>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</si>
  <si>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</si>
  <si>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</si>
  <si>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</si>
  <si>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</si>
  <si>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</si>
  <si>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</si>
  <si>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</si>
  <si>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</si>
  <si>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</si>
  <si>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</si>
  <si>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</si>
  <si>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</si>
  <si>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</si>
  <si>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</si>
  <si>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</si>
  <si>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</si>
  <si>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</si>
  <si>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</si>
  <si>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</si>
  <si>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</si>
  <si>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</si>
  <si>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</si>
  <si>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</si>
  <si>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</si>
  <si>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</si>
  <si>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</si>
  <si>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</si>
  <si>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</si>
  <si>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</si>
  <si>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</si>
  <si>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</si>
  <si>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</si>
  <si>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</si>
  <si>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</si>
  <si>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</si>
  <si>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</si>
  <si>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</si>
  <si>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</si>
  <si>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</si>
  <si>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</si>
  <si>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</si>
  <si>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</si>
  <si>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</si>
  <si>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</si>
  <si>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</si>
  <si>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</si>
  <si>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</si>
  <si>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</si>
  <si>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</si>
  <si>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</si>
  <si>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</si>
  <si>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</si>
  <si>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</si>
  <si>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</si>
  <si>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</si>
  <si>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</si>
  <si>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</si>
  <si>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</si>
  <si>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</si>
  <si>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</si>
  <si>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</si>
  <si>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</si>
  <si>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</si>
  <si>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</si>
  <si>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</si>
  <si>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</si>
  <si>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</si>
  <si>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</si>
  <si>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</si>
  <si>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</si>
  <si>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</si>
  <si>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</si>
  <si>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</si>
  <si>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</si>
  <si>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</si>
  <si>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</si>
  <si>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</si>
  <si>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</si>
  <si>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</si>
  <si>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</si>
  <si>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</si>
  <si>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</si>
  <si>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</si>
  <si>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</si>
  <si>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</si>
  <si>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</si>
  <si>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</si>
  <si>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</si>
  <si>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</si>
  <si>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</si>
  <si>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</si>
  <si>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</si>
  <si>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</si>
  <si>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</si>
  <si>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</si>
  <si>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</si>
  <si>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</si>
  <si>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</si>
  <si>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</si>
  <si>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</si>
  <si>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</si>
  <si>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</si>
  <si>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</si>
  <si>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</si>
  <si>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</si>
  <si>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</si>
  <si>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</si>
  <si>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</si>
  <si>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</si>
  <si>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</si>
  <si>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</si>
  <si>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</si>
  <si>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</si>
  <si>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</si>
  <si>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</si>
  <si>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</si>
  <si>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</si>
  <si>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</si>
  <si>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</si>
  <si>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</si>
  <si>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</si>
  <si>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</si>
  <si>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</si>
  <si>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</si>
  <si>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</si>
  <si>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</si>
  <si>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</si>
  <si>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</si>
  <si>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</si>
  <si>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</si>
  <si>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</si>
  <si>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</si>
  <si>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</si>
  <si>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</si>
  <si>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</si>
  <si>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</si>
  <si>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</si>
  <si>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</si>
  <si>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</si>
  <si>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</si>
  <si>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</si>
  <si>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</si>
  <si>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</si>
  <si>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</si>
  <si>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</si>
  <si>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</si>
  <si>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</si>
  <si>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</si>
  <si>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</si>
  <si>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</si>
  <si>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</si>
  <si>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</si>
  <si>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</si>
  <si>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</si>
  <si>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</si>
  <si>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</si>
  <si>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</si>
  <si>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</si>
  <si>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</si>
  <si>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</si>
  <si>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</si>
  <si>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</si>
  <si>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</si>
  <si>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</si>
  <si>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</si>
  <si>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</si>
  <si>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</si>
  <si>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</si>
  <si>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</si>
  <si>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</si>
  <si>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</si>
  <si>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</si>
  <si>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</si>
  <si>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</si>
  <si>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</si>
  <si>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</si>
  <si>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</si>
  <si>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</si>
  <si>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</si>
  <si>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</si>
  <si>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</si>
  <si>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</si>
  <si>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</si>
  <si>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</si>
  <si>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</si>
  <si>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</si>
  <si>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</si>
  <si>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</si>
  <si>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</si>
  <si>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</si>
  <si>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</si>
  <si>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</si>
  <si>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</si>
  <si>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</si>
  <si>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</si>
  <si>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</si>
  <si>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</si>
  <si>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</si>
  <si>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</si>
  <si>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</si>
  <si>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</si>
  <si>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</si>
  <si>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</si>
  <si>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</si>
  <si>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</si>
  <si>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</si>
  <si>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</si>
  <si>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</si>
  <si>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</si>
  <si>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</si>
  <si>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</si>
  <si>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</si>
  <si>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</si>
  <si>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</si>
  <si>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</si>
  <si>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</si>
  <si>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</si>
  <si>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</si>
  <si>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</si>
  <si>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</si>
  <si>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</si>
  <si>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</si>
  <si>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</si>
  <si>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</si>
  <si>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</si>
  <si>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</si>
  <si>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</si>
  <si>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</si>
  <si>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</si>
  <si>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</si>
  <si>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</si>
  <si>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</si>
  <si>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</si>
  <si>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</si>
  <si>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</si>
  <si>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</si>
  <si>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</si>
  <si>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</si>
  <si>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</si>
  <si>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</si>
  <si>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</si>
  <si>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</si>
  <si>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</si>
  <si>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</si>
  <si>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</si>
  <si>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</si>
  <si>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</si>
  <si>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</si>
  <si>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</si>
  <si>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</si>
  <si>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</si>
  <si>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</si>
  <si>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</si>
  <si>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</si>
  <si>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</si>
  <si>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</si>
  <si>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</si>
  <si>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</si>
  <si>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</si>
  <si>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</si>
  <si>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</si>
  <si>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</si>
  <si>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</si>
  <si>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</si>
  <si>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</si>
  <si>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</si>
  <si>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</si>
  <si>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</si>
  <si>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</si>
  <si>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</si>
  <si>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</si>
  <si>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</si>
  <si>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</si>
  <si>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</si>
  <si>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</si>
  <si>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</si>
  <si>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</si>
  <si>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</si>
  <si>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</si>
  <si>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</si>
  <si>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</si>
  <si>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</si>
  <si>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</si>
  <si>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</si>
  <si>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</si>
  <si>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</si>
  <si>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</si>
  <si>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</si>
  <si>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</si>
  <si>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</si>
  <si>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</si>
  <si>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</si>
  <si>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</si>
  <si>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</si>
  <si>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</si>
  <si>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</si>
  <si>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</si>
  <si>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</si>
  <si>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</si>
  <si>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$9867-general-pp adj uncollected 2010 receivable</t>
  </si>
  <si>
    <t xml:space="preserve">$6745-general- and $803-all other- pp adj decrease in 2010 payables </t>
  </si>
  <si>
    <t>$3-general-misc / $4607-all other- pp adj capture investment acct missed in audit</t>
  </si>
  <si>
    <t>$24652-deletion in general AND addition in capital-misclassified expense</t>
  </si>
  <si>
    <t>$4-food svc AND all other-misc / $2 cap projects-misc</t>
  </si>
  <si>
    <t>06/10</t>
  </si>
  <si>
    <t>9/26</t>
  </si>
  <si>
    <t>Mascenic Regional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</si>
</sst>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  <font>
      <sz val="8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0" fillId="0" borderId="0" xfId="0" quotePrefix="1" applyBorder="1" applyProtection="1">
      <protection locked="0"/>
    </xf>
    <xf numFmtId="40" fontId="3" fillId="0" borderId="0" xfId="0" quotePrefix="1" applyNumberFormat="1" applyFont="1" applyProtection="1">
      <protection locked="0"/>
    </xf>
    <xf numFmtId="4" fontId="37" fillId="0" borderId="0" xfId="0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3A541-22ED-4D2E-99F2-8B6E89658810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4" t="s">
        <v>901</v>
      </c>
      <c r="B2" s="21">
        <v>342</v>
      </c>
      <c r="C2" s="21">
        <v>0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4" t="s">
        <v>304</v>
      </c>
      <c r="G6" s="224" t="s">
        <v>305</v>
      </c>
      <c r="H6" s="224" t="s">
        <v>306</v>
      </c>
      <c r="I6" s="224" t="s">
        <v>307</v>
      </c>
      <c r="J6" s="224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4"/>
      <c r="G7" s="225"/>
      <c r="H7" s="224" t="s">
        <v>803</v>
      </c>
      <c r="I7" s="225"/>
      <c r="J7" s="225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652409</v>
      </c>
      <c r="G9" s="18">
        <v>25999</v>
      </c>
      <c r="H9" s="18">
        <v>966</v>
      </c>
      <c r="I9" s="18">
        <v>8334950</v>
      </c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>
        <v>6007</v>
      </c>
      <c r="I10" s="18"/>
      <c r="J10" s="67">
        <f>SUM(I432)</f>
        <v>89938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282861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/>
      <c r="H13" s="18"/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14881</v>
      </c>
      <c r="G14" s="18">
        <v>7</v>
      </c>
      <c r="H14" s="18">
        <v>318586</v>
      </c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7553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950151</v>
      </c>
      <c r="G19" s="41">
        <f>SUM(G9:G18)</f>
        <v>33559</v>
      </c>
      <c r="H19" s="41">
        <f>SUM(H9:H18)</f>
        <v>325559</v>
      </c>
      <c r="I19" s="41">
        <f>SUM(I9:I18)</f>
        <v>8334950</v>
      </c>
      <c r="J19" s="41">
        <f>SUM(J9:J18)</f>
        <v>89938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>
        <v>10616</v>
      </c>
      <c r="H23" s="18">
        <v>272187</v>
      </c>
      <c r="I23" s="18">
        <v>58</v>
      </c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154210</v>
      </c>
      <c r="G25" s="18">
        <v>6615</v>
      </c>
      <c r="H25" s="18">
        <v>46575</v>
      </c>
      <c r="I25" s="18">
        <v>26332</v>
      </c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154210</v>
      </c>
      <c r="G33" s="41">
        <f>SUM(G23:G32)</f>
        <v>17231</v>
      </c>
      <c r="H33" s="41">
        <f>SUM(H23:H32)</f>
        <v>318762</v>
      </c>
      <c r="I33" s="41">
        <f>SUM(I23:I32)</f>
        <v>26390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>
        <v>7553</v>
      </c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75000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f>3199+5576</f>
        <v>8775</v>
      </c>
      <c r="H41" s="18">
        <f>32363-32539+15201-8228</f>
        <v>6797</v>
      </c>
      <c r="I41" s="18">
        <f>22704914-14396354</f>
        <v>8308560</v>
      </c>
      <c r="J41" s="13">
        <f>SUM(I449)</f>
        <v>89938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1538342-742401-75000</f>
        <v>720941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795941</v>
      </c>
      <c r="G43" s="41">
        <f>SUM(G35:G42)</f>
        <v>16328</v>
      </c>
      <c r="H43" s="41">
        <f>SUM(H35:H42)</f>
        <v>6797</v>
      </c>
      <c r="I43" s="41">
        <f>SUM(I35:I42)</f>
        <v>8308560</v>
      </c>
      <c r="J43" s="41">
        <f>SUM(J35:J42)</f>
        <v>89938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950151</v>
      </c>
      <c r="G44" s="41">
        <f>G43+G33</f>
        <v>33559</v>
      </c>
      <c r="H44" s="41">
        <f>H43+H33</f>
        <v>325559</v>
      </c>
      <c r="I44" s="41">
        <f>I43+I33</f>
        <v>8334950</v>
      </c>
      <c r="J44" s="41">
        <f>J43+J33</f>
        <v>89938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f>5514429-25999</f>
        <v>5488430</v>
      </c>
      <c r="G49" s="18">
        <v>25999</v>
      </c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5488430</v>
      </c>
      <c r="G52" s="41">
        <f>SUM(G49:G51)</f>
        <v>25999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11250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2050</v>
      </c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123338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7186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f>86196-54949</f>
        <v>31247</v>
      </c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175071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/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4467</v>
      </c>
      <c r="G88" s="18"/>
      <c r="H88" s="18">
        <v>5</v>
      </c>
      <c r="I88" s="18">
        <v>24468</v>
      </c>
      <c r="J88" s="18">
        <v>94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185384+5786+11045</f>
        <v>202215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1050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600</v>
      </c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2072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478</v>
      </c>
      <c r="G102" s="18"/>
      <c r="H102" s="18">
        <f>1000+1000</f>
        <v>2000</v>
      </c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8667</v>
      </c>
      <c r="G103" s="41">
        <f>SUM(G88:G102)</f>
        <v>202215</v>
      </c>
      <c r="H103" s="41">
        <f>SUM(H88:H102)</f>
        <v>2005</v>
      </c>
      <c r="I103" s="41">
        <f>SUM(I88:I102)</f>
        <v>24468</v>
      </c>
      <c r="J103" s="41">
        <f>SUM(J88:J102)</f>
        <v>94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5672168</v>
      </c>
      <c r="G104" s="41">
        <f>G52+G103</f>
        <v>228214</v>
      </c>
      <c r="H104" s="41">
        <f>H52+H71+H86+H103</f>
        <v>2005</v>
      </c>
      <c r="I104" s="41">
        <f>I52+I103</f>
        <v>24468</v>
      </c>
      <c r="J104" s="41">
        <f>J52+J103</f>
        <v>94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5226804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1227168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189575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6643547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0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>
        <v>107102</v>
      </c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>
        <v>124200</v>
      </c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163305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54949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7227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4838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9900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>
        <v>6185</v>
      </c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466683</v>
      </c>
      <c r="G128" s="41">
        <f>SUM(G115:G127)</f>
        <v>4838</v>
      </c>
      <c r="H128" s="41">
        <f>SUM(H115:H127)</f>
        <v>6185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7110230</v>
      </c>
      <c r="G132" s="41">
        <f>G113+SUM(G128:G129)</f>
        <v>4838</v>
      </c>
      <c r="H132" s="41">
        <f>H113+SUM(H128:H131)</f>
        <v>6185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3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213171+68222+9516+2766</f>
        <v>293675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82543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169031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f>252229+81792</f>
        <v>334021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108738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108738</v>
      </c>
      <c r="G154" s="41">
        <f>SUM(G142:G153)</f>
        <v>169031</v>
      </c>
      <c r="H154" s="41">
        <f>SUM(H142:H153)</f>
        <v>710239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108738</v>
      </c>
      <c r="G161" s="41">
        <f>G139+G154+SUM(G155:G160)</f>
        <v>169031</v>
      </c>
      <c r="H161" s="41">
        <f>H139+H154+SUM(H155:H160)</f>
        <v>710239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3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>
        <v>905455</v>
      </c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905455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>
        <v>10133</v>
      </c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10133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915588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13806724</v>
      </c>
      <c r="G185" s="47">
        <f>G104+G132+G161+G184</f>
        <v>402083</v>
      </c>
      <c r="H185" s="47">
        <f>H104+H132+H161+H184</f>
        <v>718429</v>
      </c>
      <c r="I185" s="47">
        <f>I104+I132+I161+I184</f>
        <v>24468</v>
      </c>
      <c r="J185" s="47">
        <f>J104+J132+J184</f>
        <v>94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5" t="s">
        <v>724</v>
      </c>
      <c r="G186" s="175" t="s">
        <v>725</v>
      </c>
      <c r="H186" s="175" t="s">
        <v>726</v>
      </c>
      <c r="I186" s="175" t="s">
        <v>727</v>
      </c>
      <c r="J186" s="175" t="s">
        <v>728</v>
      </c>
      <c r="K186" s="175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1364887</v>
      </c>
      <c r="G189" s="18">
        <v>476129</v>
      </c>
      <c r="H189" s="18">
        <f>4168+971</f>
        <v>5139</v>
      </c>
      <c r="I189" s="18">
        <v>80796</v>
      </c>
      <c r="J189" s="18"/>
      <c r="K189" s="18"/>
      <c r="L189" s="19">
        <f>SUM(F189:K189)</f>
        <v>1926951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297969</v>
      </c>
      <c r="G190" s="18">
        <v>74738</v>
      </c>
      <c r="H190" s="18">
        <v>61474</v>
      </c>
      <c r="I190" s="18">
        <v>2881</v>
      </c>
      <c r="J190" s="18">
        <v>1479</v>
      </c>
      <c r="K190" s="18"/>
      <c r="L190" s="19">
        <f>SUM(F190:K190)</f>
        <v>438541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540</v>
      </c>
      <c r="G192" s="18">
        <v>85</v>
      </c>
      <c r="H192" s="18">
        <v>2000</v>
      </c>
      <c r="I192" s="18"/>
      <c r="J192" s="18"/>
      <c r="K192" s="18"/>
      <c r="L192" s="19">
        <f>SUM(F192:K192)</f>
        <v>2625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238777</v>
      </c>
      <c r="G194" s="18">
        <f>82625+454</f>
        <v>83079</v>
      </c>
      <c r="H194" s="18">
        <f>46337+158</f>
        <v>46495</v>
      </c>
      <c r="I194" s="18">
        <f>4290+367</f>
        <v>4657</v>
      </c>
      <c r="J194" s="18">
        <v>239</v>
      </c>
      <c r="K194" s="18">
        <v>602</v>
      </c>
      <c r="L194" s="19">
        <f t="shared" ref="L194:L200" si="0">SUM(F194:K194)</f>
        <v>373849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58618</v>
      </c>
      <c r="G195" s="18">
        <v>39777</v>
      </c>
      <c r="H195" s="18"/>
      <c r="I195" s="18">
        <v>12372</v>
      </c>
      <c r="J195" s="18"/>
      <c r="K195" s="18">
        <v>35</v>
      </c>
      <c r="L195" s="19">
        <f t="shared" si="0"/>
        <v>110802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3485+93178</f>
        <v>96663</v>
      </c>
      <c r="G196" s="18">
        <f>255+37735</f>
        <v>37990</v>
      </c>
      <c r="H196" s="18">
        <f>16506+20825+4030+603+9027</f>
        <v>50991</v>
      </c>
      <c r="I196" s="18">
        <f>85+1157</f>
        <v>1242</v>
      </c>
      <c r="J196" s="18">
        <v>1687</v>
      </c>
      <c r="K196" s="18">
        <f>7093+1424</f>
        <v>8517</v>
      </c>
      <c r="L196" s="19">
        <f t="shared" si="0"/>
        <v>197090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211143</v>
      </c>
      <c r="G197" s="18">
        <v>77074</v>
      </c>
      <c r="H197" s="18">
        <f>-170+9334</f>
        <v>9164</v>
      </c>
      <c r="I197" s="18">
        <v>4466</v>
      </c>
      <c r="J197" s="18">
        <v>1052</v>
      </c>
      <c r="K197" s="18">
        <v>2440</v>
      </c>
      <c r="L197" s="19">
        <f t="shared" si="0"/>
        <v>305339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45846</v>
      </c>
      <c r="G198" s="18">
        <v>26843</v>
      </c>
      <c r="H198" s="18">
        <v>711</v>
      </c>
      <c r="I198" s="18">
        <v>3101</v>
      </c>
      <c r="J198" s="18">
        <v>1249</v>
      </c>
      <c r="K198" s="18">
        <v>383</v>
      </c>
      <c r="L198" s="19">
        <f t="shared" si="0"/>
        <v>78133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f>145196+341</f>
        <v>145537</v>
      </c>
      <c r="G199" s="18">
        <f>89738+63</f>
        <v>89801</v>
      </c>
      <c r="H199" s="18">
        <f>110644+7689+11634</f>
        <v>129967</v>
      </c>
      <c r="I199" s="18">
        <f>109800+165</f>
        <v>109965</v>
      </c>
      <c r="J199" s="18">
        <v>71801</v>
      </c>
      <c r="K199" s="18"/>
      <c r="L199" s="19">
        <f t="shared" si="0"/>
        <v>547071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278483</v>
      </c>
      <c r="I200" s="18"/>
      <c r="J200" s="18"/>
      <c r="K200" s="18"/>
      <c r="L200" s="19">
        <f t="shared" si="0"/>
        <v>278483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49785</v>
      </c>
      <c r="G201" s="18">
        <v>17617</v>
      </c>
      <c r="H201" s="18">
        <v>2247</v>
      </c>
      <c r="I201" s="18">
        <v>16261</v>
      </c>
      <c r="J201" s="18">
        <v>1550</v>
      </c>
      <c r="K201" s="18">
        <v>13553</v>
      </c>
      <c r="L201" s="19">
        <f>SUM(F201:K201)</f>
        <v>101013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2509765</v>
      </c>
      <c r="G203" s="41">
        <f t="shared" si="1"/>
        <v>923133</v>
      </c>
      <c r="H203" s="41">
        <f t="shared" si="1"/>
        <v>586671</v>
      </c>
      <c r="I203" s="41">
        <f t="shared" si="1"/>
        <v>235741</v>
      </c>
      <c r="J203" s="41">
        <f t="shared" si="1"/>
        <v>79057</v>
      </c>
      <c r="K203" s="41">
        <f t="shared" si="1"/>
        <v>25530</v>
      </c>
      <c r="L203" s="41">
        <f t="shared" si="1"/>
        <v>4359897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5" t="s">
        <v>724</v>
      </c>
      <c r="G204" s="175" t="s">
        <v>725</v>
      </c>
      <c r="H204" s="175" t="s">
        <v>726</v>
      </c>
      <c r="I204" s="175" t="s">
        <v>727</v>
      </c>
      <c r="J204" s="175" t="s">
        <v>728</v>
      </c>
      <c r="K204" s="175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1352483</v>
      </c>
      <c r="G207" s="18">
        <v>568795</v>
      </c>
      <c r="H207" s="18">
        <f>2210+2248</f>
        <v>4458</v>
      </c>
      <c r="I207" s="18">
        <v>32008</v>
      </c>
      <c r="J207" s="18">
        <v>5915</v>
      </c>
      <c r="K207" s="18">
        <v>942</v>
      </c>
      <c r="L207" s="19">
        <f>SUM(F207:K207)</f>
        <v>1964601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341599</v>
      </c>
      <c r="G208" s="18">
        <v>108519</v>
      </c>
      <c r="H208" s="18">
        <f>11+147848</f>
        <v>147859</v>
      </c>
      <c r="I208" s="18">
        <v>1164</v>
      </c>
      <c r="J208" s="18">
        <v>1496</v>
      </c>
      <c r="K208" s="18"/>
      <c r="L208" s="19">
        <f>SUM(F208:K208)</f>
        <v>600637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25108</v>
      </c>
      <c r="G210" s="18">
        <v>3548</v>
      </c>
      <c r="H210" s="18">
        <v>4710</v>
      </c>
      <c r="I210" s="18">
        <v>1760</v>
      </c>
      <c r="J210" s="18">
        <v>1062</v>
      </c>
      <c r="K210" s="18"/>
      <c r="L210" s="19">
        <f>SUM(F210:K210)</f>
        <v>36188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f>160183</f>
        <v>160183</v>
      </c>
      <c r="G212" s="18">
        <f>64908+454</f>
        <v>65362</v>
      </c>
      <c r="H212" s="18">
        <v>16236</v>
      </c>
      <c r="I212" s="18">
        <f>2502+367</f>
        <v>2869</v>
      </c>
      <c r="J212" s="18">
        <v>239</v>
      </c>
      <c r="K212" s="18">
        <v>303</v>
      </c>
      <c r="L212" s="19">
        <f t="shared" ref="L212:L218" si="2">SUM(F212:K212)</f>
        <v>245192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52757</v>
      </c>
      <c r="G213" s="18">
        <v>35774</v>
      </c>
      <c r="H213" s="18"/>
      <c r="I213" s="18">
        <v>7780</v>
      </c>
      <c r="J213" s="18">
        <v>1147</v>
      </c>
      <c r="K213" s="18"/>
      <c r="L213" s="19">
        <f t="shared" si="2"/>
        <v>97458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f>1608+93178</f>
        <v>94786</v>
      </c>
      <c r="G214" s="18">
        <f>128+37735</f>
        <v>37863</v>
      </c>
      <c r="H214" s="18">
        <f>9455+10436+4030+603+9027</f>
        <v>33551</v>
      </c>
      <c r="I214" s="18">
        <f>43+1157</f>
        <v>1200</v>
      </c>
      <c r="J214" s="18">
        <v>1687</v>
      </c>
      <c r="K214" s="18">
        <f>3807+1424</f>
        <v>5231</v>
      </c>
      <c r="L214" s="19">
        <f t="shared" si="2"/>
        <v>174318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199092</v>
      </c>
      <c r="G215" s="18">
        <v>71424</v>
      </c>
      <c r="H215" s="18">
        <f>355+10572</f>
        <v>10927</v>
      </c>
      <c r="I215" s="18">
        <v>804</v>
      </c>
      <c r="J215" s="18">
        <v>1220</v>
      </c>
      <c r="K215" s="18">
        <v>2410</v>
      </c>
      <c r="L215" s="19">
        <f t="shared" si="2"/>
        <v>285877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45846</v>
      </c>
      <c r="G216" s="18">
        <v>26843</v>
      </c>
      <c r="H216" s="18">
        <v>711</v>
      </c>
      <c r="I216" s="18">
        <v>3101</v>
      </c>
      <c r="J216" s="18">
        <v>1249</v>
      </c>
      <c r="K216" s="18">
        <v>383</v>
      </c>
      <c r="L216" s="19">
        <f t="shared" si="2"/>
        <v>78133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f>108006+341</f>
        <v>108347</v>
      </c>
      <c r="G217" s="18">
        <f>75843+63</f>
        <v>75906</v>
      </c>
      <c r="H217" s="18">
        <f>52023+3844+11634</f>
        <v>67501</v>
      </c>
      <c r="I217" s="18">
        <f>94252+165</f>
        <v>94417</v>
      </c>
      <c r="J217" s="18">
        <v>3882</v>
      </c>
      <c r="K217" s="18"/>
      <c r="L217" s="19">
        <f t="shared" si="2"/>
        <v>350053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v>172710</v>
      </c>
      <c r="I218" s="18"/>
      <c r="J218" s="18"/>
      <c r="K218" s="18"/>
      <c r="L218" s="19">
        <f t="shared" si="2"/>
        <v>172710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v>24893</v>
      </c>
      <c r="G219" s="18">
        <v>8513</v>
      </c>
      <c r="H219" s="18">
        <v>1394</v>
      </c>
      <c r="I219" s="18">
        <v>14209</v>
      </c>
      <c r="J219" s="18">
        <v>56182</v>
      </c>
      <c r="K219" s="18">
        <v>10055</v>
      </c>
      <c r="L219" s="19">
        <f>SUM(F219:K219)</f>
        <v>115246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2405094</v>
      </c>
      <c r="G221" s="41">
        <f>SUM(G207:G220)</f>
        <v>1002547</v>
      </c>
      <c r="H221" s="41">
        <f>SUM(H207:H220)</f>
        <v>460057</v>
      </c>
      <c r="I221" s="41">
        <f>SUM(I207:I220)</f>
        <v>159312</v>
      </c>
      <c r="J221" s="41">
        <f>SUM(J207:J220)</f>
        <v>74079</v>
      </c>
      <c r="K221" s="41">
        <f t="shared" si="3"/>
        <v>19324</v>
      </c>
      <c r="L221" s="41">
        <f t="shared" si="3"/>
        <v>4120413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5" t="s">
        <v>724</v>
      </c>
      <c r="G222" s="175" t="s">
        <v>725</v>
      </c>
      <c r="H222" s="175" t="s">
        <v>726</v>
      </c>
      <c r="I222" s="175" t="s">
        <v>727</v>
      </c>
      <c r="J222" s="175" t="s">
        <v>728</v>
      </c>
      <c r="K222" s="175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1439941</v>
      </c>
      <c r="G225" s="18">
        <v>557104</v>
      </c>
      <c r="H225" s="18">
        <f>1342+1163+275</f>
        <v>2780</v>
      </c>
      <c r="I225" s="18">
        <v>81821</v>
      </c>
      <c r="J225" s="18">
        <v>66696</v>
      </c>
      <c r="K225" s="18">
        <v>797</v>
      </c>
      <c r="L225" s="19">
        <f>SUM(F225:K225)</f>
        <v>2149139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220241</v>
      </c>
      <c r="G226" s="18">
        <v>77155</v>
      </c>
      <c r="H226" s="18">
        <f>123+362258</f>
        <v>362381</v>
      </c>
      <c r="I226" s="18">
        <v>2034</v>
      </c>
      <c r="J226" s="18">
        <v>2408</v>
      </c>
      <c r="K226" s="18"/>
      <c r="L226" s="19">
        <f>SUM(F226:K226)</f>
        <v>664219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156253</v>
      </c>
      <c r="G227" s="18">
        <v>35532</v>
      </c>
      <c r="H227" s="18">
        <f>4384+11158</f>
        <v>15542</v>
      </c>
      <c r="I227" s="18">
        <v>14674</v>
      </c>
      <c r="J227" s="18">
        <v>20971</v>
      </c>
      <c r="K227" s="18">
        <v>67</v>
      </c>
      <c r="L227" s="19">
        <f>SUM(F227:K227)</f>
        <v>243039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72943</v>
      </c>
      <c r="G228" s="18">
        <v>8844</v>
      </c>
      <c r="H228" s="18">
        <f>3245+24528</f>
        <v>27773</v>
      </c>
      <c r="I228" s="18">
        <v>5242</v>
      </c>
      <c r="J228" s="18">
        <v>5002</v>
      </c>
      <c r="K228" s="18">
        <v>7398</v>
      </c>
      <c r="L228" s="19">
        <f>SUM(F228:K228)</f>
        <v>127202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f>165653</f>
        <v>165653</v>
      </c>
      <c r="G230" s="18">
        <f>77460+454</f>
        <v>77914</v>
      </c>
      <c r="H230" s="18">
        <f>25246+259+1011</f>
        <v>26516</v>
      </c>
      <c r="I230" s="18">
        <f>2064+367</f>
        <v>2431</v>
      </c>
      <c r="J230" s="18">
        <f>1434+239</f>
        <v>1673</v>
      </c>
      <c r="K230" s="18">
        <v>1058</v>
      </c>
      <c r="L230" s="19">
        <f t="shared" ref="L230:L236" si="4">SUM(F230:K230)</f>
        <v>275245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74958</v>
      </c>
      <c r="G231" s="18">
        <v>44053</v>
      </c>
      <c r="H231" s="18"/>
      <c r="I231" s="18">
        <v>12288</v>
      </c>
      <c r="J231" s="18">
        <v>3079</v>
      </c>
      <c r="K231" s="18"/>
      <c r="L231" s="19">
        <f t="shared" si="4"/>
        <v>134378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f>1608+93178</f>
        <v>94786</v>
      </c>
      <c r="G232" s="18">
        <f>128+37735</f>
        <v>37863</v>
      </c>
      <c r="H232" s="18">
        <f>24910+10425+4030+603+9027</f>
        <v>48995</v>
      </c>
      <c r="I232" s="18">
        <f>43+1157</f>
        <v>1200</v>
      </c>
      <c r="J232" s="18">
        <v>1686</v>
      </c>
      <c r="K232" s="18">
        <f>3809+1424</f>
        <v>5233</v>
      </c>
      <c r="L232" s="19">
        <f t="shared" si="4"/>
        <v>189763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231113</v>
      </c>
      <c r="G233" s="18">
        <v>62818</v>
      </c>
      <c r="H233" s="18">
        <f>6369+9349</f>
        <v>15718</v>
      </c>
      <c r="I233" s="18">
        <v>6906</v>
      </c>
      <c r="J233" s="18">
        <v>2806</v>
      </c>
      <c r="K233" s="18">
        <v>10921</v>
      </c>
      <c r="L233" s="19">
        <f t="shared" si="4"/>
        <v>330282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45846</v>
      </c>
      <c r="G234" s="18">
        <v>26843</v>
      </c>
      <c r="H234" s="18">
        <v>711</v>
      </c>
      <c r="I234" s="18">
        <v>3101</v>
      </c>
      <c r="J234" s="18">
        <v>1249</v>
      </c>
      <c r="K234" s="18">
        <v>383</v>
      </c>
      <c r="L234" s="19">
        <f t="shared" si="4"/>
        <v>78133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f>115519+341</f>
        <v>115860</v>
      </c>
      <c r="G235" s="18">
        <f>65112+63</f>
        <v>65175</v>
      </c>
      <c r="H235" s="18">
        <f>98878+3845+11634</f>
        <v>114357</v>
      </c>
      <c r="I235" s="18">
        <f>129195+165</f>
        <v>129360</v>
      </c>
      <c r="J235" s="18">
        <v>91984</v>
      </c>
      <c r="K235" s="18"/>
      <c r="L235" s="19">
        <f t="shared" si="4"/>
        <v>516736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321018</v>
      </c>
      <c r="I236" s="18"/>
      <c r="J236" s="18"/>
      <c r="K236" s="18"/>
      <c r="L236" s="19">
        <f t="shared" si="4"/>
        <v>321018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v>24892</v>
      </c>
      <c r="G237" s="18">
        <v>8806</v>
      </c>
      <c r="H237" s="18">
        <v>1994</v>
      </c>
      <c r="I237" s="18">
        <v>18841</v>
      </c>
      <c r="J237" s="18">
        <v>67558</v>
      </c>
      <c r="K237" s="18">
        <v>12119</v>
      </c>
      <c r="L237" s="19">
        <f>SUM(F237:K237)</f>
        <v>134210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2642486</v>
      </c>
      <c r="G239" s="41">
        <f t="shared" si="5"/>
        <v>1002107</v>
      </c>
      <c r="H239" s="41">
        <f t="shared" si="5"/>
        <v>937785</v>
      </c>
      <c r="I239" s="41">
        <f t="shared" si="5"/>
        <v>277898</v>
      </c>
      <c r="J239" s="41">
        <f t="shared" si="5"/>
        <v>265112</v>
      </c>
      <c r="K239" s="41">
        <f t="shared" si="5"/>
        <v>37976</v>
      </c>
      <c r="L239" s="41">
        <f t="shared" si="5"/>
        <v>5163364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5" t="s">
        <v>724</v>
      </c>
      <c r="G240" s="175" t="s">
        <v>725</v>
      </c>
      <c r="H240" s="175" t="s">
        <v>726</v>
      </c>
      <c r="I240" s="175" t="s">
        <v>727</v>
      </c>
      <c r="J240" s="175" t="s">
        <v>728</v>
      </c>
      <c r="K240" s="175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7557345</v>
      </c>
      <c r="G249" s="41">
        <f t="shared" si="8"/>
        <v>2927787</v>
      </c>
      <c r="H249" s="41">
        <f t="shared" si="8"/>
        <v>1984513</v>
      </c>
      <c r="I249" s="41">
        <f t="shared" si="8"/>
        <v>672951</v>
      </c>
      <c r="J249" s="41">
        <f t="shared" si="8"/>
        <v>418248</v>
      </c>
      <c r="K249" s="41">
        <f t="shared" si="8"/>
        <v>82830</v>
      </c>
      <c r="L249" s="41">
        <f t="shared" si="8"/>
        <v>13643674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f>452727+226364+226364</f>
        <v>905455</v>
      </c>
      <c r="L253" s="19">
        <f>SUM(F253:K253)</f>
        <v>905455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905455</v>
      </c>
      <c r="L262" s="41">
        <f t="shared" si="9"/>
        <v>905455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7557345</v>
      </c>
      <c r="G263" s="42">
        <f t="shared" si="11"/>
        <v>2927787</v>
      </c>
      <c r="H263" s="42">
        <f t="shared" si="11"/>
        <v>1984513</v>
      </c>
      <c r="I263" s="42">
        <f t="shared" si="11"/>
        <v>672951</v>
      </c>
      <c r="J263" s="42">
        <f t="shared" si="11"/>
        <v>418248</v>
      </c>
      <c r="K263" s="42">
        <f t="shared" si="11"/>
        <v>988285</v>
      </c>
      <c r="L263" s="42">
        <f t="shared" si="11"/>
        <v>14549129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5" t="s">
        <v>724</v>
      </c>
      <c r="G265" s="175" t="s">
        <v>725</v>
      </c>
      <c r="H265" s="175" t="s">
        <v>726</v>
      </c>
      <c r="I265" s="175" t="s">
        <v>727</v>
      </c>
      <c r="J265" s="175" t="s">
        <v>728</v>
      </c>
      <c r="K265" s="175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47290+5737</f>
        <v>53027</v>
      </c>
      <c r="G268" s="18">
        <f>8820+1047</f>
        <v>9867</v>
      </c>
      <c r="H268" s="18">
        <f>2147+500+400</f>
        <v>3047</v>
      </c>
      <c r="I268" s="18">
        <f>50+2433</f>
        <v>2483</v>
      </c>
      <c r="J268" s="18">
        <v>10741</v>
      </c>
      <c r="K268" s="18">
        <f>1272+133</f>
        <v>1405</v>
      </c>
      <c r="L268" s="19">
        <f>SUM(F268:K268)</f>
        <v>80570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>
        <f>2672</f>
        <v>2672</v>
      </c>
      <c r="I269" s="18">
        <f>1490+1821</f>
        <v>3311</v>
      </c>
      <c r="J269" s="18">
        <v>21924</v>
      </c>
      <c r="K269" s="18"/>
      <c r="L269" s="19">
        <f>SUM(F269:K269)</f>
        <v>27907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f>3158+20004</f>
        <v>23162</v>
      </c>
      <c r="G273" s="18">
        <f>511+8031</f>
        <v>8542</v>
      </c>
      <c r="H273" s="18">
        <f>45814+591+235+1000</f>
        <v>47640</v>
      </c>
      <c r="I273" s="18">
        <f>1380+1935+6185</f>
        <v>9500</v>
      </c>
      <c r="J273" s="18"/>
      <c r="K273" s="18"/>
      <c r="L273" s="19">
        <f t="shared" ref="L273:L279" si="12">SUM(F273:K273)</f>
        <v>88844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2784</v>
      </c>
      <c r="G274" s="18">
        <v>5224</v>
      </c>
      <c r="H274" s="18">
        <f>8163+6857</f>
        <v>15020</v>
      </c>
      <c r="I274" s="18">
        <v>1392</v>
      </c>
      <c r="J274" s="18"/>
      <c r="K274" s="18"/>
      <c r="L274" s="19">
        <f t="shared" si="12"/>
        <v>24420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f>12882+501</f>
        <v>13383</v>
      </c>
      <c r="G275" s="18">
        <f>2375+148</f>
        <v>2523</v>
      </c>
      <c r="H275" s="18">
        <v>7779</v>
      </c>
      <c r="I275" s="18">
        <v>487</v>
      </c>
      <c r="J275" s="18">
        <f>2442+280</f>
        <v>2722</v>
      </c>
      <c r="K275" s="18"/>
      <c r="L275" s="19">
        <f t="shared" si="12"/>
        <v>26894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>
        <v>232</v>
      </c>
      <c r="K278" s="18"/>
      <c r="L278" s="19">
        <f t="shared" si="12"/>
        <v>232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>
        <v>196</v>
      </c>
      <c r="I279" s="18"/>
      <c r="J279" s="18"/>
      <c r="K279" s="18"/>
      <c r="L279" s="19">
        <f t="shared" si="12"/>
        <v>196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>
        <v>1497</v>
      </c>
      <c r="J280" s="18"/>
      <c r="K280" s="18"/>
      <c r="L280" s="19">
        <f>SUM(F280:K280)</f>
        <v>1497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92356</v>
      </c>
      <c r="G282" s="42">
        <f t="shared" si="13"/>
        <v>26156</v>
      </c>
      <c r="H282" s="42">
        <f t="shared" si="13"/>
        <v>76354</v>
      </c>
      <c r="I282" s="42">
        <f t="shared" si="13"/>
        <v>18670</v>
      </c>
      <c r="J282" s="42">
        <f t="shared" si="13"/>
        <v>35619</v>
      </c>
      <c r="K282" s="42">
        <f t="shared" si="13"/>
        <v>1405</v>
      </c>
      <c r="L282" s="41">
        <f t="shared" si="13"/>
        <v>250560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5" t="s">
        <v>724</v>
      </c>
      <c r="G284" s="175" t="s">
        <v>725</v>
      </c>
      <c r="H284" s="175" t="s">
        <v>726</v>
      </c>
      <c r="I284" s="175" t="s">
        <v>727</v>
      </c>
      <c r="J284" s="175" t="s">
        <v>728</v>
      </c>
      <c r="K284" s="175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f>53027+5579+2425</f>
        <v>61031</v>
      </c>
      <c r="G287" s="18">
        <f>9867+825+356</f>
        <v>11048</v>
      </c>
      <c r="H287" s="18">
        <v>3047</v>
      </c>
      <c r="I287" s="18">
        <v>2483</v>
      </c>
      <c r="J287" s="18">
        <v>10741</v>
      </c>
      <c r="K287" s="18">
        <v>1405</v>
      </c>
      <c r="L287" s="19">
        <f>SUM(F287:K287)</f>
        <v>89755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>
        <v>2672</v>
      </c>
      <c r="I288" s="18">
        <v>1490</v>
      </c>
      <c r="J288" s="18">
        <v>21924</v>
      </c>
      <c r="K288" s="18"/>
      <c r="L288" s="19">
        <f>SUM(F288:K288)</f>
        <v>26086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v>23162</v>
      </c>
      <c r="G292" s="18">
        <v>8542</v>
      </c>
      <c r="H292" s="18">
        <v>46405</v>
      </c>
      <c r="I292" s="18">
        <v>3315</v>
      </c>
      <c r="J292" s="18"/>
      <c r="K292" s="18"/>
      <c r="L292" s="19">
        <f t="shared" ref="L292:L298" si="14">SUM(F292:K292)</f>
        <v>81424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2784</v>
      </c>
      <c r="G293" s="18">
        <v>5224</v>
      </c>
      <c r="H293" s="18">
        <v>15020</v>
      </c>
      <c r="I293" s="18">
        <v>1392</v>
      </c>
      <c r="J293" s="18"/>
      <c r="K293" s="18"/>
      <c r="L293" s="19">
        <f t="shared" si="14"/>
        <v>24420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>
        <v>13383</v>
      </c>
      <c r="G294" s="18">
        <v>2523</v>
      </c>
      <c r="H294" s="18">
        <v>7779</v>
      </c>
      <c r="I294" s="18">
        <v>487</v>
      </c>
      <c r="J294" s="18">
        <v>2722</v>
      </c>
      <c r="K294" s="18"/>
      <c r="L294" s="19">
        <f t="shared" si="14"/>
        <v>26894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>
        <v>232</v>
      </c>
      <c r="K297" s="18"/>
      <c r="L297" s="19">
        <f t="shared" si="14"/>
        <v>232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>
        <f>196+5520</f>
        <v>5716</v>
      </c>
      <c r="I298" s="18"/>
      <c r="J298" s="18"/>
      <c r="K298" s="18"/>
      <c r="L298" s="19">
        <f t="shared" si="14"/>
        <v>5716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100360</v>
      </c>
      <c r="G301" s="42">
        <f t="shared" si="15"/>
        <v>27337</v>
      </c>
      <c r="H301" s="42">
        <f t="shared" si="15"/>
        <v>80639</v>
      </c>
      <c r="I301" s="42">
        <f t="shared" si="15"/>
        <v>9167</v>
      </c>
      <c r="J301" s="42">
        <f t="shared" si="15"/>
        <v>35619</v>
      </c>
      <c r="K301" s="42">
        <f t="shared" si="15"/>
        <v>1405</v>
      </c>
      <c r="L301" s="41">
        <f t="shared" si="15"/>
        <v>254527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5" t="s">
        <v>724</v>
      </c>
      <c r="G303" s="175" t="s">
        <v>725</v>
      </c>
      <c r="H303" s="175" t="s">
        <v>726</v>
      </c>
      <c r="I303" s="175" t="s">
        <v>727</v>
      </c>
      <c r="J303" s="175" t="s">
        <v>728</v>
      </c>
      <c r="K303" s="175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f>47290+2328</f>
        <v>49618</v>
      </c>
      <c r="G306" s="18">
        <f>8820+341</f>
        <v>9161</v>
      </c>
      <c r="H306" s="18">
        <v>3047</v>
      </c>
      <c r="I306" s="18">
        <f>2483+96</f>
        <v>2579</v>
      </c>
      <c r="J306" s="18">
        <v>10741</v>
      </c>
      <c r="K306" s="18">
        <v>1272</v>
      </c>
      <c r="L306" s="19">
        <f>SUM(F306:K306)</f>
        <v>76418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>
        <v>2672</v>
      </c>
      <c r="I307" s="18">
        <v>1490</v>
      </c>
      <c r="J307" s="18">
        <v>21924</v>
      </c>
      <c r="K307" s="18"/>
      <c r="L307" s="19">
        <f>SUM(F307:K307)</f>
        <v>26086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>
        <v>367</v>
      </c>
      <c r="I308" s="18">
        <v>1403</v>
      </c>
      <c r="J308" s="18">
        <v>7348</v>
      </c>
      <c r="K308" s="18">
        <v>114</v>
      </c>
      <c r="L308" s="19">
        <f>SUM(F308:K308)</f>
        <v>9232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23162</v>
      </c>
      <c r="G311" s="18">
        <v>8542</v>
      </c>
      <c r="H311" s="18">
        <v>46405</v>
      </c>
      <c r="I311" s="18">
        <v>3315</v>
      </c>
      <c r="J311" s="18"/>
      <c r="K311" s="18"/>
      <c r="L311" s="19">
        <f t="shared" ref="L311:L317" si="16">SUM(F311:K311)</f>
        <v>81424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2784</v>
      </c>
      <c r="G312" s="18">
        <v>5224</v>
      </c>
      <c r="H312" s="18">
        <v>15020</v>
      </c>
      <c r="I312" s="18">
        <v>1392</v>
      </c>
      <c r="J312" s="18"/>
      <c r="K312" s="18"/>
      <c r="L312" s="19">
        <f t="shared" si="16"/>
        <v>24420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>
        <v>12882</v>
      </c>
      <c r="G313" s="18">
        <v>2375</v>
      </c>
      <c r="H313" s="18">
        <v>7779</v>
      </c>
      <c r="I313" s="18">
        <v>487</v>
      </c>
      <c r="J313" s="18">
        <v>2442</v>
      </c>
      <c r="K313" s="18"/>
      <c r="L313" s="19">
        <f t="shared" si="16"/>
        <v>25965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>
        <v>232</v>
      </c>
      <c r="K316" s="18"/>
      <c r="L316" s="19">
        <f t="shared" si="16"/>
        <v>232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>
        <v>196</v>
      </c>
      <c r="I317" s="18"/>
      <c r="J317" s="18"/>
      <c r="K317" s="18"/>
      <c r="L317" s="19">
        <f t="shared" si="16"/>
        <v>196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88446</v>
      </c>
      <c r="G320" s="42">
        <f t="shared" si="17"/>
        <v>25302</v>
      </c>
      <c r="H320" s="42">
        <f t="shared" si="17"/>
        <v>75486</v>
      </c>
      <c r="I320" s="42">
        <f t="shared" si="17"/>
        <v>10666</v>
      </c>
      <c r="J320" s="42">
        <f t="shared" si="17"/>
        <v>42687</v>
      </c>
      <c r="K320" s="42">
        <f t="shared" si="17"/>
        <v>1386</v>
      </c>
      <c r="L320" s="41">
        <f t="shared" si="17"/>
        <v>243973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5" t="s">
        <v>724</v>
      </c>
      <c r="G322" s="175" t="s">
        <v>725</v>
      </c>
      <c r="H322" s="175" t="s">
        <v>726</v>
      </c>
      <c r="I322" s="175" t="s">
        <v>727</v>
      </c>
      <c r="J322" s="175" t="s">
        <v>728</v>
      </c>
      <c r="K322" s="175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281162</v>
      </c>
      <c r="G330" s="41">
        <f t="shared" si="20"/>
        <v>78795</v>
      </c>
      <c r="H330" s="41">
        <f t="shared" si="20"/>
        <v>232479</v>
      </c>
      <c r="I330" s="41">
        <f t="shared" si="20"/>
        <v>38503</v>
      </c>
      <c r="J330" s="41">
        <f t="shared" si="20"/>
        <v>113925</v>
      </c>
      <c r="K330" s="41">
        <f t="shared" si="20"/>
        <v>4196</v>
      </c>
      <c r="L330" s="41">
        <f t="shared" si="20"/>
        <v>749060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>
        <f>9916+217</f>
        <v>10133</v>
      </c>
      <c r="L336" s="19">
        <f t="shared" ref="L336:L342" si="21">SUM(F336:K336)</f>
        <v>10133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10133</v>
      </c>
      <c r="L343" s="41">
        <f>SUM(L333:L342)</f>
        <v>10133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281162</v>
      </c>
      <c r="G344" s="41">
        <f>G330</f>
        <v>78795</v>
      </c>
      <c r="H344" s="41">
        <f>H330</f>
        <v>232479</v>
      </c>
      <c r="I344" s="41">
        <f>I330</f>
        <v>38503</v>
      </c>
      <c r="J344" s="41">
        <f>J330</f>
        <v>113925</v>
      </c>
      <c r="K344" s="47">
        <f>K330+K343</f>
        <v>14329</v>
      </c>
      <c r="L344" s="41">
        <f>L330+L343</f>
        <v>759193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5" t="s">
        <v>724</v>
      </c>
      <c r="G346" s="175" t="s">
        <v>725</v>
      </c>
      <c r="H346" s="175" t="s">
        <v>726</v>
      </c>
      <c r="I346" s="175" t="s">
        <v>727</v>
      </c>
      <c r="J346" s="175" t="s">
        <v>728</v>
      </c>
      <c r="K346" s="175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>
        <v>127050</v>
      </c>
      <c r="I350" s="18">
        <v>2102</v>
      </c>
      <c r="J350" s="18">
        <v>3016</v>
      </c>
      <c r="K350" s="18"/>
      <c r="L350" s="13">
        <f>SUM(F350:K350)</f>
        <v>132168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>
        <v>127050</v>
      </c>
      <c r="I351" s="18">
        <v>2102</v>
      </c>
      <c r="J351" s="18">
        <v>3016</v>
      </c>
      <c r="K351" s="18"/>
      <c r="L351" s="19">
        <f>SUM(F351:K351)</f>
        <v>132168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>
        <v>127050</v>
      </c>
      <c r="I352" s="18">
        <v>2102</v>
      </c>
      <c r="J352" s="18">
        <v>3016</v>
      </c>
      <c r="K352" s="18"/>
      <c r="L352" s="19">
        <f>SUM(F352:K352)</f>
        <v>132168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381150</v>
      </c>
      <c r="I354" s="47">
        <f t="shared" si="22"/>
        <v>6306</v>
      </c>
      <c r="J354" s="47">
        <f t="shared" si="22"/>
        <v>9048</v>
      </c>
      <c r="K354" s="47">
        <f t="shared" si="22"/>
        <v>0</v>
      </c>
      <c r="L354" s="47">
        <f t="shared" si="22"/>
        <v>396504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2102</v>
      </c>
      <c r="G360" s="63">
        <v>2102</v>
      </c>
      <c r="H360" s="63">
        <v>2102</v>
      </c>
      <c r="I360" s="56">
        <f>SUM(F360:H360)</f>
        <v>6306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2102</v>
      </c>
      <c r="G361" s="47">
        <f>SUM(G359:G360)</f>
        <v>2102</v>
      </c>
      <c r="H361" s="47">
        <f>SUM(H359:H360)</f>
        <v>2102</v>
      </c>
      <c r="I361" s="47">
        <f>SUM(I359:I360)</f>
        <v>6306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5" t="s">
        <v>724</v>
      </c>
      <c r="G363" s="175" t="s">
        <v>725</v>
      </c>
      <c r="H363" s="175" t="s">
        <v>726</v>
      </c>
      <c r="I363" s="175" t="s">
        <v>727</v>
      </c>
      <c r="J363" s="175" t="s">
        <v>728</v>
      </c>
      <c r="K363" s="175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>
        <v>35000</v>
      </c>
      <c r="G370" s="18">
        <v>5925</v>
      </c>
      <c r="H370" s="18"/>
      <c r="I370" s="18"/>
      <c r="J370" s="18">
        <v>14379897</v>
      </c>
      <c r="K370" s="18"/>
      <c r="L370" s="13">
        <f t="shared" si="23"/>
        <v>14420822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35000</v>
      </c>
      <c r="G374" s="139">
        <f t="shared" ref="G374:L374" si="24">SUM(G366:G373)</f>
        <v>5925</v>
      </c>
      <c r="H374" s="139">
        <f t="shared" si="24"/>
        <v>0</v>
      </c>
      <c r="I374" s="41">
        <f t="shared" si="24"/>
        <v>0</v>
      </c>
      <c r="J374" s="47">
        <f t="shared" si="24"/>
        <v>14379897</v>
      </c>
      <c r="K374" s="47">
        <f t="shared" si="24"/>
        <v>0</v>
      </c>
      <c r="L374" s="47">
        <f t="shared" si="24"/>
        <v>14420822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>
        <v>94</v>
      </c>
      <c r="I384" s="18"/>
      <c r="J384" s="24" t="s">
        <v>312</v>
      </c>
      <c r="K384" s="24" t="s">
        <v>312</v>
      </c>
      <c r="L384" s="56">
        <f t="shared" si="25"/>
        <v>94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94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94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94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94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5" t="s">
        <v>724</v>
      </c>
      <c r="G401" s="175" t="s">
        <v>725</v>
      </c>
      <c r="H401" s="175" t="s">
        <v>726</v>
      </c>
      <c r="I401" s="175" t="s">
        <v>727</v>
      </c>
      <c r="J401" s="175" t="s">
        <v>728</v>
      </c>
      <c r="K401" s="175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89938</v>
      </c>
      <c r="G432" s="18"/>
      <c r="H432" s="18"/>
      <c r="I432" s="56">
        <f t="shared" si="33"/>
        <v>89938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89938</v>
      </c>
      <c r="G438" s="13">
        <f>SUM(G431:G437)</f>
        <v>0</v>
      </c>
      <c r="H438" s="13">
        <f>SUM(H431:H437)</f>
        <v>0</v>
      </c>
      <c r="I438" s="13">
        <f>SUM(I431:I437)</f>
        <v>89938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89938</v>
      </c>
      <c r="G449" s="18"/>
      <c r="H449" s="18"/>
      <c r="I449" s="56">
        <f>SUM(F449:H449)</f>
        <v>89938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89938</v>
      </c>
      <c r="G450" s="83">
        <f>SUM(G446:G449)</f>
        <v>0</v>
      </c>
      <c r="H450" s="83">
        <f>SUM(H446:H449)</f>
        <v>0</v>
      </c>
      <c r="I450" s="83">
        <f>SUM(I446:I449)</f>
        <v>89938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89938</v>
      </c>
      <c r="G451" s="42">
        <f>G444+G450</f>
        <v>0</v>
      </c>
      <c r="H451" s="42">
        <f>H444+H450</f>
        <v>0</v>
      </c>
      <c r="I451" s="42">
        <f>I444+I450</f>
        <v>89938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7" t="s">
        <v>883</v>
      </c>
      <c r="B455" s="105">
        <v>19</v>
      </c>
      <c r="C455" s="111">
        <v>1</v>
      </c>
      <c r="D455" s="2" t="s">
        <v>456</v>
      </c>
      <c r="E455" s="111"/>
      <c r="F455" s="18">
        <v>1566117</v>
      </c>
      <c r="G455" s="18">
        <v>10753</v>
      </c>
      <c r="H455" s="18">
        <v>42155</v>
      </c>
      <c r="I455" s="18">
        <v>22680260</v>
      </c>
      <c r="J455" s="18">
        <v>89844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F185</f>
        <v>13806724</v>
      </c>
      <c r="G458" s="18">
        <f>G185</f>
        <v>402083</v>
      </c>
      <c r="H458" s="18">
        <f>H185</f>
        <v>718429</v>
      </c>
      <c r="I458" s="18">
        <f>I185</f>
        <v>24468</v>
      </c>
      <c r="J458" s="18">
        <v>94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>
        <f>6745+3</f>
        <v>6748</v>
      </c>
      <c r="G459" s="18"/>
      <c r="H459" s="18">
        <f>803+4607</f>
        <v>5410</v>
      </c>
      <c r="I459" s="18">
        <v>24652</v>
      </c>
      <c r="J459" s="18">
        <f>91236-89844</f>
        <v>1392</v>
      </c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13813472</v>
      </c>
      <c r="G460" s="53">
        <f>SUM(G458:G459)</f>
        <v>402083</v>
      </c>
      <c r="H460" s="53">
        <f>SUM(H458:H459)</f>
        <v>723839</v>
      </c>
      <c r="I460" s="53">
        <f>SUM(I458:I459)</f>
        <v>49120</v>
      </c>
      <c r="J460" s="53">
        <f>SUM(J458:J459)</f>
        <v>1486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L263</f>
        <v>14549129</v>
      </c>
      <c r="G462" s="18">
        <f>L354</f>
        <v>396504</v>
      </c>
      <c r="H462" s="18">
        <f>L344</f>
        <v>759193</v>
      </c>
      <c r="I462" s="18">
        <f>L374</f>
        <v>14420822</v>
      </c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>
        <f>24652+9867</f>
        <v>34519</v>
      </c>
      <c r="G463" s="18">
        <v>4</v>
      </c>
      <c r="H463" s="18">
        <v>4</v>
      </c>
      <c r="I463" s="18">
        <v>-2</v>
      </c>
      <c r="J463" s="18">
        <v>1392</v>
      </c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14583648</v>
      </c>
      <c r="G464" s="53">
        <f>SUM(G462:G463)</f>
        <v>396508</v>
      </c>
      <c r="H464" s="53">
        <f>SUM(H462:H463)</f>
        <v>759197</v>
      </c>
      <c r="I464" s="53">
        <f>SUM(I462:I463)</f>
        <v>14420820</v>
      </c>
      <c r="J464" s="53">
        <f>SUM(J462:J463)</f>
        <v>1392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88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795941</v>
      </c>
      <c r="G466" s="53">
        <f>(G455+G460)- G464</f>
        <v>16328</v>
      </c>
      <c r="H466" s="53">
        <f>(H455+H460)- H464</f>
        <v>6797</v>
      </c>
      <c r="I466" s="53">
        <f>(I455+I460)- I464</f>
        <v>8308560</v>
      </c>
      <c r="J466" s="53">
        <f>(J455+J460)- J464</f>
        <v>89938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269" t="s">
        <v>895</v>
      </c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269" t="s">
        <v>896</v>
      </c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270" t="s">
        <v>894</v>
      </c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270" t="s">
        <v>897</v>
      </c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270" t="s">
        <v>898</v>
      </c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89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16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899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900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23623315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5.39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23623315</v>
      </c>
      <c r="G485" s="18"/>
      <c r="H485" s="18"/>
      <c r="I485" s="18"/>
      <c r="J485" s="18"/>
      <c r="K485" s="53">
        <f>SUM(F485:J485)</f>
        <v>23623315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199" t="s">
        <v>656</v>
      </c>
      <c r="B488" s="200">
        <v>20</v>
      </c>
      <c r="C488" s="201">
        <v>9</v>
      </c>
      <c r="D488" s="202" t="s">
        <v>456</v>
      </c>
      <c r="E488" s="201"/>
      <c r="F488" s="203">
        <v>23623315</v>
      </c>
      <c r="G488" s="203"/>
      <c r="H488" s="203"/>
      <c r="I488" s="203"/>
      <c r="J488" s="203"/>
      <c r="K488" s="204">
        <f t="shared" si="34"/>
        <v>23623315</v>
      </c>
      <c r="L488" s="205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10178565</v>
      </c>
      <c r="G489" s="18"/>
      <c r="H489" s="18"/>
      <c r="I489" s="18"/>
      <c r="J489" s="18"/>
      <c r="K489" s="53">
        <f t="shared" si="34"/>
        <v>10178565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4">
        <v>11</v>
      </c>
      <c r="D490" s="39" t="s">
        <v>456</v>
      </c>
      <c r="E490" s="194"/>
      <c r="F490" s="42">
        <f>SUM(F488:F489)</f>
        <v>33801880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33801880</v>
      </c>
      <c r="L490" s="45" t="s">
        <v>312</v>
      </c>
    </row>
    <row r="491" spans="1:12" s="52" customFormat="1" ht="12" customHeight="1" x14ac:dyDescent="0.2">
      <c r="A491" s="199" t="s">
        <v>685</v>
      </c>
      <c r="B491" s="200">
        <v>20</v>
      </c>
      <c r="C491" s="201">
        <v>12</v>
      </c>
      <c r="D491" s="202" t="s">
        <v>456</v>
      </c>
      <c r="E491" s="201"/>
      <c r="F491" s="203">
        <v>1483315</v>
      </c>
      <c r="G491" s="203"/>
      <c r="H491" s="203"/>
      <c r="I491" s="203"/>
      <c r="J491" s="203"/>
      <c r="K491" s="204">
        <f t="shared" si="34"/>
        <v>1483315</v>
      </c>
      <c r="L491" s="205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f>636648+596673</f>
        <v>1233321</v>
      </c>
      <c r="G492" s="18"/>
      <c r="H492" s="18"/>
      <c r="I492" s="18"/>
      <c r="J492" s="18"/>
      <c r="K492" s="53">
        <f t="shared" si="34"/>
        <v>1233321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4">
        <v>14</v>
      </c>
      <c r="D493" s="39" t="s">
        <v>456</v>
      </c>
      <c r="E493" s="194"/>
      <c r="F493" s="42">
        <f>SUM(F491:F492)</f>
        <v>2716636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2716636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5" t="s">
        <v>724</v>
      </c>
      <c r="G508" s="175" t="s">
        <v>725</v>
      </c>
      <c r="H508" s="175" t="s">
        <v>726</v>
      </c>
      <c r="I508" s="175" t="s">
        <v>727</v>
      </c>
      <c r="J508" s="175" t="s">
        <v>728</v>
      </c>
      <c r="K508" s="175" t="s">
        <v>729</v>
      </c>
      <c r="L508" s="106"/>
    </row>
    <row r="509" spans="1:12" s="52" customFormat="1" ht="12" customHeight="1" x14ac:dyDescent="0.2">
      <c r="A509" s="176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295467+388</f>
        <v>295855</v>
      </c>
      <c r="G511" s="18">
        <f>74709+30</f>
        <v>74739</v>
      </c>
      <c r="H511" s="18">
        <f>61474+2672</f>
        <v>64146</v>
      </c>
      <c r="I511" s="18">
        <f>2881+1821+1490</f>
        <v>6192</v>
      </c>
      <c r="J511" s="18">
        <f>1479+9573</f>
        <v>11052</v>
      </c>
      <c r="K511" s="18"/>
      <c r="L511" s="88">
        <f>SUM(F511:K511)</f>
        <v>451984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340368</v>
      </c>
      <c r="G512" s="18">
        <v>108519</v>
      </c>
      <c r="H512" s="18">
        <f>11+147848+2672</f>
        <v>150531</v>
      </c>
      <c r="I512" s="18">
        <f>1164+1490</f>
        <v>2654</v>
      </c>
      <c r="J512" s="18">
        <v>1496</v>
      </c>
      <c r="K512" s="18"/>
      <c r="L512" s="88">
        <f>SUM(F512:K512)</f>
        <v>603568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213081</v>
      </c>
      <c r="G513" s="18">
        <v>77155</v>
      </c>
      <c r="H513" s="18">
        <f>123+362258+2672</f>
        <v>365053</v>
      </c>
      <c r="I513" s="18">
        <f>2034+1490</f>
        <v>3524</v>
      </c>
      <c r="J513" s="18">
        <f>2408+56198</f>
        <v>58606</v>
      </c>
      <c r="K513" s="18"/>
      <c r="L513" s="88">
        <f>SUM(F513:K513)</f>
        <v>717419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4">
        <v>4</v>
      </c>
      <c r="D514" s="195" t="s">
        <v>456</v>
      </c>
      <c r="E514" s="194"/>
      <c r="F514" s="108">
        <f>SUM(F511:F513)</f>
        <v>849304</v>
      </c>
      <c r="G514" s="108">
        <f t="shared" ref="G514:L514" si="35">SUM(G511:G513)</f>
        <v>260413</v>
      </c>
      <c r="H514" s="108">
        <f t="shared" si="35"/>
        <v>579730</v>
      </c>
      <c r="I514" s="108">
        <f t="shared" si="35"/>
        <v>12370</v>
      </c>
      <c r="J514" s="108">
        <f t="shared" si="35"/>
        <v>71154</v>
      </c>
      <c r="K514" s="108">
        <f t="shared" si="35"/>
        <v>0</v>
      </c>
      <c r="L514" s="89">
        <f t="shared" si="35"/>
        <v>1772971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43075+20004</f>
        <v>63079</v>
      </c>
      <c r="G516" s="18">
        <f>17883+454+8031</f>
        <v>26368</v>
      </c>
      <c r="H516" s="18">
        <f>36858+5359+45814+591+1000</f>
        <v>89622</v>
      </c>
      <c r="I516" s="18">
        <v>367</v>
      </c>
      <c r="J516" s="18">
        <v>238</v>
      </c>
      <c r="K516" s="18"/>
      <c r="L516" s="88">
        <f>SUM(F516:K516)</f>
        <v>179674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f>21538+20004</f>
        <v>41542</v>
      </c>
      <c r="G517" s="18">
        <f>8942+454+8031</f>
        <v>17427</v>
      </c>
      <c r="H517" s="18">
        <f>11131+45814+591</f>
        <v>57536</v>
      </c>
      <c r="I517" s="18">
        <v>367</v>
      </c>
      <c r="J517" s="18">
        <v>238</v>
      </c>
      <c r="K517" s="18"/>
      <c r="L517" s="88">
        <f>SUM(F517:K517)</f>
        <v>117110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f>21537+20004</f>
        <v>41541</v>
      </c>
      <c r="G518" s="18">
        <f>8941+454+8031</f>
        <v>17426</v>
      </c>
      <c r="H518" s="18">
        <f>16851+45814+591</f>
        <v>63256</v>
      </c>
      <c r="I518" s="18">
        <v>367</v>
      </c>
      <c r="J518" s="18">
        <v>238</v>
      </c>
      <c r="K518" s="18"/>
      <c r="L518" s="88">
        <f>SUM(F518:K518)</f>
        <v>122828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146162</v>
      </c>
      <c r="G519" s="89">
        <f t="shared" ref="G519:L519" si="36">SUM(G516:G518)</f>
        <v>61221</v>
      </c>
      <c r="H519" s="89">
        <f t="shared" si="36"/>
        <v>210414</v>
      </c>
      <c r="I519" s="89">
        <f t="shared" si="36"/>
        <v>1101</v>
      </c>
      <c r="J519" s="89">
        <f t="shared" si="36"/>
        <v>714</v>
      </c>
      <c r="K519" s="89">
        <f t="shared" si="36"/>
        <v>0</v>
      </c>
      <c r="L519" s="89">
        <f t="shared" si="36"/>
        <v>419612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f>123339/3</f>
        <v>41113</v>
      </c>
      <c r="G521" s="18">
        <v>19336</v>
      </c>
      <c r="H521" s="18">
        <f>4030+280+3690</f>
        <v>8000</v>
      </c>
      <c r="I521" s="18">
        <v>664</v>
      </c>
      <c r="J521" s="18">
        <f>4557/3</f>
        <v>1519</v>
      </c>
      <c r="K521" s="18">
        <f>2226/3</f>
        <v>742</v>
      </c>
      <c r="L521" s="88">
        <f>SUM(F521:K521)</f>
        <v>71374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41113</v>
      </c>
      <c r="G522" s="18">
        <v>19336</v>
      </c>
      <c r="H522" s="18">
        <v>8000</v>
      </c>
      <c r="I522" s="18">
        <v>664</v>
      </c>
      <c r="J522" s="18">
        <v>1519</v>
      </c>
      <c r="K522" s="18">
        <v>742</v>
      </c>
      <c r="L522" s="88">
        <f>SUM(F522:K522)</f>
        <v>71374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41113</v>
      </c>
      <c r="G523" s="18">
        <v>19336</v>
      </c>
      <c r="H523" s="18">
        <v>8000</v>
      </c>
      <c r="I523" s="18">
        <v>664</v>
      </c>
      <c r="J523" s="18">
        <v>1519</v>
      </c>
      <c r="K523" s="18">
        <v>742</v>
      </c>
      <c r="L523" s="88">
        <f>SUM(F523:K523)</f>
        <v>71374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123339</v>
      </c>
      <c r="G524" s="89">
        <f t="shared" ref="G524:L524" si="37">SUM(G521:G523)</f>
        <v>58008</v>
      </c>
      <c r="H524" s="89">
        <f t="shared" si="37"/>
        <v>24000</v>
      </c>
      <c r="I524" s="89">
        <f t="shared" si="37"/>
        <v>1992</v>
      </c>
      <c r="J524" s="89">
        <f t="shared" si="37"/>
        <v>4557</v>
      </c>
      <c r="K524" s="89">
        <f t="shared" si="37"/>
        <v>2226</v>
      </c>
      <c r="L524" s="89">
        <f t="shared" si="37"/>
        <v>214122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3" t="s">
        <v>312</v>
      </c>
      <c r="G525" s="193" t="s">
        <v>312</v>
      </c>
      <c r="H525" s="193" t="s">
        <v>312</v>
      </c>
      <c r="I525" s="193" t="s">
        <v>312</v>
      </c>
      <c r="J525" s="193" t="s">
        <v>312</v>
      </c>
      <c r="K525" s="193" t="s">
        <v>312</v>
      </c>
      <c r="L525" s="193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f>53781+23630</f>
        <v>77411</v>
      </c>
      <c r="I531" s="18"/>
      <c r="J531" s="18"/>
      <c r="K531" s="18"/>
      <c r="L531" s="88">
        <f>SUM(F531:K531)</f>
        <v>77411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62083</v>
      </c>
      <c r="I532" s="18"/>
      <c r="J532" s="18"/>
      <c r="K532" s="18"/>
      <c r="L532" s="88">
        <f>SUM(F532:K532)</f>
        <v>62083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116031</v>
      </c>
      <c r="I533" s="18"/>
      <c r="J533" s="18"/>
      <c r="K533" s="18"/>
      <c r="L533" s="88">
        <f>SUM(F533:K533)</f>
        <v>116031</v>
      </c>
      <c r="M533" s="8"/>
    </row>
    <row r="534" spans="1:13" s="3" customFormat="1" ht="12" customHeight="1" thickTop="1" thickBot="1" x14ac:dyDescent="0.2">
      <c r="A534" s="130" t="s">
        <v>71</v>
      </c>
      <c r="B534" s="190">
        <v>21</v>
      </c>
      <c r="C534" s="190">
        <v>20</v>
      </c>
      <c r="D534" s="191" t="s">
        <v>456</v>
      </c>
      <c r="E534" s="190"/>
      <c r="F534" s="192">
        <f>SUM(F531:F533)</f>
        <v>0</v>
      </c>
      <c r="G534" s="192">
        <f t="shared" ref="G534:L534" si="39">SUM(G531:G533)</f>
        <v>0</v>
      </c>
      <c r="H534" s="192">
        <f t="shared" si="39"/>
        <v>255525</v>
      </c>
      <c r="I534" s="192">
        <f t="shared" si="39"/>
        <v>0</v>
      </c>
      <c r="J534" s="192">
        <f t="shared" si="39"/>
        <v>0</v>
      </c>
      <c r="K534" s="192">
        <f t="shared" si="39"/>
        <v>0</v>
      </c>
      <c r="L534" s="192">
        <f t="shared" si="39"/>
        <v>255525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1118805</v>
      </c>
      <c r="G535" s="89">
        <f t="shared" ref="G535:L535" si="40">G514+G519+G524+G529+G534</f>
        <v>379642</v>
      </c>
      <c r="H535" s="89">
        <f t="shared" si="40"/>
        <v>1069669</v>
      </c>
      <c r="I535" s="89">
        <f t="shared" si="40"/>
        <v>15463</v>
      </c>
      <c r="J535" s="89">
        <f t="shared" si="40"/>
        <v>76425</v>
      </c>
      <c r="K535" s="89">
        <f t="shared" si="40"/>
        <v>2226</v>
      </c>
      <c r="L535" s="89">
        <f t="shared" si="40"/>
        <v>2662230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451984</v>
      </c>
      <c r="G539" s="87">
        <f>L516</f>
        <v>179674</v>
      </c>
      <c r="H539" s="87">
        <f>L521</f>
        <v>71374</v>
      </c>
      <c r="I539" s="87">
        <f>L526</f>
        <v>0</v>
      </c>
      <c r="J539" s="87">
        <f>L531</f>
        <v>77411</v>
      </c>
      <c r="K539" s="87">
        <f>SUM(F539:J539)</f>
        <v>780443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603568</v>
      </c>
      <c r="G540" s="87">
        <f>L517</f>
        <v>117110</v>
      </c>
      <c r="H540" s="87">
        <f>L522</f>
        <v>71374</v>
      </c>
      <c r="I540" s="87">
        <f>L527</f>
        <v>0</v>
      </c>
      <c r="J540" s="87">
        <f>L532</f>
        <v>62083</v>
      </c>
      <c r="K540" s="87">
        <f>SUM(F540:J540)</f>
        <v>854135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717419</v>
      </c>
      <c r="G541" s="87">
        <f>L518</f>
        <v>122828</v>
      </c>
      <c r="H541" s="87">
        <f>L523</f>
        <v>71374</v>
      </c>
      <c r="I541" s="87">
        <f>L528</f>
        <v>0</v>
      </c>
      <c r="J541" s="87">
        <f>L533</f>
        <v>116031</v>
      </c>
      <c r="K541" s="87">
        <f>SUM(F541:J541)</f>
        <v>1027652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1772971</v>
      </c>
      <c r="G542" s="89">
        <f t="shared" si="41"/>
        <v>419612</v>
      </c>
      <c r="H542" s="89">
        <f t="shared" si="41"/>
        <v>214122</v>
      </c>
      <c r="I542" s="89">
        <f t="shared" si="41"/>
        <v>0</v>
      </c>
      <c r="J542" s="89">
        <f t="shared" si="41"/>
        <v>255525</v>
      </c>
      <c r="K542" s="89">
        <f t="shared" si="41"/>
        <v>2662230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5" t="s">
        <v>724</v>
      </c>
      <c r="G544" s="175" t="s">
        <v>725</v>
      </c>
      <c r="H544" s="175" t="s">
        <v>726</v>
      </c>
      <c r="I544" s="175" t="s">
        <v>727</v>
      </c>
      <c r="J544" s="175" t="s">
        <v>728</v>
      </c>
      <c r="K544" s="175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4">
        <v>4</v>
      </c>
      <c r="D550" s="195" t="s">
        <v>456</v>
      </c>
      <c r="E550" s="194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2114</v>
      </c>
      <c r="G552" s="18"/>
      <c r="H552" s="18"/>
      <c r="I552" s="18"/>
      <c r="J552" s="18"/>
      <c r="K552" s="18"/>
      <c r="L552" s="88">
        <f>SUM(F552:K552)</f>
        <v>2114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>
        <v>1231</v>
      </c>
      <c r="G553" s="18"/>
      <c r="H553" s="18"/>
      <c r="I553" s="18"/>
      <c r="J553" s="18"/>
      <c r="K553" s="18"/>
      <c r="L553" s="88">
        <f>SUM(F553:K553)</f>
        <v>1231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v>7159</v>
      </c>
      <c r="G554" s="18"/>
      <c r="H554" s="18"/>
      <c r="I554" s="18"/>
      <c r="J554" s="18"/>
      <c r="K554" s="18"/>
      <c r="L554" s="88">
        <f>SUM(F554:K554)</f>
        <v>7159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5" t="s">
        <v>456</v>
      </c>
      <c r="E555" s="107"/>
      <c r="F555" s="89">
        <f t="shared" ref="F555:L555" si="43">SUM(F552:F554)</f>
        <v>10504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10504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0">
        <v>22</v>
      </c>
      <c r="C560" s="190">
        <v>12</v>
      </c>
      <c r="D560" s="196" t="s">
        <v>456</v>
      </c>
      <c r="E560" s="190"/>
      <c r="F560" s="192">
        <f>SUM(F557:F559)</f>
        <v>0</v>
      </c>
      <c r="G560" s="192">
        <f t="shared" ref="G560:L560" si="44">SUM(G557:G559)</f>
        <v>0</v>
      </c>
      <c r="H560" s="192">
        <f t="shared" si="44"/>
        <v>0</v>
      </c>
      <c r="I560" s="192">
        <f t="shared" si="44"/>
        <v>0</v>
      </c>
      <c r="J560" s="192">
        <f t="shared" si="44"/>
        <v>0</v>
      </c>
      <c r="K560" s="192">
        <f t="shared" si="44"/>
        <v>0</v>
      </c>
      <c r="L560" s="192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10504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10504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>
        <v>108718</v>
      </c>
      <c r="I569" s="87">
        <f t="shared" si="46"/>
        <v>108718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>
        <v>0</v>
      </c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61474</v>
      </c>
      <c r="G572" s="18">
        <v>138337</v>
      </c>
      <c r="H572" s="18">
        <v>263051</v>
      </c>
      <c r="I572" s="87">
        <f t="shared" si="46"/>
        <v>462862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11158</v>
      </c>
      <c r="I574" s="87">
        <f t="shared" si="46"/>
        <v>11158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f>94375+98686+1</f>
        <v>193062</v>
      </c>
      <c r="I581" s="18">
        <f>94375-1</f>
        <v>94374</v>
      </c>
      <c r="J581" s="18">
        <f>94375-1</f>
        <v>94374</v>
      </c>
      <c r="K581" s="104">
        <f t="shared" ref="K581:K587" si="47">SUM(H581:J581)</f>
        <v>381810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f>23630+21438+32343</f>
        <v>77411</v>
      </c>
      <c r="I582" s="18">
        <v>62083</v>
      </c>
      <c r="J582" s="18">
        <v>116032</v>
      </c>
      <c r="K582" s="104">
        <f t="shared" si="47"/>
        <v>255526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60700</v>
      </c>
      <c r="K583" s="104">
        <f t="shared" si="47"/>
        <v>60700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f>7740+270</f>
        <v>8010</v>
      </c>
      <c r="I584" s="18">
        <v>12700</v>
      </c>
      <c r="J584" s="18">
        <v>47084</v>
      </c>
      <c r="K584" s="104">
        <f t="shared" si="47"/>
        <v>67794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>
        <v>3553</v>
      </c>
      <c r="J585" s="18">
        <v>2828</v>
      </c>
      <c r="K585" s="104">
        <f t="shared" si="47"/>
        <v>6381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278483</v>
      </c>
      <c r="I588" s="108">
        <f>SUM(I581:I587)</f>
        <v>172710</v>
      </c>
      <c r="J588" s="108">
        <f>SUM(J581:J587)</f>
        <v>321018</v>
      </c>
      <c r="K588" s="108">
        <f>SUM(K581:K587)</f>
        <v>772211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239+232+33115+9574+2442+10741+2935+42767+187</f>
        <v>102232</v>
      </c>
      <c r="I594" s="18">
        <f>239+232+70904+2442+10741+2935+187</f>
        <v>87680</v>
      </c>
      <c r="J594" s="18">
        <f>239+232+261937+7348+55662+536+2442+10741+2935+187+2</f>
        <v>342261</v>
      </c>
      <c r="K594" s="104">
        <f>SUM(H594:J594)</f>
        <v>532173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102232</v>
      </c>
      <c r="I595" s="108">
        <f>SUM(I592:I594)</f>
        <v>87680</v>
      </c>
      <c r="J595" s="108">
        <f>SUM(J592:J594)</f>
        <v>342261</v>
      </c>
      <c r="K595" s="108">
        <f>SUM(K592:K594)</f>
        <v>532173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5" t="s">
        <v>724</v>
      </c>
      <c r="G599" s="175" t="s">
        <v>725</v>
      </c>
      <c r="H599" s="175" t="s">
        <v>726</v>
      </c>
      <c r="I599" s="175" t="s">
        <v>727</v>
      </c>
      <c r="J599" s="175" t="s">
        <v>728</v>
      </c>
      <c r="K599" s="175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7405</v>
      </c>
      <c r="G602" s="18">
        <f>542+744</f>
        <v>1286</v>
      </c>
      <c r="H602" s="18"/>
      <c r="I602" s="18"/>
      <c r="J602" s="18"/>
      <c r="K602" s="18"/>
      <c r="L602" s="88">
        <f>SUM(F602:K602)</f>
        <v>8691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7405</v>
      </c>
      <c r="G604" s="108">
        <f t="shared" si="48"/>
        <v>1286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8691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950151</v>
      </c>
      <c r="H607" s="109">
        <f>SUM(F44)</f>
        <v>950151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33559</v>
      </c>
      <c r="H608" s="109">
        <f>SUM(G44)</f>
        <v>33559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325559</v>
      </c>
      <c r="H609" s="109">
        <f>SUM(H44)</f>
        <v>325559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8334950</v>
      </c>
      <c r="H610" s="109">
        <f>SUM(I44)</f>
        <v>8334950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89938</v>
      </c>
      <c r="H611" s="109">
        <f>SUM(J44)</f>
        <v>89938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795941</v>
      </c>
      <c r="H612" s="109">
        <f>F466</f>
        <v>795941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16328</v>
      </c>
      <c r="H613" s="109">
        <f>G466</f>
        <v>16328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6797</v>
      </c>
      <c r="H614" s="109">
        <f>H466</f>
        <v>6797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8308560</v>
      </c>
      <c r="H615" s="109">
        <f>I466</f>
        <v>8308560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89938</v>
      </c>
      <c r="H616" s="109">
        <f>J466</f>
        <v>89938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13806724</v>
      </c>
      <c r="H617" s="104">
        <f>SUM(F458)</f>
        <v>13806724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402083</v>
      </c>
      <c r="H618" s="104">
        <f>SUM(G458)</f>
        <v>402083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718429</v>
      </c>
      <c r="H619" s="104">
        <f>SUM(H458)</f>
        <v>718429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24468</v>
      </c>
      <c r="H620" s="104">
        <f>SUM(I458)</f>
        <v>24468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94</v>
      </c>
      <c r="H621" s="104">
        <f>SUM(J458)</f>
        <v>94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14549129</v>
      </c>
      <c r="H622" s="104">
        <f>SUM(F462)</f>
        <v>14549129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759193</v>
      </c>
      <c r="H623" s="104">
        <f>SUM(H462)</f>
        <v>759193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6306</v>
      </c>
      <c r="H624" s="104">
        <f>I361</f>
        <v>6306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396504</v>
      </c>
      <c r="H625" s="104">
        <f>SUM(G462)</f>
        <v>396504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14420822</v>
      </c>
      <c r="H626" s="104">
        <f>SUM(I462)</f>
        <v>14420822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94</v>
      </c>
      <c r="H627" s="164">
        <f>SUM(J458)</f>
        <v>94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89938</v>
      </c>
      <c r="H629" s="104">
        <f>SUM(F451)</f>
        <v>89938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89938</v>
      </c>
      <c r="H632" s="104">
        <f>SUM(I451)</f>
        <v>89938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94</v>
      </c>
      <c r="H634" s="104">
        <f>H400</f>
        <v>94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94</v>
      </c>
      <c r="H636" s="104">
        <f>L400</f>
        <v>94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772211</v>
      </c>
      <c r="H637" s="104">
        <f>L200+L218+L236</f>
        <v>772211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532173</v>
      </c>
      <c r="H638" s="104">
        <f>(J249+J330)-(J247+J328)</f>
        <v>532173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278483</v>
      </c>
      <c r="H639" s="104">
        <f>H588</f>
        <v>278483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172710</v>
      </c>
      <c r="H640" s="104">
        <f>I588</f>
        <v>172710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321018</v>
      </c>
      <c r="H641" s="104">
        <f>J588</f>
        <v>321018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4742625</v>
      </c>
      <c r="G650" s="19">
        <f>(L221+L301+L351)</f>
        <v>4507108</v>
      </c>
      <c r="H650" s="19">
        <f>(L239+L320+L352)</f>
        <v>5539505</v>
      </c>
      <c r="I650" s="19">
        <f>SUM(F650:H650)</f>
        <v>14789238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67405</v>
      </c>
      <c r="G651" s="19">
        <f>(L351/IF(SUM(L350:L352)=0,1,SUM(L350:L352))*(SUM(G89:G102)))</f>
        <v>67405</v>
      </c>
      <c r="H651" s="19">
        <f>(L352/IF(SUM(L350:L352)=0,1,SUM(L350:L352))*(SUM(G89:G102)))</f>
        <v>67405</v>
      </c>
      <c r="I651" s="19">
        <f>SUM(F651:H651)</f>
        <v>202215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278679</v>
      </c>
      <c r="G652" s="19">
        <f>(L218+L298)-(J218+J298)</f>
        <v>178426</v>
      </c>
      <c r="H652" s="19">
        <f>(L236+L317)-(J236+J317)</f>
        <v>321214</v>
      </c>
      <c r="I652" s="19">
        <f>SUM(F652:H652)</f>
        <v>778319</v>
      </c>
      <c r="J652"/>
      <c r="K652" s="13"/>
      <c r="L652" s="13"/>
      <c r="M652" s="9"/>
    </row>
    <row r="653" spans="1:13" s="3" customFormat="1" ht="12" customHeight="1" x14ac:dyDescent="0.15">
      <c r="A653" s="197" t="s">
        <v>142</v>
      </c>
      <c r="B653" s="169"/>
      <c r="C653" s="169"/>
      <c r="D653" s="169"/>
      <c r="E653" s="169"/>
      <c r="F653" s="198">
        <f>SUM(F565:F577)+SUM(H592:H594)+SUM(L601)</f>
        <v>163706</v>
      </c>
      <c r="G653" s="198">
        <f>SUM(G565:G577)+SUM(I592:I594)+L602</f>
        <v>234708</v>
      </c>
      <c r="H653" s="198">
        <f>SUM(H565:H577)+SUM(J592:J594)+L603</f>
        <v>725188</v>
      </c>
      <c r="I653" s="19">
        <f>SUM(F653:H653)</f>
        <v>1123602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4232835</v>
      </c>
      <c r="G654" s="19">
        <f>G650-SUM(G651:G653)</f>
        <v>4026569</v>
      </c>
      <c r="H654" s="19">
        <f>H650-SUM(H651:H653)</f>
        <v>4425698</v>
      </c>
      <c r="I654" s="19">
        <f>I650-SUM(I651:I653)</f>
        <v>12685102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6">
        <v>410.08</v>
      </c>
      <c r="G655" s="247">
        <v>354.41</v>
      </c>
      <c r="H655" s="247">
        <v>396.55</v>
      </c>
      <c r="I655" s="19">
        <f>SUM(F655:H655)</f>
        <v>1161.04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10321.969999999999</v>
      </c>
      <c r="G657" s="19">
        <f>ROUND(G654/G655,2)</f>
        <v>11361.33</v>
      </c>
      <c r="H657" s="19">
        <f>ROUND(H654/H655,2)</f>
        <v>11160.5</v>
      </c>
      <c r="I657" s="19">
        <f>ROUND(I654/I655,2)</f>
        <v>10925.64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6.71</v>
      </c>
      <c r="I660" s="19">
        <f>SUM(F660:H660)</f>
        <v>6.71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10321.969999999999</v>
      </c>
      <c r="G662" s="19">
        <f>ROUND((G654+G659)/(G655+G660),2)</f>
        <v>11361.33</v>
      </c>
      <c r="H662" s="19">
        <f>ROUND((H654+H659)/(H655+H660),2)</f>
        <v>10974.8</v>
      </c>
      <c r="I662" s="19">
        <f>ROUND((I654+I659)/(I655+I660),2)</f>
        <v>10862.86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11744-356C-47E8-913D-A8351AAA3398}">
  <sheetPr>
    <tabColor indexed="20"/>
  </sheetPr>
  <dimension ref="A1:C52"/>
  <sheetViews>
    <sheetView workbookViewId="0">
      <selection activeCell="I13" sqref="I13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2" t="s">
        <v>816</v>
      </c>
      <c r="B1" s="231" t="str">
        <f>'DOE25'!A2</f>
        <v>Mascenic Regional SD</v>
      </c>
      <c r="C1" s="237" t="s">
        <v>870</v>
      </c>
    </row>
    <row r="2" spans="1:3" x14ac:dyDescent="0.2">
      <c r="A2" s="232"/>
      <c r="B2" s="231"/>
    </row>
    <row r="3" spans="1:3" x14ac:dyDescent="0.2">
      <c r="A3" s="275" t="s">
        <v>815</v>
      </c>
      <c r="B3" s="275"/>
      <c r="C3" s="275"/>
    </row>
    <row r="4" spans="1:3" x14ac:dyDescent="0.2">
      <c r="A4" s="235"/>
      <c r="B4" s="236" t="str">
        <f>'DOE25'!H1</f>
        <v>DOE 25  2010-2011</v>
      </c>
      <c r="C4" s="235"/>
    </row>
    <row r="5" spans="1:3" x14ac:dyDescent="0.2">
      <c r="A5" s="232"/>
      <c r="B5" s="231"/>
    </row>
    <row r="6" spans="1:3" x14ac:dyDescent="0.2">
      <c r="A6" s="226"/>
      <c r="B6" s="274" t="s">
        <v>814</v>
      </c>
      <c r="C6" s="274"/>
    </row>
    <row r="7" spans="1:3" x14ac:dyDescent="0.2">
      <c r="A7" s="238" t="s">
        <v>817</v>
      </c>
      <c r="B7" s="272" t="s">
        <v>813</v>
      </c>
      <c r="C7" s="273"/>
    </row>
    <row r="8" spans="1:3" x14ac:dyDescent="0.2">
      <c r="B8" s="227" t="s">
        <v>54</v>
      </c>
      <c r="C8" s="227" t="s">
        <v>807</v>
      </c>
    </row>
    <row r="9" spans="1:3" x14ac:dyDescent="0.2">
      <c r="A9" s="33" t="s">
        <v>808</v>
      </c>
      <c r="B9" s="228">
        <f>'DOE25'!F189+'DOE25'!F207+'DOE25'!F225+'DOE25'!F268+'DOE25'!F287+'DOE25'!F306</f>
        <v>4320987</v>
      </c>
      <c r="C9" s="228">
        <f>'DOE25'!G189+'DOE25'!G207+'DOE25'!G225+'DOE25'!G268+'DOE25'!G287+'DOE25'!G306</f>
        <v>1632104</v>
      </c>
    </row>
    <row r="10" spans="1:3" x14ac:dyDescent="0.2">
      <c r="A10" t="s">
        <v>810</v>
      </c>
      <c r="B10" s="239">
        <f>3885545+147114+1</f>
        <v>4032660</v>
      </c>
      <c r="C10" s="239">
        <f>1569791+1526+153</f>
        <v>1571470</v>
      </c>
    </row>
    <row r="11" spans="1:3" x14ac:dyDescent="0.2">
      <c r="A11" t="s">
        <v>811</v>
      </c>
      <c r="B11" s="239">
        <f>109090+5430</f>
        <v>114520</v>
      </c>
      <c r="C11" s="239">
        <f>16810+415</f>
        <v>17225</v>
      </c>
    </row>
    <row r="12" spans="1:3" x14ac:dyDescent="0.2">
      <c r="A12" t="s">
        <v>812</v>
      </c>
      <c r="B12" s="239">
        <f>162675+11132</f>
        <v>173807</v>
      </c>
      <c r="C12" s="239">
        <f>15428+27983-2</f>
        <v>43409</v>
      </c>
    </row>
    <row r="13" spans="1:3" x14ac:dyDescent="0.2">
      <c r="A13" t="str">
        <f>IF(B9=B13,IF(C9=C13,"Check Total OK","Check Total Error"),"Check Total Error")</f>
        <v>Check Total OK</v>
      </c>
      <c r="B13" s="230">
        <f>SUM(B10:B12)</f>
        <v>4320987</v>
      </c>
      <c r="C13" s="230">
        <f>SUM(C10:C12)</f>
        <v>1632104</v>
      </c>
    </row>
    <row r="14" spans="1:3" x14ac:dyDescent="0.2">
      <c r="B14" s="229"/>
      <c r="C14" s="229"/>
    </row>
    <row r="15" spans="1:3" x14ac:dyDescent="0.2">
      <c r="B15" s="274" t="s">
        <v>814</v>
      </c>
      <c r="C15" s="274"/>
    </row>
    <row r="16" spans="1:3" x14ac:dyDescent="0.2">
      <c r="A16" s="238" t="s">
        <v>818</v>
      </c>
      <c r="B16" s="272" t="s">
        <v>738</v>
      </c>
      <c r="C16" s="273"/>
    </row>
    <row r="17" spans="1:3" x14ac:dyDescent="0.2">
      <c r="B17" s="227" t="s">
        <v>54</v>
      </c>
      <c r="C17" s="227" t="s">
        <v>807</v>
      </c>
    </row>
    <row r="18" spans="1:3" x14ac:dyDescent="0.2">
      <c r="A18" s="33" t="s">
        <v>808</v>
      </c>
      <c r="B18" s="228">
        <f>'DOE25'!F190+'DOE25'!F208+'DOE25'!F226+'DOE25'!F269+'DOE25'!F288+'DOE25'!F307</f>
        <v>859809</v>
      </c>
      <c r="C18" s="228">
        <f>'DOE25'!G190+'DOE25'!G208+'DOE25'!G226+'DOE25'!G269+'DOE25'!G288+'DOE25'!G307</f>
        <v>260412</v>
      </c>
    </row>
    <row r="19" spans="1:3" x14ac:dyDescent="0.2">
      <c r="A19" t="s">
        <v>810</v>
      </c>
      <c r="B19" s="239">
        <v>473195</v>
      </c>
      <c r="C19" s="239">
        <f>181894+22555-1</f>
        <v>204448</v>
      </c>
    </row>
    <row r="20" spans="1:3" x14ac:dyDescent="0.2">
      <c r="A20" t="s">
        <v>811</v>
      </c>
      <c r="B20" s="239">
        <v>367562</v>
      </c>
      <c r="C20" s="239">
        <f>52992+1925</f>
        <v>54917</v>
      </c>
    </row>
    <row r="21" spans="1:3" x14ac:dyDescent="0.2">
      <c r="A21" t="s">
        <v>812</v>
      </c>
      <c r="B21" s="239">
        <v>19052</v>
      </c>
      <c r="C21" s="239">
        <v>1047</v>
      </c>
    </row>
    <row r="22" spans="1:3" x14ac:dyDescent="0.2">
      <c r="A22" t="str">
        <f>IF(B18=B22,IF(C18=C22,"Check Total OK","Check Total Error"),"Check Total Error")</f>
        <v>Check Total OK</v>
      </c>
      <c r="B22" s="230">
        <f>SUM(B19:B21)</f>
        <v>859809</v>
      </c>
      <c r="C22" s="230">
        <f>SUM(C19:C21)</f>
        <v>260412</v>
      </c>
    </row>
    <row r="23" spans="1:3" x14ac:dyDescent="0.2">
      <c r="B23" s="229"/>
      <c r="C23" s="229"/>
    </row>
    <row r="24" spans="1:3" x14ac:dyDescent="0.2">
      <c r="B24" s="274" t="s">
        <v>814</v>
      </c>
      <c r="C24" s="274"/>
    </row>
    <row r="25" spans="1:3" x14ac:dyDescent="0.2">
      <c r="A25" s="238" t="s">
        <v>819</v>
      </c>
      <c r="B25" s="272" t="s">
        <v>739</v>
      </c>
      <c r="C25" s="273"/>
    </row>
    <row r="26" spans="1:3" x14ac:dyDescent="0.2">
      <c r="B26" s="227" t="s">
        <v>54</v>
      </c>
      <c r="C26" s="227" t="s">
        <v>807</v>
      </c>
    </row>
    <row r="27" spans="1:3" x14ac:dyDescent="0.2">
      <c r="A27" s="33" t="s">
        <v>808</v>
      </c>
      <c r="B27" s="233">
        <f>'DOE25'!F191+'DOE25'!F209+'DOE25'!F227+'DOE25'!F270+'DOE25'!F289+'DOE25'!F308</f>
        <v>156253</v>
      </c>
      <c r="C27" s="233">
        <f>'DOE25'!G191+'DOE25'!G209+'DOE25'!G227+'DOE25'!G270+'DOE25'!G289+'DOE25'!G308</f>
        <v>35532</v>
      </c>
    </row>
    <row r="28" spans="1:3" x14ac:dyDescent="0.2">
      <c r="A28" t="s">
        <v>810</v>
      </c>
      <c r="B28" s="239">
        <v>149619</v>
      </c>
      <c r="C28" s="239">
        <v>34665</v>
      </c>
    </row>
    <row r="29" spans="1:3" x14ac:dyDescent="0.2">
      <c r="A29" t="s">
        <v>811</v>
      </c>
      <c r="B29" s="239">
        <v>6634</v>
      </c>
      <c r="C29" s="239">
        <v>867</v>
      </c>
    </row>
    <row r="30" spans="1:3" x14ac:dyDescent="0.2">
      <c r="A30" t="s">
        <v>812</v>
      </c>
      <c r="B30" s="239"/>
      <c r="C30" s="239"/>
    </row>
    <row r="31" spans="1:3" x14ac:dyDescent="0.2">
      <c r="A31" t="str">
        <f>IF(B27=B31,IF(C27=C31,"Check Total OK","Check Total Error"),"Check Total Error")</f>
        <v>Check Total OK</v>
      </c>
      <c r="B31" s="230">
        <f>SUM(B28:B30)</f>
        <v>156253</v>
      </c>
      <c r="C31" s="230">
        <f>SUM(C28:C30)</f>
        <v>35532</v>
      </c>
    </row>
    <row r="33" spans="1:3" x14ac:dyDescent="0.2">
      <c r="B33" s="274" t="s">
        <v>814</v>
      </c>
      <c r="C33" s="274"/>
    </row>
    <row r="34" spans="1:3" x14ac:dyDescent="0.2">
      <c r="A34" s="238" t="s">
        <v>820</v>
      </c>
      <c r="B34" s="272" t="s">
        <v>740</v>
      </c>
      <c r="C34" s="273"/>
    </row>
    <row r="35" spans="1:3" x14ac:dyDescent="0.2">
      <c r="B35" s="227" t="s">
        <v>54</v>
      </c>
      <c r="C35" s="227" t="s">
        <v>807</v>
      </c>
    </row>
    <row r="36" spans="1:3" x14ac:dyDescent="0.2">
      <c r="A36" s="33" t="s">
        <v>808</v>
      </c>
      <c r="B36" s="234">
        <f>'DOE25'!F192+'DOE25'!F210+'DOE25'!F228+'DOE25'!F271+'DOE25'!F290+'DOE25'!F309</f>
        <v>98591</v>
      </c>
      <c r="C36" s="234">
        <f>'DOE25'!G192+'DOE25'!G210+'DOE25'!G228+'DOE25'!G271+'DOE25'!G290+'DOE25'!G309</f>
        <v>12477</v>
      </c>
    </row>
    <row r="37" spans="1:3" x14ac:dyDescent="0.2">
      <c r="A37" t="s">
        <v>810</v>
      </c>
      <c r="B37" s="239"/>
      <c r="C37" s="239"/>
    </row>
    <row r="38" spans="1:3" x14ac:dyDescent="0.2">
      <c r="A38" t="s">
        <v>811</v>
      </c>
      <c r="B38" s="239"/>
      <c r="C38" s="239"/>
    </row>
    <row r="39" spans="1:3" x14ac:dyDescent="0.2">
      <c r="A39" t="s">
        <v>812</v>
      </c>
      <c r="B39" s="239">
        <v>98591</v>
      </c>
      <c r="C39" s="271">
        <f>12476+1</f>
        <v>12477</v>
      </c>
    </row>
    <row r="40" spans="1:3" x14ac:dyDescent="0.2">
      <c r="A40" t="str">
        <f>IF(B36=B40,IF(C36=C40,"Check Total OK","Check Total Error"),"Check Total Error")</f>
        <v>Check Total OK</v>
      </c>
      <c r="B40" s="230">
        <f>SUM(B37:B39)</f>
        <v>98591</v>
      </c>
      <c r="C40" s="230">
        <f>SUM(C37:C39)</f>
        <v>12477</v>
      </c>
    </row>
    <row r="41" spans="1:3" x14ac:dyDescent="0.2">
      <c r="B41" s="229"/>
      <c r="C41" s="229"/>
    </row>
    <row r="42" spans="1:3" x14ac:dyDescent="0.2">
      <c r="A42" s="33" t="s">
        <v>868</v>
      </c>
      <c r="B42" s="229"/>
      <c r="C42" s="229"/>
    </row>
    <row r="43" spans="1:3" x14ac:dyDescent="0.2">
      <c r="A43" t="s">
        <v>872</v>
      </c>
      <c r="B43" s="229"/>
      <c r="C43" s="229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3" t="s">
        <v>809</v>
      </c>
    </row>
    <row r="49" spans="1:1" x14ac:dyDescent="0.2">
      <c r="A49" s="267" t="s">
        <v>875</v>
      </c>
    </row>
    <row r="50" spans="1:1" x14ac:dyDescent="0.2">
      <c r="A50" s="267" t="s">
        <v>869</v>
      </c>
    </row>
    <row r="51" spans="1:1" x14ac:dyDescent="0.2">
      <c r="A51" s="267" t="s">
        <v>876</v>
      </c>
    </row>
    <row r="52" spans="1:1" x14ac:dyDescent="0.2">
      <c r="A52" s="268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95522-C7A8-4810-8316-7CBF04D05965}">
  <sheetPr>
    <tabColor indexed="11"/>
  </sheetPr>
  <dimension ref="A1:I51"/>
  <sheetViews>
    <sheetView workbookViewId="0">
      <pane ySplit="4" topLeftCell="A5" activePane="bottomLeft" state="frozen"/>
      <selection activeCell="I13" sqref="I13"/>
      <selection pane="bottomLeft" activeCell="D9" sqref="D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821</v>
      </c>
      <c r="B1" s="279"/>
      <c r="C1" s="279"/>
      <c r="D1" s="279"/>
      <c r="E1" s="279"/>
      <c r="F1" s="279"/>
      <c r="G1" s="279"/>
      <c r="H1" s="279"/>
      <c r="I1" s="179"/>
    </row>
    <row r="2" spans="1:9" x14ac:dyDescent="0.2">
      <c r="A2" s="33" t="s">
        <v>748</v>
      </c>
      <c r="B2" s="264" t="str">
        <f>'DOE25'!A2</f>
        <v>Mascenic Regional SD</v>
      </c>
      <c r="C2" s="179"/>
      <c r="D2" s="179" t="s">
        <v>823</v>
      </c>
      <c r="E2" s="179" t="s">
        <v>825</v>
      </c>
      <c r="F2" s="276" t="s">
        <v>852</v>
      </c>
      <c r="G2" s="277"/>
      <c r="H2" s="278"/>
      <c r="I2" s="179"/>
    </row>
    <row r="3" spans="1:9" x14ac:dyDescent="0.2">
      <c r="A3" s="179" t="s">
        <v>94</v>
      </c>
      <c r="B3" s="227" t="s">
        <v>10</v>
      </c>
      <c r="C3" s="179" t="s">
        <v>5</v>
      </c>
      <c r="D3" s="179" t="s">
        <v>824</v>
      </c>
      <c r="E3" s="179" t="s">
        <v>826</v>
      </c>
      <c r="F3" s="240" t="s">
        <v>866</v>
      </c>
      <c r="G3" s="216" t="s">
        <v>59</v>
      </c>
      <c r="H3" s="241" t="s">
        <v>829</v>
      </c>
    </row>
    <row r="4" spans="1:9" x14ac:dyDescent="0.2">
      <c r="A4" s="250" t="s">
        <v>831</v>
      </c>
      <c r="B4" s="250" t="s">
        <v>847</v>
      </c>
      <c r="C4" s="250" t="s">
        <v>822</v>
      </c>
      <c r="D4" s="250" t="s">
        <v>848</v>
      </c>
      <c r="E4" s="250" t="s">
        <v>848</v>
      </c>
      <c r="F4" s="249" t="s">
        <v>828</v>
      </c>
      <c r="G4" s="250" t="s">
        <v>842</v>
      </c>
      <c r="H4" s="251" t="s">
        <v>830</v>
      </c>
    </row>
    <row r="5" spans="1:9" x14ac:dyDescent="0.2">
      <c r="A5" s="32">
        <v>1000</v>
      </c>
      <c r="B5" t="s">
        <v>218</v>
      </c>
      <c r="C5" s="244">
        <f t="shared" ref="C5:C19" si="0">SUM(D5:H5)</f>
        <v>8153142</v>
      </c>
      <c r="D5" s="20">
        <f>SUM('DOE25'!L189:L192)+SUM('DOE25'!L207:L210)+SUM('DOE25'!L225:L228)-F5-G5</f>
        <v>8038909</v>
      </c>
      <c r="E5" s="242"/>
      <c r="F5" s="254">
        <f>SUM('DOE25'!J189:J192)+SUM('DOE25'!J207:J210)+SUM('DOE25'!J225:J228)</f>
        <v>105029</v>
      </c>
      <c r="G5" s="53">
        <f>SUM('DOE25'!K189:K192)+SUM('DOE25'!K207:K210)+SUM('DOE25'!K225:K228)</f>
        <v>9204</v>
      </c>
      <c r="H5" s="258"/>
    </row>
    <row r="6" spans="1:9" x14ac:dyDescent="0.2">
      <c r="A6" s="32">
        <v>2100</v>
      </c>
      <c r="B6" t="s">
        <v>832</v>
      </c>
      <c r="C6" s="244">
        <f t="shared" si="0"/>
        <v>894286</v>
      </c>
      <c r="D6" s="20">
        <f>'DOE25'!L194+'DOE25'!L212+'DOE25'!L230-F6-G6</f>
        <v>890172</v>
      </c>
      <c r="E6" s="242"/>
      <c r="F6" s="254">
        <f>'DOE25'!J194+'DOE25'!J212+'DOE25'!J230</f>
        <v>2151</v>
      </c>
      <c r="G6" s="53">
        <f>'DOE25'!K194+'DOE25'!K212+'DOE25'!K230</f>
        <v>1963</v>
      </c>
      <c r="H6" s="258"/>
    </row>
    <row r="7" spans="1:9" x14ac:dyDescent="0.2">
      <c r="A7" s="32">
        <v>2200</v>
      </c>
      <c r="B7" t="s">
        <v>865</v>
      </c>
      <c r="C7" s="244">
        <f t="shared" si="0"/>
        <v>342638</v>
      </c>
      <c r="D7" s="20">
        <f>'DOE25'!L195+'DOE25'!L213+'DOE25'!L231-F7-G7</f>
        <v>338377</v>
      </c>
      <c r="E7" s="242"/>
      <c r="F7" s="254">
        <f>'DOE25'!J195+'DOE25'!J213+'DOE25'!J231</f>
        <v>4226</v>
      </c>
      <c r="G7" s="53">
        <f>'DOE25'!K195+'DOE25'!K213+'DOE25'!K231</f>
        <v>35</v>
      </c>
      <c r="H7" s="258"/>
    </row>
    <row r="8" spans="1:9" x14ac:dyDescent="0.2">
      <c r="A8" s="32">
        <v>2300</v>
      </c>
      <c r="B8" t="s">
        <v>833</v>
      </c>
      <c r="C8" s="244">
        <f t="shared" si="0"/>
        <v>214126</v>
      </c>
      <c r="D8" s="242"/>
      <c r="E8" s="20">
        <f>'DOE25'!L196+'DOE25'!L214+'DOE25'!L232-F8-G8-D9-D11</f>
        <v>190085</v>
      </c>
      <c r="F8" s="254">
        <f>'DOE25'!J196+'DOE25'!J214+'DOE25'!J232</f>
        <v>5060</v>
      </c>
      <c r="G8" s="53">
        <f>'DOE25'!K196+'DOE25'!K214+'DOE25'!K232</f>
        <v>18981</v>
      </c>
      <c r="H8" s="258"/>
    </row>
    <row r="9" spans="1:9" x14ac:dyDescent="0.2">
      <c r="A9" s="32">
        <v>2310</v>
      </c>
      <c r="B9" t="s">
        <v>849</v>
      </c>
      <c r="C9" s="244">
        <f t="shared" si="0"/>
        <v>114647</v>
      </c>
      <c r="D9" s="243">
        <v>114647</v>
      </c>
      <c r="E9" s="242"/>
      <c r="F9" s="257"/>
      <c r="G9" s="255"/>
      <c r="H9" s="258"/>
    </row>
    <row r="10" spans="1:9" x14ac:dyDescent="0.2">
      <c r="A10" s="32">
        <v>2317</v>
      </c>
      <c r="B10" t="s">
        <v>850</v>
      </c>
      <c r="C10" s="244">
        <f t="shared" si="0"/>
        <v>9750</v>
      </c>
      <c r="D10" s="242"/>
      <c r="E10" s="243">
        <v>9750</v>
      </c>
      <c r="F10" s="257"/>
      <c r="G10" s="255"/>
      <c r="H10" s="258"/>
    </row>
    <row r="11" spans="1:9" x14ac:dyDescent="0.2">
      <c r="A11" s="32">
        <v>2321</v>
      </c>
      <c r="B11" t="s">
        <v>862</v>
      </c>
      <c r="C11" s="244">
        <f t="shared" si="0"/>
        <v>232398</v>
      </c>
      <c r="D11" s="243">
        <v>232398</v>
      </c>
      <c r="E11" s="242"/>
      <c r="F11" s="257"/>
      <c r="G11" s="255"/>
      <c r="H11" s="258"/>
    </row>
    <row r="12" spans="1:9" x14ac:dyDescent="0.2">
      <c r="A12" s="32">
        <v>2400</v>
      </c>
      <c r="B12" t="s">
        <v>746</v>
      </c>
      <c r="C12" s="244">
        <f t="shared" si="0"/>
        <v>921498</v>
      </c>
      <c r="D12" s="20">
        <f>'DOE25'!L197+'DOE25'!L215+'DOE25'!L233-F12-G12</f>
        <v>900649</v>
      </c>
      <c r="E12" s="242"/>
      <c r="F12" s="254">
        <f>'DOE25'!J197+'DOE25'!J215+'DOE25'!J233</f>
        <v>5078</v>
      </c>
      <c r="G12" s="53">
        <f>'DOE25'!K197+'DOE25'!K215+'DOE25'!K233</f>
        <v>15771</v>
      </c>
      <c r="H12" s="258"/>
    </row>
    <row r="13" spans="1:9" x14ac:dyDescent="0.2">
      <c r="A13" s="32">
        <v>2500</v>
      </c>
      <c r="B13" t="s">
        <v>834</v>
      </c>
      <c r="C13" s="244">
        <f t="shared" si="0"/>
        <v>234399</v>
      </c>
      <c r="D13" s="242"/>
      <c r="E13" s="20">
        <f>'DOE25'!L198+'DOE25'!L216+'DOE25'!L234-F13-G13</f>
        <v>229503</v>
      </c>
      <c r="F13" s="254">
        <f>'DOE25'!J198+'DOE25'!J216+'DOE25'!J234</f>
        <v>3747</v>
      </c>
      <c r="G13" s="53">
        <f>'DOE25'!K198+'DOE25'!K216+'DOE25'!K234</f>
        <v>1149</v>
      </c>
      <c r="H13" s="258"/>
    </row>
    <row r="14" spans="1:9" x14ac:dyDescent="0.2">
      <c r="A14" s="32">
        <v>2600</v>
      </c>
      <c r="B14" t="s">
        <v>863</v>
      </c>
      <c r="C14" s="244">
        <f t="shared" si="0"/>
        <v>1413860</v>
      </c>
      <c r="D14" s="20">
        <f>'DOE25'!L199+'DOE25'!L217+'DOE25'!L235-F14-G14</f>
        <v>1246193</v>
      </c>
      <c r="E14" s="242"/>
      <c r="F14" s="254">
        <f>'DOE25'!J199+'DOE25'!J217+'DOE25'!J235</f>
        <v>167667</v>
      </c>
      <c r="G14" s="53">
        <f>'DOE25'!K199+'DOE25'!K217+'DOE25'!K235</f>
        <v>0</v>
      </c>
      <c r="H14" s="258"/>
    </row>
    <row r="15" spans="1:9" x14ac:dyDescent="0.2">
      <c r="A15" s="32">
        <v>2700</v>
      </c>
      <c r="B15" t="s">
        <v>835</v>
      </c>
      <c r="C15" s="244">
        <f t="shared" si="0"/>
        <v>772211</v>
      </c>
      <c r="D15" s="20">
        <f>'DOE25'!L200+'DOE25'!L218+'DOE25'!L236-F15-G15</f>
        <v>772211</v>
      </c>
      <c r="E15" s="242"/>
      <c r="F15" s="254">
        <f>'DOE25'!J200+'DOE25'!J218+'DOE25'!J236</f>
        <v>0</v>
      </c>
      <c r="G15" s="53">
        <f>'DOE25'!K200+'DOE25'!K218+'DOE25'!K236</f>
        <v>0</v>
      </c>
      <c r="H15" s="258"/>
    </row>
    <row r="16" spans="1:9" x14ac:dyDescent="0.2">
      <c r="A16" s="32">
        <v>2800</v>
      </c>
      <c r="B16" t="s">
        <v>836</v>
      </c>
      <c r="C16" s="244">
        <f t="shared" si="0"/>
        <v>350469</v>
      </c>
      <c r="D16" s="242"/>
      <c r="E16" s="20">
        <f>'DOE25'!L201+'DOE25'!L219+'DOE25'!L237-F16-G16</f>
        <v>189452</v>
      </c>
      <c r="F16" s="254">
        <f>'DOE25'!J201+'DOE25'!J219+'DOE25'!J237</f>
        <v>125290</v>
      </c>
      <c r="G16" s="53">
        <f>'DOE25'!K201+'DOE25'!K219+'DOE25'!K237</f>
        <v>35727</v>
      </c>
      <c r="H16" s="258"/>
    </row>
    <row r="17" spans="1:8" x14ac:dyDescent="0.2">
      <c r="A17" s="32">
        <v>1600</v>
      </c>
      <c r="B17" t="s">
        <v>837</v>
      </c>
      <c r="C17" s="244">
        <f t="shared" si="0"/>
        <v>0</v>
      </c>
      <c r="D17" s="20">
        <f>'DOE25'!L243-F17-G17</f>
        <v>0</v>
      </c>
      <c r="E17" s="242"/>
      <c r="F17" s="254">
        <f>'DOE25'!J243</f>
        <v>0</v>
      </c>
      <c r="G17" s="53">
        <f>'DOE25'!K243</f>
        <v>0</v>
      </c>
      <c r="H17" s="258"/>
    </row>
    <row r="18" spans="1:8" x14ac:dyDescent="0.2">
      <c r="A18" s="32">
        <v>1700</v>
      </c>
      <c r="B18" t="s">
        <v>838</v>
      </c>
      <c r="C18" s="244">
        <f t="shared" si="0"/>
        <v>0</v>
      </c>
      <c r="D18" s="20">
        <f>'DOE25'!L244-F18-G18</f>
        <v>0</v>
      </c>
      <c r="E18" s="242"/>
      <c r="F18" s="254">
        <f>'DOE25'!J244</f>
        <v>0</v>
      </c>
      <c r="G18" s="53">
        <f>'DOE25'!K244</f>
        <v>0</v>
      </c>
      <c r="H18" s="258"/>
    </row>
    <row r="19" spans="1:8" x14ac:dyDescent="0.2">
      <c r="A19" s="32">
        <v>1800</v>
      </c>
      <c r="B19" t="s">
        <v>839</v>
      </c>
      <c r="C19" s="244">
        <f t="shared" si="0"/>
        <v>0</v>
      </c>
      <c r="D19" s="20">
        <f>'DOE25'!L245-F19-G19</f>
        <v>0</v>
      </c>
      <c r="E19" s="242"/>
      <c r="F19" s="254">
        <f>'DOE25'!J245</f>
        <v>0</v>
      </c>
      <c r="G19" s="53">
        <f>'DOE25'!K245</f>
        <v>0</v>
      </c>
      <c r="H19" s="258"/>
    </row>
    <row r="20" spans="1:8" x14ac:dyDescent="0.2">
      <c r="F20" s="259"/>
      <c r="G20" s="52"/>
      <c r="H20" s="260"/>
    </row>
    <row r="21" spans="1:8" x14ac:dyDescent="0.2">
      <c r="B21" s="33" t="s">
        <v>827</v>
      </c>
      <c r="F21" s="259"/>
      <c r="G21" s="52"/>
      <c r="H21" s="260"/>
    </row>
    <row r="22" spans="1:8" x14ac:dyDescent="0.2">
      <c r="A22" s="32">
        <v>4000</v>
      </c>
      <c r="B22" t="s">
        <v>864</v>
      </c>
      <c r="C22" s="244">
        <f>SUM(D22:H22)</f>
        <v>0</v>
      </c>
      <c r="D22" s="242"/>
      <c r="E22" s="242"/>
      <c r="F22" s="254">
        <f>'DOE25'!L247+'DOE25'!L328</f>
        <v>0</v>
      </c>
      <c r="G22" s="255"/>
      <c r="H22" s="258"/>
    </row>
    <row r="23" spans="1:8" x14ac:dyDescent="0.2">
      <c r="A23" s="32"/>
      <c r="F23" s="259"/>
      <c r="G23" s="52"/>
      <c r="H23" s="260"/>
    </row>
    <row r="24" spans="1:8" x14ac:dyDescent="0.2">
      <c r="A24" s="32"/>
      <c r="B24" s="33" t="s">
        <v>487</v>
      </c>
      <c r="F24" s="259"/>
      <c r="G24" s="52"/>
      <c r="H24" s="260"/>
    </row>
    <row r="25" spans="1:8" x14ac:dyDescent="0.2">
      <c r="A25" s="32" t="s">
        <v>840</v>
      </c>
      <c r="B25" t="s">
        <v>841</v>
      </c>
      <c r="C25" s="244">
        <f>SUM(D25:H25)</f>
        <v>905455</v>
      </c>
      <c r="D25" s="242"/>
      <c r="E25" s="242"/>
      <c r="F25" s="257"/>
      <c r="G25" s="255"/>
      <c r="H25" s="256">
        <f>'DOE25'!L252+'DOE25'!L253+'DOE25'!L333+'DOE25'!L334</f>
        <v>905455</v>
      </c>
    </row>
    <row r="26" spans="1:8" x14ac:dyDescent="0.2">
      <c r="A26" s="32"/>
      <c r="F26" s="259"/>
      <c r="G26" s="52"/>
      <c r="H26" s="260"/>
    </row>
    <row r="27" spans="1:8" x14ac:dyDescent="0.2">
      <c r="A27" s="32"/>
      <c r="B27" s="33" t="s">
        <v>843</v>
      </c>
      <c r="F27" s="259"/>
      <c r="G27" s="52"/>
      <c r="H27" s="260"/>
    </row>
    <row r="28" spans="1:8" x14ac:dyDescent="0.2">
      <c r="A28" s="32">
        <v>3100</v>
      </c>
      <c r="B28" t="s">
        <v>856</v>
      </c>
      <c r="F28" s="259"/>
      <c r="G28" s="52"/>
      <c r="H28" s="260"/>
    </row>
    <row r="29" spans="1:8" x14ac:dyDescent="0.2">
      <c r="A29" s="32"/>
      <c r="B29" t="s">
        <v>844</v>
      </c>
      <c r="C29" s="244">
        <f>SUM(D29:H29)</f>
        <v>396504</v>
      </c>
      <c r="D29" s="20">
        <f>'DOE25'!L350+'DOE25'!L351+'DOE25'!L352-'DOE25'!I359-F29-G29</f>
        <v>387456</v>
      </c>
      <c r="E29" s="242"/>
      <c r="F29" s="254">
        <f>'DOE25'!J350+'DOE25'!J351+'DOE25'!J352</f>
        <v>9048</v>
      </c>
      <c r="G29" s="53">
        <f>'DOE25'!K350+'DOE25'!K351+'DOE25'!K352</f>
        <v>0</v>
      </c>
      <c r="H29" s="258"/>
    </row>
    <row r="30" spans="1:8" x14ac:dyDescent="0.2">
      <c r="A30" s="32"/>
      <c r="D30" s="20"/>
      <c r="E30" s="242"/>
      <c r="F30" s="254"/>
      <c r="G30" s="53"/>
      <c r="H30" s="258"/>
    </row>
    <row r="31" spans="1:8" x14ac:dyDescent="0.2">
      <c r="A31" s="32" t="s">
        <v>858</v>
      </c>
      <c r="B31" t="s">
        <v>857</v>
      </c>
      <c r="C31" s="244">
        <f>SUM(D31:H31)</f>
        <v>749060</v>
      </c>
      <c r="D31" s="20">
        <f>'DOE25'!L282+'DOE25'!L301+'DOE25'!L320+'DOE25'!L325+'DOE25'!L326+'DOE25'!L327-F31-G31</f>
        <v>630939</v>
      </c>
      <c r="E31" s="242"/>
      <c r="F31" s="254">
        <f>'DOE25'!J282+'DOE25'!J301+'DOE25'!J320+'DOE25'!J325+'DOE25'!J326+'DOE25'!J327</f>
        <v>113925</v>
      </c>
      <c r="G31" s="53">
        <f>'DOE25'!K282+'DOE25'!K301+'DOE25'!K320+'DOE25'!K325+'DOE25'!K326+'DOE25'!K327</f>
        <v>4196</v>
      </c>
      <c r="H31" s="258"/>
    </row>
    <row r="32" spans="1:8" ht="12" thickBot="1" x14ac:dyDescent="0.25">
      <c r="F32" s="261"/>
      <c r="G32" s="252"/>
      <c r="H32" s="262"/>
    </row>
    <row r="33" spans="2:8" ht="12" thickTop="1" x14ac:dyDescent="0.2">
      <c r="B33" t="s">
        <v>845</v>
      </c>
      <c r="D33" s="245">
        <f>SUM(D5:D31)</f>
        <v>13551951</v>
      </c>
      <c r="E33" s="245">
        <f>SUM(E5:E31)</f>
        <v>618790</v>
      </c>
      <c r="F33" s="245">
        <f>SUM(F5:F31)</f>
        <v>541221</v>
      </c>
      <c r="G33" s="245">
        <f>SUM(G5:G31)</f>
        <v>87026</v>
      </c>
      <c r="H33" s="245">
        <f>SUM(H5:H31)</f>
        <v>905455</v>
      </c>
    </row>
    <row r="35" spans="2:8" ht="12" thickBot="1" x14ac:dyDescent="0.25">
      <c r="B35" s="252" t="s">
        <v>878</v>
      </c>
      <c r="D35" s="253">
        <f>E33</f>
        <v>618790</v>
      </c>
      <c r="E35" s="248"/>
    </row>
    <row r="36" spans="2:8" ht="12" thickTop="1" x14ac:dyDescent="0.2">
      <c r="B36" t="s">
        <v>846</v>
      </c>
      <c r="D36" s="20">
        <f>D33</f>
        <v>13551951</v>
      </c>
    </row>
    <row r="38" spans="2:8" x14ac:dyDescent="0.2">
      <c r="B38" s="185" t="s">
        <v>887</v>
      </c>
      <c r="C38" s="265"/>
      <c r="D38" s="266"/>
    </row>
    <row r="39" spans="2:8" x14ac:dyDescent="0.2">
      <c r="B39" t="s">
        <v>855</v>
      </c>
      <c r="D39" s="179" t="str">
        <f>IF(E10&gt;0,"Y","N")</f>
        <v>Y</v>
      </c>
    </row>
    <row r="41" spans="2:8" x14ac:dyDescent="0.2">
      <c r="B41" s="263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24A24-AD39-4599-B9B9-E2B8317383AD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activeCell="I13" sqref="I13"/>
      <selection pane="bottomLeft" activeCell="I13" sqref="I13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Mascenic Regional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652409</v>
      </c>
      <c r="D9" s="95">
        <f>'DOE25'!G9</f>
        <v>25999</v>
      </c>
      <c r="E9" s="95">
        <f>'DOE25'!H9</f>
        <v>966</v>
      </c>
      <c r="F9" s="95">
        <f>'DOE25'!I9</f>
        <v>8334950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6007</v>
      </c>
      <c r="F10" s="95">
        <f>'DOE25'!I10</f>
        <v>0</v>
      </c>
      <c r="G10" s="95">
        <f>'DOE25'!J10</f>
        <v>89938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282861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0</v>
      </c>
      <c r="E13" s="95">
        <f>'DOE25'!H13</f>
        <v>0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14881</v>
      </c>
      <c r="D14" s="95">
        <f>'DOE25'!G14</f>
        <v>7</v>
      </c>
      <c r="E14" s="95">
        <f>'DOE25'!H14</f>
        <v>318586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7553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950151</v>
      </c>
      <c r="D19" s="41">
        <f>SUM(D9:D18)</f>
        <v>33559</v>
      </c>
      <c r="E19" s="41">
        <f>SUM(E9:E18)</f>
        <v>325559</v>
      </c>
      <c r="F19" s="41">
        <f>SUM(F9:F18)</f>
        <v>8334950</v>
      </c>
      <c r="G19" s="41">
        <f>SUM(G9:G18)</f>
        <v>89938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10616</v>
      </c>
      <c r="E22" s="95">
        <f>'DOE25'!H23</f>
        <v>272187</v>
      </c>
      <c r="F22" s="95">
        <f>'DOE25'!I23</f>
        <v>58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154210</v>
      </c>
      <c r="D24" s="95">
        <f>'DOE25'!G25</f>
        <v>6615</v>
      </c>
      <c r="E24" s="95">
        <f>'DOE25'!H25</f>
        <v>46575</v>
      </c>
      <c r="F24" s="95">
        <f>'DOE25'!I25</f>
        <v>26332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154210</v>
      </c>
      <c r="D32" s="41">
        <f>SUM(D22:D31)</f>
        <v>17231</v>
      </c>
      <c r="E32" s="41">
        <f>SUM(E22:E31)</f>
        <v>318762</v>
      </c>
      <c r="F32" s="41">
        <f>SUM(F22:F31)</f>
        <v>26390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7553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75000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8775</v>
      </c>
      <c r="E40" s="95">
        <f>'DOE25'!H41</f>
        <v>6797</v>
      </c>
      <c r="F40" s="95">
        <f>'DOE25'!I41</f>
        <v>8308560</v>
      </c>
      <c r="G40" s="95">
        <f>'DOE25'!J41</f>
        <v>89938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720941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795941</v>
      </c>
      <c r="D42" s="41">
        <f>SUM(D34:D41)</f>
        <v>16328</v>
      </c>
      <c r="E42" s="41">
        <f>SUM(E34:E41)</f>
        <v>6797</v>
      </c>
      <c r="F42" s="41">
        <f>SUM(F34:F41)</f>
        <v>8308560</v>
      </c>
      <c r="G42" s="41">
        <f>SUM(G34:G41)</f>
        <v>89938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950151</v>
      </c>
      <c r="D43" s="41">
        <f>D42+D32</f>
        <v>33559</v>
      </c>
      <c r="E43" s="41">
        <f>E42+E32</f>
        <v>325559</v>
      </c>
      <c r="F43" s="41">
        <f>F42+F32</f>
        <v>8334950</v>
      </c>
      <c r="G43" s="41">
        <f>G42+G32</f>
        <v>89938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5488430</v>
      </c>
      <c r="D48" s="95">
        <f>'DOE25'!G52</f>
        <v>25999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175071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4467</v>
      </c>
      <c r="D51" s="95">
        <f>'DOE25'!G88</f>
        <v>0</v>
      </c>
      <c r="E51" s="95">
        <f>'DOE25'!H88</f>
        <v>5</v>
      </c>
      <c r="F51" s="95">
        <f>'DOE25'!I88</f>
        <v>24468</v>
      </c>
      <c r="G51" s="95">
        <f>'DOE25'!J88</f>
        <v>94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202215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4200</v>
      </c>
      <c r="D53" s="95">
        <f>SUM('DOE25'!G90:G102)</f>
        <v>0</v>
      </c>
      <c r="E53" s="95">
        <f>SUM('DOE25'!H90:H102)</f>
        <v>2000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183738</v>
      </c>
      <c r="D54" s="130">
        <f>SUM(D49:D53)</f>
        <v>202215</v>
      </c>
      <c r="E54" s="130">
        <f>SUM(E49:E53)</f>
        <v>2005</v>
      </c>
      <c r="F54" s="130">
        <f>SUM(F49:F53)</f>
        <v>24468</v>
      </c>
      <c r="G54" s="130">
        <f>SUM(G49:G53)</f>
        <v>94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5672168</v>
      </c>
      <c r="D55" s="22">
        <f>D48+D54</f>
        <v>228214</v>
      </c>
      <c r="E55" s="22">
        <f>E48+E54</f>
        <v>2005</v>
      </c>
      <c r="F55" s="22">
        <f>F48+F54</f>
        <v>24468</v>
      </c>
      <c r="G55" s="22">
        <f>G48+G54</f>
        <v>94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5226804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1227168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189575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6643547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107102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124200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163305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62176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9900</v>
      </c>
      <c r="D69" s="95">
        <f>SUM('DOE25'!G123:G127)</f>
        <v>4838</v>
      </c>
      <c r="E69" s="95">
        <f>SUM('DOE25'!H123:H127)</f>
        <v>6185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466683</v>
      </c>
      <c r="D70" s="130">
        <f>SUM(D64:D69)</f>
        <v>4838</v>
      </c>
      <c r="E70" s="130">
        <f>SUM(E64:E69)</f>
        <v>6185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7110230</v>
      </c>
      <c r="D73" s="130">
        <f>SUM(D71:D72)+D70+D62</f>
        <v>4838</v>
      </c>
      <c r="E73" s="130">
        <f>SUM(E71:E72)+E70+E62</f>
        <v>6185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108738</v>
      </c>
      <c r="D80" s="95">
        <f>SUM('DOE25'!G145:G153)</f>
        <v>169031</v>
      </c>
      <c r="E80" s="95">
        <f>SUM('DOE25'!H145:H153)</f>
        <v>710239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108738</v>
      </c>
      <c r="D83" s="131">
        <f>SUM(D77:D82)</f>
        <v>169031</v>
      </c>
      <c r="E83" s="131">
        <f>SUM(E77:E82)</f>
        <v>710239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905455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10133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915588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13806724</v>
      </c>
      <c r="D96" s="86">
        <f>D55+D73+D83+D95</f>
        <v>402083</v>
      </c>
      <c r="E96" s="86">
        <f>E55+E73+E83+E95</f>
        <v>718429</v>
      </c>
      <c r="F96" s="86">
        <f>F55+F73+F83+F95</f>
        <v>24468</v>
      </c>
      <c r="G96" s="86">
        <f>G55+G73+G95</f>
        <v>94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6040691</v>
      </c>
      <c r="D101" s="24" t="s">
        <v>312</v>
      </c>
      <c r="E101" s="95">
        <f>('DOE25'!L268)+('DOE25'!L287)+('DOE25'!L306)</f>
        <v>246743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1703397</v>
      </c>
      <c r="D102" s="24" t="s">
        <v>312</v>
      </c>
      <c r="E102" s="95">
        <f>('DOE25'!L269)+('DOE25'!L288)+('DOE25'!L307)</f>
        <v>80079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243039</v>
      </c>
      <c r="D103" s="24" t="s">
        <v>312</v>
      </c>
      <c r="E103" s="95">
        <f>('DOE25'!L270)+('DOE25'!L289)+('DOE25'!L308)</f>
        <v>9232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166015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8153142</v>
      </c>
      <c r="D107" s="86">
        <f>SUM(D101:D106)</f>
        <v>0</v>
      </c>
      <c r="E107" s="86">
        <f>SUM(E101:E106)</f>
        <v>336054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894286</v>
      </c>
      <c r="D110" s="24" t="s">
        <v>312</v>
      </c>
      <c r="E110" s="95">
        <f>+('DOE25'!L273)+('DOE25'!L292)+('DOE25'!L311)</f>
        <v>251692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342638</v>
      </c>
      <c r="D111" s="24" t="s">
        <v>312</v>
      </c>
      <c r="E111" s="95">
        <f>+('DOE25'!L274)+('DOE25'!L293)+('DOE25'!L312)</f>
        <v>73260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561171</v>
      </c>
      <c r="D112" s="24" t="s">
        <v>312</v>
      </c>
      <c r="E112" s="95">
        <f>+('DOE25'!L275)+('DOE25'!L294)+('DOE25'!L313)</f>
        <v>79753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921498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234399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1413860</v>
      </c>
      <c r="D115" s="24" t="s">
        <v>312</v>
      </c>
      <c r="E115" s="95">
        <f>+('DOE25'!L278)+('DOE25'!L297)+('DOE25'!L316)</f>
        <v>696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772211</v>
      </c>
      <c r="D116" s="24" t="s">
        <v>312</v>
      </c>
      <c r="E116" s="95">
        <f>+('DOE25'!L279)+('DOE25'!L298)+('DOE25'!L317)</f>
        <v>6108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350469</v>
      </c>
      <c r="D117" s="24" t="s">
        <v>312</v>
      </c>
      <c r="E117" s="95">
        <f>+('DOE25'!L280)+('DOE25'!L299)+('DOE25'!L318)</f>
        <v>1497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396504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5490532</v>
      </c>
      <c r="D120" s="86">
        <f>SUM(D110:D119)</f>
        <v>396504</v>
      </c>
      <c r="E120" s="86">
        <f>SUM(E110:E119)</f>
        <v>413006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14420822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905455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10133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94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-94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905455</v>
      </c>
      <c r="D136" s="141">
        <f>SUM(D122:D135)</f>
        <v>0</v>
      </c>
      <c r="E136" s="141">
        <f>SUM(E122:E135)</f>
        <v>10133</v>
      </c>
      <c r="F136" s="141">
        <f>SUM(F122:F135)</f>
        <v>14420822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14549129</v>
      </c>
      <c r="D137" s="86">
        <f>(D107+D120+D136)</f>
        <v>396504</v>
      </c>
      <c r="E137" s="86">
        <f>(E107+E120+E136)</f>
        <v>759193</v>
      </c>
      <c r="F137" s="86">
        <f>(F107+F120+F136)</f>
        <v>14420822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16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06/10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9/26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23623315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5.39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23623315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23623315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23623315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23623315</v>
      </c>
    </row>
    <row r="152" spans="1:7" x14ac:dyDescent="0.2">
      <c r="A152" s="22" t="s">
        <v>36</v>
      </c>
      <c r="B152" s="137">
        <f>'DOE25'!F489</f>
        <v>10178565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10178565</v>
      </c>
    </row>
    <row r="153" spans="1:7" x14ac:dyDescent="0.2">
      <c r="A153" s="22" t="s">
        <v>37</v>
      </c>
      <c r="B153" s="137">
        <f>'DOE25'!F490</f>
        <v>33801880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33801880</v>
      </c>
    </row>
    <row r="154" spans="1:7" x14ac:dyDescent="0.2">
      <c r="A154" s="22" t="s">
        <v>38</v>
      </c>
      <c r="B154" s="137">
        <f>'DOE25'!F491</f>
        <v>1483315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1483315</v>
      </c>
    </row>
    <row r="155" spans="1:7" x14ac:dyDescent="0.2">
      <c r="A155" s="22" t="s">
        <v>39</v>
      </c>
      <c r="B155" s="137">
        <f>'DOE25'!F492</f>
        <v>1233321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1233321</v>
      </c>
    </row>
    <row r="156" spans="1:7" x14ac:dyDescent="0.2">
      <c r="A156" s="22" t="s">
        <v>269</v>
      </c>
      <c r="B156" s="137">
        <f>'DOE25'!F493</f>
        <v>2716636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2716636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6DE42-3FB6-4350-8809-757DDCFC335B}">
  <sheetPr codeName="Sheet3">
    <tabColor indexed="43"/>
  </sheetPr>
  <dimension ref="A1:D42"/>
  <sheetViews>
    <sheetView workbookViewId="0">
      <selection activeCell="I13" sqref="I13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771</v>
      </c>
      <c r="B1" s="280"/>
      <c r="C1" s="280"/>
      <c r="D1" s="280"/>
    </row>
    <row r="2" spans="1:4" x14ac:dyDescent="0.2">
      <c r="A2" s="185" t="s">
        <v>748</v>
      </c>
      <c r="B2" s="184" t="str">
        <f>'DOE25'!A2</f>
        <v>Mascenic Regional SD</v>
      </c>
    </row>
    <row r="3" spans="1:4" x14ac:dyDescent="0.2">
      <c r="B3" s="186" t="s">
        <v>891</v>
      </c>
    </row>
    <row r="4" spans="1:4" x14ac:dyDescent="0.2">
      <c r="B4" t="s">
        <v>61</v>
      </c>
      <c r="C4" s="177">
        <f>IF('DOE25'!F655+'DOE25'!F660=0,0,ROUND('DOE25'!F662,0))</f>
        <v>10322</v>
      </c>
    </row>
    <row r="5" spans="1:4" x14ac:dyDescent="0.2">
      <c r="B5" t="s">
        <v>735</v>
      </c>
      <c r="C5" s="177">
        <f>IF('DOE25'!G655+'DOE25'!G660=0,0,ROUND('DOE25'!G662,0))</f>
        <v>11361</v>
      </c>
    </row>
    <row r="6" spans="1:4" x14ac:dyDescent="0.2">
      <c r="B6" t="s">
        <v>62</v>
      </c>
      <c r="C6" s="177">
        <f>IF('DOE25'!H655+'DOE25'!H660=0,0,ROUND('DOE25'!H662,0))</f>
        <v>10975</v>
      </c>
    </row>
    <row r="7" spans="1:4" x14ac:dyDescent="0.2">
      <c r="B7" t="s">
        <v>736</v>
      </c>
      <c r="C7" s="177">
        <f>IF('DOE25'!I655+'DOE25'!I660=0,0,ROUND('DOE25'!I662,0))</f>
        <v>10863</v>
      </c>
    </row>
    <row r="9" spans="1:4" x14ac:dyDescent="0.2">
      <c r="A9" s="185" t="s">
        <v>94</v>
      </c>
      <c r="B9" s="186" t="s">
        <v>892</v>
      </c>
      <c r="C9" s="179" t="s">
        <v>755</v>
      </c>
      <c r="D9" s="179" t="s">
        <v>756</v>
      </c>
    </row>
    <row r="10" spans="1:4" x14ac:dyDescent="0.2">
      <c r="A10">
        <v>1100</v>
      </c>
      <c r="B10" t="s">
        <v>737</v>
      </c>
      <c r="C10" s="177">
        <f>ROUND('DOE25'!L189+'DOE25'!L207+'DOE25'!L225+'DOE25'!L268+'DOE25'!L287+'DOE25'!L306,0)</f>
        <v>6287434</v>
      </c>
      <c r="D10" s="180">
        <f>ROUND((C10/$C$28)*100,1)</f>
        <v>40.6</v>
      </c>
    </row>
    <row r="11" spans="1:4" x14ac:dyDescent="0.2">
      <c r="A11">
        <v>1200</v>
      </c>
      <c r="B11" t="s">
        <v>738</v>
      </c>
      <c r="C11" s="177">
        <f>ROUND('DOE25'!L190+'DOE25'!L208+'DOE25'!L226+'DOE25'!L269+'DOE25'!L288+'DOE25'!L307,0)</f>
        <v>1783476</v>
      </c>
      <c r="D11" s="180">
        <f>ROUND((C11/$C$28)*100,1)</f>
        <v>11.5</v>
      </c>
    </row>
    <row r="12" spans="1:4" x14ac:dyDescent="0.2">
      <c r="A12">
        <v>1300</v>
      </c>
      <c r="B12" t="s">
        <v>739</v>
      </c>
      <c r="C12" s="177">
        <f>ROUND('DOE25'!L191+'DOE25'!L209+'DOE25'!L227+'DOE25'!L270+'DOE25'!L289+'DOE25'!L308,0)</f>
        <v>252271</v>
      </c>
      <c r="D12" s="180">
        <f>ROUND((C12/$C$28)*100,1)</f>
        <v>1.6</v>
      </c>
    </row>
    <row r="13" spans="1:4" x14ac:dyDescent="0.2">
      <c r="A13">
        <v>1400</v>
      </c>
      <c r="B13" t="s">
        <v>740</v>
      </c>
      <c r="C13" s="177">
        <f>ROUND('DOE25'!L192+'DOE25'!L210+'DOE25'!L228+'DOE25'!L271+'DOE25'!L290+'DOE25'!L309,0)</f>
        <v>166015</v>
      </c>
      <c r="D13" s="180">
        <f>ROUND((C13/$C$28)*100,1)</f>
        <v>1.1000000000000001</v>
      </c>
    </row>
    <row r="14" spans="1:4" x14ac:dyDescent="0.2">
      <c r="D14" s="180"/>
    </row>
    <row r="15" spans="1:4" x14ac:dyDescent="0.2">
      <c r="A15">
        <v>2100</v>
      </c>
      <c r="B15" t="s">
        <v>741</v>
      </c>
      <c r="C15" s="177">
        <f>ROUND('DOE25'!L194+'DOE25'!L212+'DOE25'!L230+'DOE25'!L273+'DOE25'!L292+'DOE25'!L311,0)</f>
        <v>1145978</v>
      </c>
      <c r="D15" s="180">
        <f t="shared" ref="D15:D27" si="0">ROUND((C15/$C$28)*100,1)</f>
        <v>7.4</v>
      </c>
    </row>
    <row r="16" spans="1:4" x14ac:dyDescent="0.2">
      <c r="A16">
        <v>2200</v>
      </c>
      <c r="B16" t="s">
        <v>742</v>
      </c>
      <c r="C16" s="177">
        <f>ROUND('DOE25'!L195+'DOE25'!L213+'DOE25'!L231+'DOE25'!L274+'DOE25'!L293+'DOE25'!L312,0)</f>
        <v>415898</v>
      </c>
      <c r="D16" s="180">
        <f t="shared" si="0"/>
        <v>2.7</v>
      </c>
    </row>
    <row r="17" spans="1:4" x14ac:dyDescent="0.2">
      <c r="A17" s="181" t="s">
        <v>758</v>
      </c>
      <c r="B17" t="s">
        <v>773</v>
      </c>
      <c r="C17" s="177">
        <f>ROUND('DOE25'!L196+'DOE25'!L201+'DOE25'!L214+'DOE25'!L219+'DOE25'!L232+'DOE25'!L237+'DOE25'!L275+'DOE25'!L280+'DOE25'!L294+'DOE25'!L299+'DOE25'!L313+'DOE25'!L318,0)</f>
        <v>992890</v>
      </c>
      <c r="D17" s="180">
        <f t="shared" si="0"/>
        <v>6.4</v>
      </c>
    </row>
    <row r="18" spans="1:4" x14ac:dyDescent="0.2">
      <c r="A18">
        <v>2400</v>
      </c>
      <c r="B18" t="s">
        <v>746</v>
      </c>
      <c r="C18" s="177">
        <f>ROUND('DOE25'!L197+'DOE25'!L215+'DOE25'!L233+'DOE25'!L276+'DOE25'!L295+'DOE25'!L314,0)</f>
        <v>921498</v>
      </c>
      <c r="D18" s="180">
        <f t="shared" si="0"/>
        <v>5.9</v>
      </c>
    </row>
    <row r="19" spans="1:4" x14ac:dyDescent="0.2">
      <c r="A19">
        <v>2500</v>
      </c>
      <c r="B19" t="s">
        <v>743</v>
      </c>
      <c r="C19" s="177">
        <f>ROUND('DOE25'!L198+'DOE25'!L216+'DOE25'!L234+'DOE25'!L277+'DOE25'!L296+'DOE25'!L315,0)</f>
        <v>234399</v>
      </c>
      <c r="D19" s="180">
        <f t="shared" si="0"/>
        <v>1.5</v>
      </c>
    </row>
    <row r="20" spans="1:4" x14ac:dyDescent="0.2">
      <c r="A20">
        <v>2600</v>
      </c>
      <c r="B20" t="s">
        <v>744</v>
      </c>
      <c r="C20" s="177">
        <f>ROUND('DOE25'!L199+'DOE25'!L217+'DOE25'!L235+'DOE25'!L278+'DOE25'!L297+'DOE25'!L316,0)</f>
        <v>1414556</v>
      </c>
      <c r="D20" s="180">
        <f t="shared" si="0"/>
        <v>9.1</v>
      </c>
    </row>
    <row r="21" spans="1:4" x14ac:dyDescent="0.2">
      <c r="A21">
        <v>2700</v>
      </c>
      <c r="B21" t="s">
        <v>745</v>
      </c>
      <c r="C21" s="177">
        <f>ROUND('DOE25'!L200+'DOE25'!L218+'DOE25'!L236+'DOE25'!L279+'DOE25'!L298+'DOE25'!L317,0)</f>
        <v>778319</v>
      </c>
      <c r="D21" s="180">
        <f t="shared" si="0"/>
        <v>5</v>
      </c>
    </row>
    <row r="22" spans="1:4" x14ac:dyDescent="0.2">
      <c r="A22">
        <v>2900</v>
      </c>
      <c r="B22" t="s">
        <v>747</v>
      </c>
      <c r="C22" s="177">
        <v>0</v>
      </c>
      <c r="D22" s="180">
        <f t="shared" si="0"/>
        <v>0</v>
      </c>
    </row>
    <row r="23" spans="1:4" x14ac:dyDescent="0.2">
      <c r="A23">
        <v>1500</v>
      </c>
      <c r="B23" t="s">
        <v>749</v>
      </c>
      <c r="C23" s="177">
        <f>ROUND('DOE25'!L242+'DOE25'!L324,0)</f>
        <v>0</v>
      </c>
      <c r="D23" s="180">
        <f t="shared" si="0"/>
        <v>0</v>
      </c>
    </row>
    <row r="24" spans="1:4" x14ac:dyDescent="0.2">
      <c r="A24" s="181" t="s">
        <v>757</v>
      </c>
      <c r="B24" t="s">
        <v>750</v>
      </c>
      <c r="C24" s="177">
        <f>ROUND('DOE25'!L243+'DOE25'!L244+'DOE25'!L245+'DOE25'!L246+'DOE25'!L325+'DOE25'!L326+'DOE25'!L327,0)</f>
        <v>0</v>
      </c>
      <c r="D24" s="180">
        <f t="shared" si="0"/>
        <v>0</v>
      </c>
    </row>
    <row r="25" spans="1:4" x14ac:dyDescent="0.2">
      <c r="A25">
        <v>5120</v>
      </c>
      <c r="B25" t="s">
        <v>751</v>
      </c>
      <c r="C25" s="177">
        <f>ROUND('DOE25'!L253+'DOE25'!L334,0)</f>
        <v>905455</v>
      </c>
      <c r="D25" s="180">
        <f t="shared" si="0"/>
        <v>5.8</v>
      </c>
    </row>
    <row r="26" spans="1:4" x14ac:dyDescent="0.2">
      <c r="A26" s="181" t="s">
        <v>752</v>
      </c>
      <c r="B26" t="s">
        <v>753</v>
      </c>
      <c r="C26" s="177">
        <f>'DOE25'!L260+'DOE25'!L261+'DOE25'!L341+'DOE25'!L342</f>
        <v>0</v>
      </c>
      <c r="D26" s="180">
        <f t="shared" si="0"/>
        <v>0</v>
      </c>
    </row>
    <row r="27" spans="1:4" x14ac:dyDescent="0.2">
      <c r="A27">
        <v>3100</v>
      </c>
      <c r="B27" t="s">
        <v>11</v>
      </c>
      <c r="C27" s="177">
        <f>ROUND('DOE25'!L354-'DOE25'!L353,0)-SUM('DOE25'!G89:G102)</f>
        <v>194289</v>
      </c>
      <c r="D27" s="180">
        <f t="shared" si="0"/>
        <v>1.3</v>
      </c>
    </row>
    <row r="28" spans="1:4" x14ac:dyDescent="0.2">
      <c r="B28" s="185" t="s">
        <v>754</v>
      </c>
      <c r="C28" s="178">
        <f>SUM(C10:C27)</f>
        <v>15492478</v>
      </c>
      <c r="D28" s="182">
        <f>ROUND(SUM(D10:D27),0)</f>
        <v>100</v>
      </c>
    </row>
    <row r="29" spans="1:4" x14ac:dyDescent="0.2">
      <c r="A29">
        <v>4000</v>
      </c>
      <c r="B29" t="s">
        <v>759</v>
      </c>
      <c r="C29" s="177">
        <f>ROUND('DOE25'!L247+'DOE25'!L328+'DOE25'!L366+'DOE25'!L367+'DOE25'!L368+'DOE25'!L369+'DOE25'!L370+'DOE25'!L371+'DOE25'!L372,0)</f>
        <v>14420822</v>
      </c>
    </row>
    <row r="30" spans="1:4" x14ac:dyDescent="0.2">
      <c r="B30" s="185" t="s">
        <v>760</v>
      </c>
      <c r="C30" s="178">
        <f>SUM(C28:C29)</f>
        <v>29913300</v>
      </c>
    </row>
    <row r="31" spans="1:4" x14ac:dyDescent="0.2">
      <c r="B31" s="33"/>
      <c r="C31" s="178"/>
    </row>
    <row r="32" spans="1:4" x14ac:dyDescent="0.2">
      <c r="A32">
        <v>5100</v>
      </c>
      <c r="B32" s="33" t="s">
        <v>761</v>
      </c>
      <c r="C32" s="178">
        <f>ROUND('DOE25'!L252+'DOE25'!L333,0)</f>
        <v>0</v>
      </c>
    </row>
    <row r="34" spans="1:4" x14ac:dyDescent="0.2">
      <c r="A34" s="185" t="s">
        <v>94</v>
      </c>
      <c r="B34" s="186" t="s">
        <v>893</v>
      </c>
      <c r="C34" s="179" t="s">
        <v>755</v>
      </c>
      <c r="D34" s="179" t="s">
        <v>756</v>
      </c>
    </row>
    <row r="35" spans="1:4" x14ac:dyDescent="0.2">
      <c r="A35">
        <v>1100</v>
      </c>
      <c r="B35" s="183" t="s">
        <v>762</v>
      </c>
      <c r="C35" s="177">
        <f>ROUND('DOE25'!F52+'DOE25'!G52+'DOE25'!H52+'DOE25'!I52+'DOE25'!J52,0)</f>
        <v>5514429</v>
      </c>
      <c r="D35" s="180">
        <f t="shared" ref="D35:D40" si="1">ROUND((C35/$C$41)*100,1)</f>
        <v>37.4</v>
      </c>
    </row>
    <row r="36" spans="1:4" x14ac:dyDescent="0.2">
      <c r="B36" s="183" t="s">
        <v>774</v>
      </c>
      <c r="C36" s="177">
        <f>SUM('DOE25'!F104:J104)-SUM('DOE25'!G89:G102)+('DOE25'!F166+'DOE25'!F167+'DOE25'!I166+'DOE25'!I167)-C35</f>
        <v>1115760</v>
      </c>
      <c r="D36" s="180">
        <f t="shared" si="1"/>
        <v>7.6</v>
      </c>
    </row>
    <row r="37" spans="1:4" x14ac:dyDescent="0.2">
      <c r="A37" s="181" t="s">
        <v>890</v>
      </c>
      <c r="B37" s="183" t="s">
        <v>763</v>
      </c>
      <c r="C37" s="177">
        <f>ROUND('DOE25'!F109+'DOE25'!F110+'DOE25'!F111,0)</f>
        <v>6643547</v>
      </c>
      <c r="D37" s="180">
        <f t="shared" si="1"/>
        <v>45.1</v>
      </c>
    </row>
    <row r="38" spans="1:4" x14ac:dyDescent="0.2">
      <c r="A38" s="181" t="s">
        <v>769</v>
      </c>
      <c r="B38" s="183" t="s">
        <v>764</v>
      </c>
      <c r="C38" s="177">
        <f>ROUND(SUM('DOE25'!F132:J132)-SUM('DOE25'!F109:F111),0)</f>
        <v>477706</v>
      </c>
      <c r="D38" s="180">
        <f t="shared" si="1"/>
        <v>3.2</v>
      </c>
    </row>
    <row r="39" spans="1:4" x14ac:dyDescent="0.2">
      <c r="A39">
        <v>4000</v>
      </c>
      <c r="B39" s="183" t="s">
        <v>765</v>
      </c>
      <c r="C39" s="177">
        <f>ROUND('DOE25'!F161+'DOE25'!G161+'DOE25'!H161+'DOE25'!I161,0)</f>
        <v>988008</v>
      </c>
      <c r="D39" s="180">
        <f t="shared" si="1"/>
        <v>6.7</v>
      </c>
    </row>
    <row r="40" spans="1:4" x14ac:dyDescent="0.2">
      <c r="A40" s="181" t="s">
        <v>770</v>
      </c>
      <c r="B40" s="183" t="s">
        <v>766</v>
      </c>
      <c r="C40" s="177">
        <f>ROUND(SUM('DOE25'!F181:F183)+SUM('DOE25'!G181:G183)+SUM('DOE25'!H181:H183)+SUM('DOE25'!I181:I183),0)</f>
        <v>0</v>
      </c>
      <c r="D40" s="180">
        <f t="shared" si="1"/>
        <v>0</v>
      </c>
    </row>
    <row r="41" spans="1:4" x14ac:dyDescent="0.2">
      <c r="B41" s="185" t="s">
        <v>767</v>
      </c>
      <c r="C41" s="178">
        <f>SUM(C35:C40)</f>
        <v>14739450</v>
      </c>
      <c r="D41" s="182">
        <f>SUM(D35:D40)</f>
        <v>100</v>
      </c>
    </row>
    <row r="42" spans="1:4" x14ac:dyDescent="0.2">
      <c r="A42" s="181" t="s">
        <v>772</v>
      </c>
      <c r="B42" s="183" t="s">
        <v>768</v>
      </c>
      <c r="C42" s="177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1BA60-3E4C-4974-8A27-EDFC2F6EDF00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801</v>
      </c>
      <c r="B1" s="290"/>
      <c r="C1" s="290"/>
      <c r="D1" s="290"/>
      <c r="E1" s="290"/>
      <c r="F1" s="290"/>
      <c r="G1" s="290"/>
      <c r="H1" s="290"/>
      <c r="I1" s="290"/>
      <c r="J1" s="212"/>
      <c r="K1" s="212"/>
      <c r="L1" s="212"/>
      <c r="M1" s="213"/>
    </row>
    <row r="2" spans="1:26" ht="12.75" x14ac:dyDescent="0.2">
      <c r="A2" s="287" t="s">
        <v>798</v>
      </c>
      <c r="B2" s="288"/>
      <c r="C2" s="288"/>
      <c r="D2" s="288"/>
      <c r="E2" s="288"/>
      <c r="F2" s="293" t="str">
        <f>'DOE25'!A2</f>
        <v>Mascenic Regional SD</v>
      </c>
      <c r="G2" s="294"/>
      <c r="H2" s="294"/>
      <c r="I2" s="294"/>
      <c r="J2" s="52"/>
      <c r="K2" s="52"/>
      <c r="L2" s="52"/>
      <c r="M2" s="214"/>
    </row>
    <row r="3" spans="1:26" x14ac:dyDescent="0.2">
      <c r="A3" s="215" t="s">
        <v>799</v>
      </c>
      <c r="B3" s="216" t="s">
        <v>800</v>
      </c>
      <c r="C3" s="291" t="s">
        <v>802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7"/>
      <c r="B4" s="218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7"/>
      <c r="B5" s="218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7"/>
      <c r="B6" s="218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7"/>
      <c r="B7" s="218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7"/>
      <c r="B8" s="218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7"/>
      <c r="B9" s="218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7"/>
      <c r="B10" s="218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7"/>
      <c r="B11" s="218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7"/>
      <c r="B12" s="218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7"/>
      <c r="B13" s="218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7"/>
      <c r="B14" s="218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7"/>
      <c r="B15" s="218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7"/>
      <c r="B16" s="218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7"/>
      <c r="B17" s="218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7"/>
      <c r="B18" s="218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7"/>
      <c r="B19" s="218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7"/>
      <c r="B20" s="218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7"/>
      <c r="B21" s="218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7"/>
      <c r="B22" s="218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7"/>
      <c r="B23" s="218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7"/>
      <c r="B24" s="218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7"/>
      <c r="B25" s="218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7"/>
      <c r="B26" s="218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7"/>
      <c r="B27" s="218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7"/>
      <c r="B28" s="218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7"/>
      <c r="B29" s="218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0"/>
      <c r="O29" s="210"/>
      <c r="P29" s="295"/>
      <c r="Q29" s="295"/>
      <c r="R29" s="295"/>
      <c r="S29" s="295"/>
      <c r="T29" s="295"/>
      <c r="U29" s="295"/>
      <c r="V29" s="295"/>
      <c r="W29" s="295"/>
      <c r="X29" s="295"/>
      <c r="Y29" s="295"/>
      <c r="Z29" s="295"/>
      <c r="AA29" s="206"/>
      <c r="AB29" s="206"/>
      <c r="AC29" s="296"/>
      <c r="AD29" s="296"/>
      <c r="AE29" s="296"/>
      <c r="AF29" s="296"/>
      <c r="AG29" s="296"/>
      <c r="AH29" s="296"/>
      <c r="AI29" s="296"/>
      <c r="AJ29" s="296"/>
      <c r="AK29" s="296"/>
      <c r="AL29" s="296"/>
      <c r="AM29" s="296"/>
      <c r="AN29" s="206"/>
      <c r="AO29" s="20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06"/>
      <c r="BB29" s="206"/>
      <c r="BC29" s="296"/>
      <c r="BD29" s="296"/>
      <c r="BE29" s="296"/>
      <c r="BF29" s="296"/>
      <c r="BG29" s="296"/>
      <c r="BH29" s="296"/>
      <c r="BI29" s="296"/>
      <c r="BJ29" s="296"/>
      <c r="BK29" s="296"/>
      <c r="BL29" s="296"/>
      <c r="BM29" s="296"/>
      <c r="BN29" s="206"/>
      <c r="BO29" s="206"/>
      <c r="BP29" s="296"/>
      <c r="BQ29" s="296"/>
      <c r="BR29" s="296"/>
      <c r="BS29" s="296"/>
      <c r="BT29" s="296"/>
      <c r="BU29" s="296"/>
      <c r="BV29" s="296"/>
      <c r="BW29" s="296"/>
      <c r="BX29" s="296"/>
      <c r="BY29" s="296"/>
      <c r="BZ29" s="296"/>
      <c r="CA29" s="206"/>
      <c r="CB29" s="206"/>
      <c r="CC29" s="296"/>
      <c r="CD29" s="296"/>
      <c r="CE29" s="296"/>
      <c r="CF29" s="296"/>
      <c r="CG29" s="296"/>
      <c r="CH29" s="296"/>
      <c r="CI29" s="296"/>
      <c r="CJ29" s="296"/>
      <c r="CK29" s="296"/>
      <c r="CL29" s="296"/>
      <c r="CM29" s="296"/>
      <c r="CN29" s="206"/>
      <c r="CO29" s="206"/>
      <c r="CP29" s="296"/>
      <c r="CQ29" s="296"/>
      <c r="CR29" s="296"/>
      <c r="CS29" s="296"/>
      <c r="CT29" s="296"/>
      <c r="CU29" s="296"/>
      <c r="CV29" s="296"/>
      <c r="CW29" s="296"/>
      <c r="CX29" s="296"/>
      <c r="CY29" s="296"/>
      <c r="CZ29" s="296"/>
      <c r="DA29" s="206"/>
      <c r="DB29" s="206"/>
      <c r="DC29" s="296"/>
      <c r="DD29" s="296"/>
      <c r="DE29" s="296"/>
      <c r="DF29" s="296"/>
      <c r="DG29" s="296"/>
      <c r="DH29" s="296"/>
      <c r="DI29" s="296"/>
      <c r="DJ29" s="296"/>
      <c r="DK29" s="296"/>
      <c r="DL29" s="296"/>
      <c r="DM29" s="296"/>
      <c r="DN29" s="206"/>
      <c r="DO29" s="206"/>
      <c r="DP29" s="296"/>
      <c r="DQ29" s="296"/>
      <c r="DR29" s="296"/>
      <c r="DS29" s="296"/>
      <c r="DT29" s="296"/>
      <c r="DU29" s="296"/>
      <c r="DV29" s="296"/>
      <c r="DW29" s="296"/>
      <c r="DX29" s="296"/>
      <c r="DY29" s="296"/>
      <c r="DZ29" s="296"/>
      <c r="EA29" s="206"/>
      <c r="EB29" s="206"/>
      <c r="EC29" s="296"/>
      <c r="ED29" s="296"/>
      <c r="EE29" s="296"/>
      <c r="EF29" s="296"/>
      <c r="EG29" s="296"/>
      <c r="EH29" s="296"/>
      <c r="EI29" s="296"/>
      <c r="EJ29" s="296"/>
      <c r="EK29" s="296"/>
      <c r="EL29" s="296"/>
      <c r="EM29" s="296"/>
      <c r="EN29" s="206"/>
      <c r="EO29" s="206"/>
      <c r="EP29" s="296"/>
      <c r="EQ29" s="296"/>
      <c r="ER29" s="296"/>
      <c r="ES29" s="296"/>
      <c r="ET29" s="296"/>
      <c r="EU29" s="296"/>
      <c r="EV29" s="296"/>
      <c r="EW29" s="296"/>
      <c r="EX29" s="296"/>
      <c r="EY29" s="296"/>
      <c r="EZ29" s="296"/>
      <c r="FA29" s="206"/>
      <c r="FB29" s="206"/>
      <c r="FC29" s="296"/>
      <c r="FD29" s="296"/>
      <c r="FE29" s="296"/>
      <c r="FF29" s="296"/>
      <c r="FG29" s="296"/>
      <c r="FH29" s="296"/>
      <c r="FI29" s="296"/>
      <c r="FJ29" s="296"/>
      <c r="FK29" s="296"/>
      <c r="FL29" s="296"/>
      <c r="FM29" s="296"/>
      <c r="FN29" s="206"/>
      <c r="FO29" s="206"/>
      <c r="FP29" s="296"/>
      <c r="FQ29" s="296"/>
      <c r="FR29" s="296"/>
      <c r="FS29" s="296"/>
      <c r="FT29" s="296"/>
      <c r="FU29" s="296"/>
      <c r="FV29" s="296"/>
      <c r="FW29" s="296"/>
      <c r="FX29" s="296"/>
      <c r="FY29" s="296"/>
      <c r="FZ29" s="296"/>
      <c r="GA29" s="206"/>
      <c r="GB29" s="206"/>
      <c r="GC29" s="296"/>
      <c r="GD29" s="296"/>
      <c r="GE29" s="296"/>
      <c r="GF29" s="296"/>
      <c r="GG29" s="296"/>
      <c r="GH29" s="296"/>
      <c r="GI29" s="296"/>
      <c r="GJ29" s="296"/>
      <c r="GK29" s="296"/>
      <c r="GL29" s="296"/>
      <c r="GM29" s="296"/>
      <c r="GN29" s="206"/>
      <c r="GO29" s="206"/>
      <c r="GP29" s="296"/>
      <c r="GQ29" s="296"/>
      <c r="GR29" s="296"/>
      <c r="GS29" s="296"/>
      <c r="GT29" s="296"/>
      <c r="GU29" s="296"/>
      <c r="GV29" s="296"/>
      <c r="GW29" s="296"/>
      <c r="GX29" s="296"/>
      <c r="GY29" s="296"/>
      <c r="GZ29" s="296"/>
      <c r="HA29" s="206"/>
      <c r="HB29" s="206"/>
      <c r="HC29" s="296"/>
      <c r="HD29" s="296"/>
      <c r="HE29" s="296"/>
      <c r="HF29" s="296"/>
      <c r="HG29" s="296"/>
      <c r="HH29" s="296"/>
      <c r="HI29" s="296"/>
      <c r="HJ29" s="296"/>
      <c r="HK29" s="296"/>
      <c r="HL29" s="296"/>
      <c r="HM29" s="296"/>
      <c r="HN29" s="206"/>
      <c r="HO29" s="206"/>
      <c r="HP29" s="296"/>
      <c r="HQ29" s="296"/>
      <c r="HR29" s="296"/>
      <c r="HS29" s="296"/>
      <c r="HT29" s="296"/>
      <c r="HU29" s="296"/>
      <c r="HV29" s="296"/>
      <c r="HW29" s="296"/>
      <c r="HX29" s="296"/>
      <c r="HY29" s="296"/>
      <c r="HZ29" s="296"/>
      <c r="IA29" s="206"/>
      <c r="IB29" s="206"/>
      <c r="IC29" s="296"/>
      <c r="ID29" s="296"/>
      <c r="IE29" s="296"/>
      <c r="IF29" s="296"/>
      <c r="IG29" s="296"/>
      <c r="IH29" s="296"/>
      <c r="II29" s="296"/>
      <c r="IJ29" s="296"/>
      <c r="IK29" s="296"/>
      <c r="IL29" s="296"/>
      <c r="IM29" s="296"/>
      <c r="IN29" s="206"/>
      <c r="IO29" s="206"/>
      <c r="IP29" s="296"/>
      <c r="IQ29" s="296"/>
      <c r="IR29" s="296"/>
      <c r="IS29" s="296"/>
      <c r="IT29" s="296"/>
      <c r="IU29" s="296"/>
      <c r="IV29" s="296"/>
    </row>
    <row r="30" spans="1:256" x14ac:dyDescent="0.2">
      <c r="A30" s="217"/>
      <c r="B30" s="218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0"/>
      <c r="O30" s="210"/>
      <c r="P30" s="295"/>
      <c r="Q30" s="295"/>
      <c r="R30" s="295"/>
      <c r="S30" s="295"/>
      <c r="T30" s="295"/>
      <c r="U30" s="295"/>
      <c r="V30" s="295"/>
      <c r="W30" s="295"/>
      <c r="X30" s="295"/>
      <c r="Y30" s="295"/>
      <c r="Z30" s="295"/>
      <c r="AA30" s="206"/>
      <c r="AB30" s="206"/>
      <c r="AC30" s="296"/>
      <c r="AD30" s="296"/>
      <c r="AE30" s="296"/>
      <c r="AF30" s="296"/>
      <c r="AG30" s="296"/>
      <c r="AH30" s="296"/>
      <c r="AI30" s="296"/>
      <c r="AJ30" s="296"/>
      <c r="AK30" s="296"/>
      <c r="AL30" s="296"/>
      <c r="AM30" s="296"/>
      <c r="AN30" s="206"/>
      <c r="AO30" s="20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06"/>
      <c r="BB30" s="206"/>
      <c r="BC30" s="296"/>
      <c r="BD30" s="296"/>
      <c r="BE30" s="296"/>
      <c r="BF30" s="296"/>
      <c r="BG30" s="296"/>
      <c r="BH30" s="296"/>
      <c r="BI30" s="296"/>
      <c r="BJ30" s="296"/>
      <c r="BK30" s="296"/>
      <c r="BL30" s="296"/>
      <c r="BM30" s="296"/>
      <c r="BN30" s="206"/>
      <c r="BO30" s="206"/>
      <c r="BP30" s="296"/>
      <c r="BQ30" s="296"/>
      <c r="BR30" s="296"/>
      <c r="BS30" s="296"/>
      <c r="BT30" s="296"/>
      <c r="BU30" s="296"/>
      <c r="BV30" s="296"/>
      <c r="BW30" s="296"/>
      <c r="BX30" s="296"/>
      <c r="BY30" s="296"/>
      <c r="BZ30" s="296"/>
      <c r="CA30" s="206"/>
      <c r="CB30" s="206"/>
      <c r="CC30" s="296"/>
      <c r="CD30" s="296"/>
      <c r="CE30" s="296"/>
      <c r="CF30" s="296"/>
      <c r="CG30" s="296"/>
      <c r="CH30" s="296"/>
      <c r="CI30" s="296"/>
      <c r="CJ30" s="296"/>
      <c r="CK30" s="296"/>
      <c r="CL30" s="296"/>
      <c r="CM30" s="296"/>
      <c r="CN30" s="206"/>
      <c r="CO30" s="206"/>
      <c r="CP30" s="296"/>
      <c r="CQ30" s="296"/>
      <c r="CR30" s="296"/>
      <c r="CS30" s="296"/>
      <c r="CT30" s="296"/>
      <c r="CU30" s="296"/>
      <c r="CV30" s="296"/>
      <c r="CW30" s="296"/>
      <c r="CX30" s="296"/>
      <c r="CY30" s="296"/>
      <c r="CZ30" s="296"/>
      <c r="DA30" s="206"/>
      <c r="DB30" s="206"/>
      <c r="DC30" s="296"/>
      <c r="DD30" s="296"/>
      <c r="DE30" s="296"/>
      <c r="DF30" s="296"/>
      <c r="DG30" s="296"/>
      <c r="DH30" s="296"/>
      <c r="DI30" s="296"/>
      <c r="DJ30" s="296"/>
      <c r="DK30" s="296"/>
      <c r="DL30" s="296"/>
      <c r="DM30" s="296"/>
      <c r="DN30" s="206"/>
      <c r="DO30" s="206"/>
      <c r="DP30" s="296"/>
      <c r="DQ30" s="296"/>
      <c r="DR30" s="296"/>
      <c r="DS30" s="296"/>
      <c r="DT30" s="296"/>
      <c r="DU30" s="296"/>
      <c r="DV30" s="296"/>
      <c r="DW30" s="296"/>
      <c r="DX30" s="296"/>
      <c r="DY30" s="296"/>
      <c r="DZ30" s="296"/>
      <c r="EA30" s="206"/>
      <c r="EB30" s="206"/>
      <c r="EC30" s="296"/>
      <c r="ED30" s="296"/>
      <c r="EE30" s="296"/>
      <c r="EF30" s="296"/>
      <c r="EG30" s="296"/>
      <c r="EH30" s="296"/>
      <c r="EI30" s="296"/>
      <c r="EJ30" s="296"/>
      <c r="EK30" s="296"/>
      <c r="EL30" s="296"/>
      <c r="EM30" s="296"/>
      <c r="EN30" s="206"/>
      <c r="EO30" s="206"/>
      <c r="EP30" s="296"/>
      <c r="EQ30" s="296"/>
      <c r="ER30" s="296"/>
      <c r="ES30" s="296"/>
      <c r="ET30" s="296"/>
      <c r="EU30" s="296"/>
      <c r="EV30" s="296"/>
      <c r="EW30" s="296"/>
      <c r="EX30" s="296"/>
      <c r="EY30" s="296"/>
      <c r="EZ30" s="296"/>
      <c r="FA30" s="206"/>
      <c r="FB30" s="206"/>
      <c r="FC30" s="296"/>
      <c r="FD30" s="296"/>
      <c r="FE30" s="296"/>
      <c r="FF30" s="296"/>
      <c r="FG30" s="296"/>
      <c r="FH30" s="296"/>
      <c r="FI30" s="296"/>
      <c r="FJ30" s="296"/>
      <c r="FK30" s="296"/>
      <c r="FL30" s="296"/>
      <c r="FM30" s="296"/>
      <c r="FN30" s="206"/>
      <c r="FO30" s="206"/>
      <c r="FP30" s="296"/>
      <c r="FQ30" s="296"/>
      <c r="FR30" s="296"/>
      <c r="FS30" s="296"/>
      <c r="FT30" s="296"/>
      <c r="FU30" s="296"/>
      <c r="FV30" s="296"/>
      <c r="FW30" s="296"/>
      <c r="FX30" s="296"/>
      <c r="FY30" s="296"/>
      <c r="FZ30" s="296"/>
      <c r="GA30" s="206"/>
      <c r="GB30" s="206"/>
      <c r="GC30" s="296"/>
      <c r="GD30" s="296"/>
      <c r="GE30" s="296"/>
      <c r="GF30" s="296"/>
      <c r="GG30" s="296"/>
      <c r="GH30" s="296"/>
      <c r="GI30" s="296"/>
      <c r="GJ30" s="296"/>
      <c r="GK30" s="296"/>
      <c r="GL30" s="296"/>
      <c r="GM30" s="296"/>
      <c r="GN30" s="206"/>
      <c r="GO30" s="206"/>
      <c r="GP30" s="296"/>
      <c r="GQ30" s="296"/>
      <c r="GR30" s="296"/>
      <c r="GS30" s="296"/>
      <c r="GT30" s="296"/>
      <c r="GU30" s="296"/>
      <c r="GV30" s="296"/>
      <c r="GW30" s="296"/>
      <c r="GX30" s="296"/>
      <c r="GY30" s="296"/>
      <c r="GZ30" s="296"/>
      <c r="HA30" s="206"/>
      <c r="HB30" s="206"/>
      <c r="HC30" s="296"/>
      <c r="HD30" s="296"/>
      <c r="HE30" s="296"/>
      <c r="HF30" s="296"/>
      <c r="HG30" s="296"/>
      <c r="HH30" s="296"/>
      <c r="HI30" s="296"/>
      <c r="HJ30" s="296"/>
      <c r="HK30" s="296"/>
      <c r="HL30" s="296"/>
      <c r="HM30" s="296"/>
      <c r="HN30" s="206"/>
      <c r="HO30" s="206"/>
      <c r="HP30" s="296"/>
      <c r="HQ30" s="296"/>
      <c r="HR30" s="296"/>
      <c r="HS30" s="296"/>
      <c r="HT30" s="296"/>
      <c r="HU30" s="296"/>
      <c r="HV30" s="296"/>
      <c r="HW30" s="296"/>
      <c r="HX30" s="296"/>
      <c r="HY30" s="296"/>
      <c r="HZ30" s="296"/>
      <c r="IA30" s="206"/>
      <c r="IB30" s="206"/>
      <c r="IC30" s="296"/>
      <c r="ID30" s="296"/>
      <c r="IE30" s="296"/>
      <c r="IF30" s="296"/>
      <c r="IG30" s="296"/>
      <c r="IH30" s="296"/>
      <c r="II30" s="296"/>
      <c r="IJ30" s="296"/>
      <c r="IK30" s="296"/>
      <c r="IL30" s="296"/>
      <c r="IM30" s="296"/>
      <c r="IN30" s="206"/>
      <c r="IO30" s="206"/>
      <c r="IP30" s="296"/>
      <c r="IQ30" s="296"/>
      <c r="IR30" s="296"/>
      <c r="IS30" s="296"/>
      <c r="IT30" s="296"/>
      <c r="IU30" s="296"/>
      <c r="IV30" s="296"/>
    </row>
    <row r="31" spans="1:256" x14ac:dyDescent="0.2">
      <c r="A31" s="217"/>
      <c r="B31" s="218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0"/>
      <c r="O31" s="210"/>
      <c r="P31" s="295"/>
      <c r="Q31" s="295"/>
      <c r="R31" s="295"/>
      <c r="S31" s="295"/>
      <c r="T31" s="295"/>
      <c r="U31" s="295"/>
      <c r="V31" s="295"/>
      <c r="W31" s="295"/>
      <c r="X31" s="295"/>
      <c r="Y31" s="295"/>
      <c r="Z31" s="295"/>
      <c r="AA31" s="206"/>
      <c r="AB31" s="206"/>
      <c r="AC31" s="296"/>
      <c r="AD31" s="296"/>
      <c r="AE31" s="296"/>
      <c r="AF31" s="296"/>
      <c r="AG31" s="296"/>
      <c r="AH31" s="296"/>
      <c r="AI31" s="296"/>
      <c r="AJ31" s="296"/>
      <c r="AK31" s="296"/>
      <c r="AL31" s="296"/>
      <c r="AM31" s="296"/>
      <c r="AN31" s="206"/>
      <c r="AO31" s="20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06"/>
      <c r="BB31" s="206"/>
      <c r="BC31" s="296"/>
      <c r="BD31" s="296"/>
      <c r="BE31" s="296"/>
      <c r="BF31" s="296"/>
      <c r="BG31" s="296"/>
      <c r="BH31" s="296"/>
      <c r="BI31" s="296"/>
      <c r="BJ31" s="296"/>
      <c r="BK31" s="296"/>
      <c r="BL31" s="296"/>
      <c r="BM31" s="296"/>
      <c r="BN31" s="206"/>
      <c r="BO31" s="206"/>
      <c r="BP31" s="296"/>
      <c r="BQ31" s="296"/>
      <c r="BR31" s="296"/>
      <c r="BS31" s="296"/>
      <c r="BT31" s="296"/>
      <c r="BU31" s="296"/>
      <c r="BV31" s="296"/>
      <c r="BW31" s="296"/>
      <c r="BX31" s="296"/>
      <c r="BY31" s="296"/>
      <c r="BZ31" s="296"/>
      <c r="CA31" s="206"/>
      <c r="CB31" s="206"/>
      <c r="CC31" s="296"/>
      <c r="CD31" s="296"/>
      <c r="CE31" s="296"/>
      <c r="CF31" s="296"/>
      <c r="CG31" s="296"/>
      <c r="CH31" s="296"/>
      <c r="CI31" s="296"/>
      <c r="CJ31" s="296"/>
      <c r="CK31" s="296"/>
      <c r="CL31" s="296"/>
      <c r="CM31" s="296"/>
      <c r="CN31" s="206"/>
      <c r="CO31" s="206"/>
      <c r="CP31" s="296"/>
      <c r="CQ31" s="296"/>
      <c r="CR31" s="296"/>
      <c r="CS31" s="296"/>
      <c r="CT31" s="296"/>
      <c r="CU31" s="296"/>
      <c r="CV31" s="296"/>
      <c r="CW31" s="296"/>
      <c r="CX31" s="296"/>
      <c r="CY31" s="296"/>
      <c r="CZ31" s="296"/>
      <c r="DA31" s="206"/>
      <c r="DB31" s="206"/>
      <c r="DC31" s="296"/>
      <c r="DD31" s="296"/>
      <c r="DE31" s="296"/>
      <c r="DF31" s="296"/>
      <c r="DG31" s="296"/>
      <c r="DH31" s="296"/>
      <c r="DI31" s="296"/>
      <c r="DJ31" s="296"/>
      <c r="DK31" s="296"/>
      <c r="DL31" s="296"/>
      <c r="DM31" s="296"/>
      <c r="DN31" s="206"/>
      <c r="DO31" s="206"/>
      <c r="DP31" s="296"/>
      <c r="DQ31" s="296"/>
      <c r="DR31" s="296"/>
      <c r="DS31" s="296"/>
      <c r="DT31" s="296"/>
      <c r="DU31" s="296"/>
      <c r="DV31" s="296"/>
      <c r="DW31" s="296"/>
      <c r="DX31" s="296"/>
      <c r="DY31" s="296"/>
      <c r="DZ31" s="296"/>
      <c r="EA31" s="206"/>
      <c r="EB31" s="206"/>
      <c r="EC31" s="296"/>
      <c r="ED31" s="296"/>
      <c r="EE31" s="296"/>
      <c r="EF31" s="296"/>
      <c r="EG31" s="296"/>
      <c r="EH31" s="296"/>
      <c r="EI31" s="296"/>
      <c r="EJ31" s="296"/>
      <c r="EK31" s="296"/>
      <c r="EL31" s="296"/>
      <c r="EM31" s="296"/>
      <c r="EN31" s="206"/>
      <c r="EO31" s="206"/>
      <c r="EP31" s="296"/>
      <c r="EQ31" s="296"/>
      <c r="ER31" s="296"/>
      <c r="ES31" s="296"/>
      <c r="ET31" s="296"/>
      <c r="EU31" s="296"/>
      <c r="EV31" s="296"/>
      <c r="EW31" s="296"/>
      <c r="EX31" s="296"/>
      <c r="EY31" s="296"/>
      <c r="EZ31" s="296"/>
      <c r="FA31" s="206"/>
      <c r="FB31" s="206"/>
      <c r="FC31" s="296"/>
      <c r="FD31" s="296"/>
      <c r="FE31" s="296"/>
      <c r="FF31" s="296"/>
      <c r="FG31" s="296"/>
      <c r="FH31" s="296"/>
      <c r="FI31" s="296"/>
      <c r="FJ31" s="296"/>
      <c r="FK31" s="296"/>
      <c r="FL31" s="296"/>
      <c r="FM31" s="296"/>
      <c r="FN31" s="206"/>
      <c r="FO31" s="206"/>
      <c r="FP31" s="296"/>
      <c r="FQ31" s="296"/>
      <c r="FR31" s="296"/>
      <c r="FS31" s="296"/>
      <c r="FT31" s="296"/>
      <c r="FU31" s="296"/>
      <c r="FV31" s="296"/>
      <c r="FW31" s="296"/>
      <c r="FX31" s="296"/>
      <c r="FY31" s="296"/>
      <c r="FZ31" s="296"/>
      <c r="GA31" s="206"/>
      <c r="GB31" s="206"/>
      <c r="GC31" s="296"/>
      <c r="GD31" s="296"/>
      <c r="GE31" s="296"/>
      <c r="GF31" s="296"/>
      <c r="GG31" s="296"/>
      <c r="GH31" s="296"/>
      <c r="GI31" s="296"/>
      <c r="GJ31" s="296"/>
      <c r="GK31" s="296"/>
      <c r="GL31" s="296"/>
      <c r="GM31" s="296"/>
      <c r="GN31" s="206"/>
      <c r="GO31" s="206"/>
      <c r="GP31" s="296"/>
      <c r="GQ31" s="296"/>
      <c r="GR31" s="296"/>
      <c r="GS31" s="296"/>
      <c r="GT31" s="296"/>
      <c r="GU31" s="296"/>
      <c r="GV31" s="296"/>
      <c r="GW31" s="296"/>
      <c r="GX31" s="296"/>
      <c r="GY31" s="296"/>
      <c r="GZ31" s="296"/>
      <c r="HA31" s="206"/>
      <c r="HB31" s="206"/>
      <c r="HC31" s="296"/>
      <c r="HD31" s="296"/>
      <c r="HE31" s="296"/>
      <c r="HF31" s="296"/>
      <c r="HG31" s="296"/>
      <c r="HH31" s="296"/>
      <c r="HI31" s="296"/>
      <c r="HJ31" s="296"/>
      <c r="HK31" s="296"/>
      <c r="HL31" s="296"/>
      <c r="HM31" s="296"/>
      <c r="HN31" s="206"/>
      <c r="HO31" s="206"/>
      <c r="HP31" s="296"/>
      <c r="HQ31" s="296"/>
      <c r="HR31" s="296"/>
      <c r="HS31" s="296"/>
      <c r="HT31" s="296"/>
      <c r="HU31" s="296"/>
      <c r="HV31" s="296"/>
      <c r="HW31" s="296"/>
      <c r="HX31" s="296"/>
      <c r="HY31" s="296"/>
      <c r="HZ31" s="296"/>
      <c r="IA31" s="206"/>
      <c r="IB31" s="206"/>
      <c r="IC31" s="296"/>
      <c r="ID31" s="296"/>
      <c r="IE31" s="296"/>
      <c r="IF31" s="296"/>
      <c r="IG31" s="296"/>
      <c r="IH31" s="296"/>
      <c r="II31" s="296"/>
      <c r="IJ31" s="296"/>
      <c r="IK31" s="296"/>
      <c r="IL31" s="296"/>
      <c r="IM31" s="296"/>
      <c r="IN31" s="206"/>
      <c r="IO31" s="206"/>
      <c r="IP31" s="296"/>
      <c r="IQ31" s="296"/>
      <c r="IR31" s="296"/>
      <c r="IS31" s="296"/>
      <c r="IT31" s="296"/>
      <c r="IU31" s="296"/>
      <c r="IV31" s="296"/>
    </row>
    <row r="32" spans="1:256" x14ac:dyDescent="0.2">
      <c r="A32" s="217"/>
      <c r="B32" s="218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2"/>
      <c r="O32" s="222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8"/>
      <c r="AA32" s="217"/>
      <c r="AB32" s="218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7"/>
      <c r="AO32" s="218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7"/>
      <c r="BB32" s="218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7"/>
      <c r="BO32" s="218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7"/>
      <c r="CB32" s="218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7"/>
      <c r="CO32" s="218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7"/>
      <c r="DB32" s="218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7"/>
      <c r="DO32" s="218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7"/>
      <c r="EB32" s="218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7"/>
      <c r="EO32" s="218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7"/>
      <c r="FB32" s="218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7"/>
      <c r="FO32" s="218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7"/>
      <c r="GB32" s="218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7"/>
      <c r="GO32" s="218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7"/>
      <c r="HB32" s="218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7"/>
      <c r="HO32" s="218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7"/>
      <c r="IB32" s="218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7"/>
      <c r="IO32" s="218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7"/>
      <c r="B33" s="218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0"/>
      <c r="O33" s="210"/>
      <c r="P33" s="221"/>
      <c r="Q33" s="221"/>
      <c r="R33" s="221"/>
      <c r="S33" s="221"/>
      <c r="T33" s="221"/>
      <c r="U33" s="221"/>
      <c r="V33" s="221"/>
      <c r="W33" s="221"/>
      <c r="X33" s="221"/>
      <c r="Y33" s="221"/>
      <c r="Z33" s="221"/>
      <c r="AA33" s="206"/>
      <c r="AB33" s="206"/>
      <c r="AC33" s="211"/>
      <c r="AD33" s="211"/>
      <c r="AE33" s="211"/>
      <c r="AF33" s="211"/>
      <c r="AG33" s="211"/>
      <c r="AH33" s="211"/>
      <c r="AI33" s="211"/>
      <c r="AJ33" s="211"/>
      <c r="AK33" s="211"/>
      <c r="AL33" s="211"/>
      <c r="AM33" s="211"/>
      <c r="AN33" s="206"/>
      <c r="AO33" s="206"/>
      <c r="AP33" s="211"/>
      <c r="AQ33" s="211"/>
      <c r="AR33" s="211"/>
      <c r="AS33" s="211"/>
      <c r="AT33" s="211"/>
      <c r="AU33" s="211"/>
      <c r="AV33" s="211"/>
      <c r="AW33" s="211"/>
      <c r="AX33" s="211"/>
      <c r="AY33" s="211"/>
      <c r="AZ33" s="211"/>
      <c r="BA33" s="206"/>
      <c r="BB33" s="206"/>
      <c r="BC33" s="211"/>
      <c r="BD33" s="211"/>
      <c r="BE33" s="211"/>
      <c r="BF33" s="211"/>
      <c r="BG33" s="211"/>
      <c r="BH33" s="211"/>
      <c r="BI33" s="211"/>
      <c r="BJ33" s="211"/>
      <c r="BK33" s="211"/>
      <c r="BL33" s="211"/>
      <c r="BM33" s="211"/>
      <c r="BN33" s="206"/>
      <c r="BO33" s="206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06"/>
      <c r="CB33" s="206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06"/>
      <c r="CO33" s="206"/>
      <c r="CP33" s="211"/>
      <c r="CQ33" s="211"/>
      <c r="CR33" s="211"/>
      <c r="CS33" s="211"/>
      <c r="CT33" s="211"/>
      <c r="CU33" s="211"/>
      <c r="CV33" s="211"/>
      <c r="CW33" s="211"/>
      <c r="CX33" s="211"/>
      <c r="CY33" s="211"/>
      <c r="CZ33" s="211"/>
      <c r="DA33" s="206"/>
      <c r="DB33" s="206"/>
      <c r="DC33" s="211"/>
      <c r="DD33" s="211"/>
      <c r="DE33" s="211"/>
      <c r="DF33" s="211"/>
      <c r="DG33" s="211"/>
      <c r="DH33" s="211"/>
      <c r="DI33" s="211"/>
      <c r="DJ33" s="211"/>
      <c r="DK33" s="211"/>
      <c r="DL33" s="211"/>
      <c r="DM33" s="211"/>
      <c r="DN33" s="206"/>
      <c r="DO33" s="206"/>
      <c r="DP33" s="211"/>
      <c r="DQ33" s="211"/>
      <c r="DR33" s="211"/>
      <c r="DS33" s="211"/>
      <c r="DT33" s="211"/>
      <c r="DU33" s="211"/>
      <c r="DV33" s="211"/>
      <c r="DW33" s="211"/>
      <c r="DX33" s="211"/>
      <c r="DY33" s="211"/>
      <c r="DZ33" s="211"/>
      <c r="EA33" s="206"/>
      <c r="EB33" s="206"/>
      <c r="EC33" s="211"/>
      <c r="ED33" s="211"/>
      <c r="EE33" s="211"/>
      <c r="EF33" s="211"/>
      <c r="EG33" s="211"/>
      <c r="EH33" s="211"/>
      <c r="EI33" s="211"/>
      <c r="EJ33" s="211"/>
      <c r="EK33" s="211"/>
      <c r="EL33" s="211"/>
      <c r="EM33" s="211"/>
      <c r="EN33" s="206"/>
      <c r="EO33" s="206"/>
      <c r="EP33" s="211"/>
      <c r="EQ33" s="211"/>
      <c r="ER33" s="211"/>
      <c r="ES33" s="211"/>
      <c r="ET33" s="211"/>
      <c r="EU33" s="211"/>
      <c r="EV33" s="211"/>
      <c r="EW33" s="211"/>
      <c r="EX33" s="211"/>
      <c r="EY33" s="211"/>
      <c r="EZ33" s="211"/>
      <c r="FA33" s="206"/>
      <c r="FB33" s="206"/>
      <c r="FC33" s="211"/>
      <c r="FD33" s="211"/>
      <c r="FE33" s="211"/>
      <c r="FF33" s="211"/>
      <c r="FG33" s="211"/>
      <c r="FH33" s="211"/>
      <c r="FI33" s="211"/>
      <c r="FJ33" s="211"/>
      <c r="FK33" s="211"/>
      <c r="FL33" s="211"/>
      <c r="FM33" s="211"/>
      <c r="FN33" s="206"/>
      <c r="FO33" s="206"/>
      <c r="FP33" s="211"/>
      <c r="FQ33" s="211"/>
      <c r="FR33" s="211"/>
      <c r="FS33" s="211"/>
      <c r="FT33" s="211"/>
      <c r="FU33" s="211"/>
      <c r="FV33" s="211"/>
      <c r="FW33" s="211"/>
      <c r="FX33" s="211"/>
      <c r="FY33" s="211"/>
      <c r="FZ33" s="211"/>
      <c r="GA33" s="206"/>
      <c r="GB33" s="206"/>
      <c r="GC33" s="211"/>
      <c r="GD33" s="211"/>
      <c r="GE33" s="211"/>
      <c r="GF33" s="211"/>
      <c r="GG33" s="211"/>
      <c r="GH33" s="211"/>
      <c r="GI33" s="211"/>
      <c r="GJ33" s="211"/>
      <c r="GK33" s="211"/>
      <c r="GL33" s="211"/>
      <c r="GM33" s="211"/>
      <c r="GN33" s="206"/>
      <c r="GO33" s="206"/>
      <c r="GP33" s="211"/>
      <c r="GQ33" s="211"/>
      <c r="GR33" s="211"/>
      <c r="GS33" s="211"/>
      <c r="GT33" s="211"/>
      <c r="GU33" s="211"/>
      <c r="GV33" s="211"/>
      <c r="GW33" s="211"/>
      <c r="GX33" s="211"/>
      <c r="GY33" s="211"/>
      <c r="GZ33" s="211"/>
      <c r="HA33" s="206"/>
      <c r="HB33" s="206"/>
      <c r="HC33" s="211"/>
      <c r="HD33" s="211"/>
      <c r="HE33" s="211"/>
      <c r="HF33" s="211"/>
      <c r="HG33" s="211"/>
      <c r="HH33" s="211"/>
      <c r="HI33" s="211"/>
      <c r="HJ33" s="211"/>
      <c r="HK33" s="211"/>
      <c r="HL33" s="211"/>
      <c r="HM33" s="211"/>
      <c r="HN33" s="206"/>
      <c r="HO33" s="206"/>
      <c r="HP33" s="211"/>
      <c r="HQ33" s="211"/>
      <c r="HR33" s="211"/>
      <c r="HS33" s="211"/>
      <c r="HT33" s="211"/>
      <c r="HU33" s="211"/>
      <c r="HV33" s="211"/>
      <c r="HW33" s="211"/>
      <c r="HX33" s="211"/>
      <c r="HY33" s="211"/>
      <c r="HZ33" s="211"/>
      <c r="IA33" s="206"/>
      <c r="IB33" s="206"/>
      <c r="IC33" s="211"/>
      <c r="ID33" s="211"/>
      <c r="IE33" s="211"/>
      <c r="IF33" s="211"/>
      <c r="IG33" s="211"/>
      <c r="IH33" s="211"/>
      <c r="II33" s="211"/>
      <c r="IJ33" s="211"/>
      <c r="IK33" s="211"/>
      <c r="IL33" s="211"/>
      <c r="IM33" s="211"/>
      <c r="IN33" s="206"/>
      <c r="IO33" s="206"/>
      <c r="IP33" s="211"/>
      <c r="IQ33" s="211"/>
      <c r="IR33" s="211"/>
      <c r="IS33" s="211"/>
      <c r="IT33" s="211"/>
      <c r="IU33" s="211"/>
      <c r="IV33" s="211"/>
    </row>
    <row r="34" spans="1:256" x14ac:dyDescent="0.2">
      <c r="A34" s="217"/>
      <c r="B34" s="218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0"/>
      <c r="O34" s="210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  <c r="AA34" s="206"/>
      <c r="AB34" s="206"/>
      <c r="AC34" s="211"/>
      <c r="AD34" s="211"/>
      <c r="AE34" s="211"/>
      <c r="AF34" s="211"/>
      <c r="AG34" s="211"/>
      <c r="AH34" s="211"/>
      <c r="AI34" s="211"/>
      <c r="AJ34" s="211"/>
      <c r="AK34" s="211"/>
      <c r="AL34" s="211"/>
      <c r="AM34" s="211"/>
      <c r="AN34" s="206"/>
      <c r="AO34" s="206"/>
      <c r="AP34" s="211"/>
      <c r="AQ34" s="211"/>
      <c r="AR34" s="211"/>
      <c r="AS34" s="211"/>
      <c r="AT34" s="211"/>
      <c r="AU34" s="211"/>
      <c r="AV34" s="211"/>
      <c r="AW34" s="211"/>
      <c r="AX34" s="211"/>
      <c r="AY34" s="211"/>
      <c r="AZ34" s="211"/>
      <c r="BA34" s="206"/>
      <c r="BB34" s="206"/>
      <c r="BC34" s="211"/>
      <c r="BD34" s="211"/>
      <c r="BE34" s="211"/>
      <c r="BF34" s="211"/>
      <c r="BG34" s="211"/>
      <c r="BH34" s="211"/>
      <c r="BI34" s="211"/>
      <c r="BJ34" s="211"/>
      <c r="BK34" s="211"/>
      <c r="BL34" s="211"/>
      <c r="BM34" s="211"/>
      <c r="BN34" s="206"/>
      <c r="BO34" s="206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06"/>
      <c r="CB34" s="206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06"/>
      <c r="CO34" s="206"/>
      <c r="CP34" s="211"/>
      <c r="CQ34" s="211"/>
      <c r="CR34" s="211"/>
      <c r="CS34" s="211"/>
      <c r="CT34" s="211"/>
      <c r="CU34" s="211"/>
      <c r="CV34" s="211"/>
      <c r="CW34" s="211"/>
      <c r="CX34" s="211"/>
      <c r="CY34" s="211"/>
      <c r="CZ34" s="211"/>
      <c r="DA34" s="206"/>
      <c r="DB34" s="206"/>
      <c r="DC34" s="211"/>
      <c r="DD34" s="211"/>
      <c r="DE34" s="211"/>
      <c r="DF34" s="211"/>
      <c r="DG34" s="211"/>
      <c r="DH34" s="211"/>
      <c r="DI34" s="211"/>
      <c r="DJ34" s="211"/>
      <c r="DK34" s="211"/>
      <c r="DL34" s="211"/>
      <c r="DM34" s="211"/>
      <c r="DN34" s="206"/>
      <c r="DO34" s="206"/>
      <c r="DP34" s="211"/>
      <c r="DQ34" s="211"/>
      <c r="DR34" s="211"/>
      <c r="DS34" s="211"/>
      <c r="DT34" s="211"/>
      <c r="DU34" s="211"/>
      <c r="DV34" s="211"/>
      <c r="DW34" s="211"/>
      <c r="DX34" s="211"/>
      <c r="DY34" s="211"/>
      <c r="DZ34" s="211"/>
      <c r="EA34" s="206"/>
      <c r="EB34" s="206"/>
      <c r="EC34" s="211"/>
      <c r="ED34" s="211"/>
      <c r="EE34" s="211"/>
      <c r="EF34" s="211"/>
      <c r="EG34" s="211"/>
      <c r="EH34" s="211"/>
      <c r="EI34" s="211"/>
      <c r="EJ34" s="211"/>
      <c r="EK34" s="211"/>
      <c r="EL34" s="211"/>
      <c r="EM34" s="211"/>
      <c r="EN34" s="206"/>
      <c r="EO34" s="206"/>
      <c r="EP34" s="211"/>
      <c r="EQ34" s="211"/>
      <c r="ER34" s="211"/>
      <c r="ES34" s="211"/>
      <c r="ET34" s="211"/>
      <c r="EU34" s="211"/>
      <c r="EV34" s="211"/>
      <c r="EW34" s="211"/>
      <c r="EX34" s="211"/>
      <c r="EY34" s="211"/>
      <c r="EZ34" s="211"/>
      <c r="FA34" s="206"/>
      <c r="FB34" s="206"/>
      <c r="FC34" s="211"/>
      <c r="FD34" s="211"/>
      <c r="FE34" s="211"/>
      <c r="FF34" s="211"/>
      <c r="FG34" s="211"/>
      <c r="FH34" s="211"/>
      <c r="FI34" s="211"/>
      <c r="FJ34" s="211"/>
      <c r="FK34" s="211"/>
      <c r="FL34" s="211"/>
      <c r="FM34" s="211"/>
      <c r="FN34" s="206"/>
      <c r="FO34" s="206"/>
      <c r="FP34" s="211"/>
      <c r="FQ34" s="211"/>
      <c r="FR34" s="211"/>
      <c r="FS34" s="211"/>
      <c r="FT34" s="211"/>
      <c r="FU34" s="211"/>
      <c r="FV34" s="211"/>
      <c r="FW34" s="211"/>
      <c r="FX34" s="211"/>
      <c r="FY34" s="211"/>
      <c r="FZ34" s="211"/>
      <c r="GA34" s="206"/>
      <c r="GB34" s="206"/>
      <c r="GC34" s="211"/>
      <c r="GD34" s="211"/>
      <c r="GE34" s="211"/>
      <c r="GF34" s="211"/>
      <c r="GG34" s="211"/>
      <c r="GH34" s="211"/>
      <c r="GI34" s="211"/>
      <c r="GJ34" s="211"/>
      <c r="GK34" s="211"/>
      <c r="GL34" s="211"/>
      <c r="GM34" s="211"/>
      <c r="GN34" s="206"/>
      <c r="GO34" s="206"/>
      <c r="GP34" s="211"/>
      <c r="GQ34" s="211"/>
      <c r="GR34" s="211"/>
      <c r="GS34" s="211"/>
      <c r="GT34" s="211"/>
      <c r="GU34" s="211"/>
      <c r="GV34" s="211"/>
      <c r="GW34" s="211"/>
      <c r="GX34" s="211"/>
      <c r="GY34" s="211"/>
      <c r="GZ34" s="211"/>
      <c r="HA34" s="206"/>
      <c r="HB34" s="206"/>
      <c r="HC34" s="211"/>
      <c r="HD34" s="211"/>
      <c r="HE34" s="211"/>
      <c r="HF34" s="211"/>
      <c r="HG34" s="211"/>
      <c r="HH34" s="211"/>
      <c r="HI34" s="211"/>
      <c r="HJ34" s="211"/>
      <c r="HK34" s="211"/>
      <c r="HL34" s="211"/>
      <c r="HM34" s="211"/>
      <c r="HN34" s="206"/>
      <c r="HO34" s="206"/>
      <c r="HP34" s="211"/>
      <c r="HQ34" s="211"/>
      <c r="HR34" s="211"/>
      <c r="HS34" s="211"/>
      <c r="HT34" s="211"/>
      <c r="HU34" s="211"/>
      <c r="HV34" s="211"/>
      <c r="HW34" s="211"/>
      <c r="HX34" s="211"/>
      <c r="HY34" s="211"/>
      <c r="HZ34" s="211"/>
      <c r="IA34" s="206"/>
      <c r="IB34" s="206"/>
      <c r="IC34" s="211"/>
      <c r="ID34" s="211"/>
      <c r="IE34" s="211"/>
      <c r="IF34" s="211"/>
      <c r="IG34" s="211"/>
      <c r="IH34" s="211"/>
      <c r="II34" s="211"/>
      <c r="IJ34" s="211"/>
      <c r="IK34" s="211"/>
      <c r="IL34" s="211"/>
      <c r="IM34" s="211"/>
      <c r="IN34" s="206"/>
      <c r="IO34" s="206"/>
      <c r="IP34" s="211"/>
      <c r="IQ34" s="211"/>
      <c r="IR34" s="211"/>
      <c r="IS34" s="211"/>
      <c r="IT34" s="211"/>
      <c r="IU34" s="211"/>
      <c r="IV34" s="211"/>
    </row>
    <row r="35" spans="1:256" x14ac:dyDescent="0.2">
      <c r="A35" s="217"/>
      <c r="B35" s="218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0"/>
      <c r="O35" s="210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06"/>
      <c r="AB35" s="206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06"/>
      <c r="AO35" s="206"/>
      <c r="AP35" s="211"/>
      <c r="AQ35" s="211"/>
      <c r="AR35" s="211"/>
      <c r="AS35" s="211"/>
      <c r="AT35" s="211"/>
      <c r="AU35" s="211"/>
      <c r="AV35" s="211"/>
      <c r="AW35" s="211"/>
      <c r="AX35" s="211"/>
      <c r="AY35" s="211"/>
      <c r="AZ35" s="211"/>
      <c r="BA35" s="206"/>
      <c r="BB35" s="206"/>
      <c r="BC35" s="211"/>
      <c r="BD35" s="211"/>
      <c r="BE35" s="211"/>
      <c r="BF35" s="211"/>
      <c r="BG35" s="211"/>
      <c r="BH35" s="211"/>
      <c r="BI35" s="211"/>
      <c r="BJ35" s="211"/>
      <c r="BK35" s="211"/>
      <c r="BL35" s="211"/>
      <c r="BM35" s="211"/>
      <c r="BN35" s="206"/>
      <c r="BO35" s="206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06"/>
      <c r="CB35" s="206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06"/>
      <c r="CO35" s="206"/>
      <c r="CP35" s="211"/>
      <c r="CQ35" s="211"/>
      <c r="CR35" s="211"/>
      <c r="CS35" s="211"/>
      <c r="CT35" s="211"/>
      <c r="CU35" s="211"/>
      <c r="CV35" s="211"/>
      <c r="CW35" s="211"/>
      <c r="CX35" s="211"/>
      <c r="CY35" s="211"/>
      <c r="CZ35" s="211"/>
      <c r="DA35" s="206"/>
      <c r="DB35" s="206"/>
      <c r="DC35" s="211"/>
      <c r="DD35" s="211"/>
      <c r="DE35" s="211"/>
      <c r="DF35" s="211"/>
      <c r="DG35" s="211"/>
      <c r="DH35" s="211"/>
      <c r="DI35" s="211"/>
      <c r="DJ35" s="211"/>
      <c r="DK35" s="211"/>
      <c r="DL35" s="211"/>
      <c r="DM35" s="211"/>
      <c r="DN35" s="206"/>
      <c r="DO35" s="206"/>
      <c r="DP35" s="211"/>
      <c r="DQ35" s="211"/>
      <c r="DR35" s="211"/>
      <c r="DS35" s="211"/>
      <c r="DT35" s="211"/>
      <c r="DU35" s="211"/>
      <c r="DV35" s="211"/>
      <c r="DW35" s="211"/>
      <c r="DX35" s="211"/>
      <c r="DY35" s="211"/>
      <c r="DZ35" s="211"/>
      <c r="EA35" s="206"/>
      <c r="EB35" s="206"/>
      <c r="EC35" s="211"/>
      <c r="ED35" s="211"/>
      <c r="EE35" s="211"/>
      <c r="EF35" s="211"/>
      <c r="EG35" s="211"/>
      <c r="EH35" s="211"/>
      <c r="EI35" s="211"/>
      <c r="EJ35" s="211"/>
      <c r="EK35" s="211"/>
      <c r="EL35" s="211"/>
      <c r="EM35" s="211"/>
      <c r="EN35" s="206"/>
      <c r="EO35" s="206"/>
      <c r="EP35" s="211"/>
      <c r="EQ35" s="211"/>
      <c r="ER35" s="211"/>
      <c r="ES35" s="211"/>
      <c r="ET35" s="211"/>
      <c r="EU35" s="211"/>
      <c r="EV35" s="211"/>
      <c r="EW35" s="211"/>
      <c r="EX35" s="211"/>
      <c r="EY35" s="211"/>
      <c r="EZ35" s="211"/>
      <c r="FA35" s="206"/>
      <c r="FB35" s="206"/>
      <c r="FC35" s="211"/>
      <c r="FD35" s="211"/>
      <c r="FE35" s="211"/>
      <c r="FF35" s="211"/>
      <c r="FG35" s="211"/>
      <c r="FH35" s="211"/>
      <c r="FI35" s="211"/>
      <c r="FJ35" s="211"/>
      <c r="FK35" s="211"/>
      <c r="FL35" s="211"/>
      <c r="FM35" s="211"/>
      <c r="FN35" s="206"/>
      <c r="FO35" s="206"/>
      <c r="FP35" s="211"/>
      <c r="FQ35" s="211"/>
      <c r="FR35" s="211"/>
      <c r="FS35" s="211"/>
      <c r="FT35" s="211"/>
      <c r="FU35" s="211"/>
      <c r="FV35" s="211"/>
      <c r="FW35" s="211"/>
      <c r="FX35" s="211"/>
      <c r="FY35" s="211"/>
      <c r="FZ35" s="211"/>
      <c r="GA35" s="206"/>
      <c r="GB35" s="206"/>
      <c r="GC35" s="211"/>
      <c r="GD35" s="211"/>
      <c r="GE35" s="211"/>
      <c r="GF35" s="211"/>
      <c r="GG35" s="211"/>
      <c r="GH35" s="211"/>
      <c r="GI35" s="211"/>
      <c r="GJ35" s="211"/>
      <c r="GK35" s="211"/>
      <c r="GL35" s="211"/>
      <c r="GM35" s="211"/>
      <c r="GN35" s="206"/>
      <c r="GO35" s="206"/>
      <c r="GP35" s="211"/>
      <c r="GQ35" s="211"/>
      <c r="GR35" s="211"/>
      <c r="GS35" s="211"/>
      <c r="GT35" s="211"/>
      <c r="GU35" s="211"/>
      <c r="GV35" s="211"/>
      <c r="GW35" s="211"/>
      <c r="GX35" s="211"/>
      <c r="GY35" s="211"/>
      <c r="GZ35" s="211"/>
      <c r="HA35" s="206"/>
      <c r="HB35" s="206"/>
      <c r="HC35" s="211"/>
      <c r="HD35" s="211"/>
      <c r="HE35" s="211"/>
      <c r="HF35" s="211"/>
      <c r="HG35" s="211"/>
      <c r="HH35" s="211"/>
      <c r="HI35" s="211"/>
      <c r="HJ35" s="211"/>
      <c r="HK35" s="211"/>
      <c r="HL35" s="211"/>
      <c r="HM35" s="211"/>
      <c r="HN35" s="206"/>
      <c r="HO35" s="206"/>
      <c r="HP35" s="211"/>
      <c r="HQ35" s="211"/>
      <c r="HR35" s="211"/>
      <c r="HS35" s="211"/>
      <c r="HT35" s="211"/>
      <c r="HU35" s="211"/>
      <c r="HV35" s="211"/>
      <c r="HW35" s="211"/>
      <c r="HX35" s="211"/>
      <c r="HY35" s="211"/>
      <c r="HZ35" s="211"/>
      <c r="IA35" s="206"/>
      <c r="IB35" s="206"/>
      <c r="IC35" s="211"/>
      <c r="ID35" s="211"/>
      <c r="IE35" s="211"/>
      <c r="IF35" s="211"/>
      <c r="IG35" s="211"/>
      <c r="IH35" s="211"/>
      <c r="II35" s="211"/>
      <c r="IJ35" s="211"/>
      <c r="IK35" s="211"/>
      <c r="IL35" s="211"/>
      <c r="IM35" s="211"/>
      <c r="IN35" s="206"/>
      <c r="IO35" s="206"/>
      <c r="IP35" s="211"/>
      <c r="IQ35" s="211"/>
      <c r="IR35" s="211"/>
      <c r="IS35" s="211"/>
      <c r="IT35" s="211"/>
      <c r="IU35" s="211"/>
      <c r="IV35" s="211"/>
    </row>
    <row r="36" spans="1:256" x14ac:dyDescent="0.2">
      <c r="A36" s="217"/>
      <c r="B36" s="218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0"/>
      <c r="O36" s="210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06"/>
      <c r="AB36" s="206"/>
      <c r="AC36" s="211"/>
      <c r="AD36" s="211"/>
      <c r="AE36" s="211"/>
      <c r="AF36" s="211"/>
      <c r="AG36" s="211"/>
      <c r="AH36" s="211"/>
      <c r="AI36" s="211"/>
      <c r="AJ36" s="211"/>
      <c r="AK36" s="211"/>
      <c r="AL36" s="211"/>
      <c r="AM36" s="211"/>
      <c r="AN36" s="206"/>
      <c r="AO36" s="206"/>
      <c r="AP36" s="211"/>
      <c r="AQ36" s="211"/>
      <c r="AR36" s="211"/>
      <c r="AS36" s="211"/>
      <c r="AT36" s="211"/>
      <c r="AU36" s="211"/>
      <c r="AV36" s="211"/>
      <c r="AW36" s="211"/>
      <c r="AX36" s="211"/>
      <c r="AY36" s="211"/>
      <c r="AZ36" s="211"/>
      <c r="BA36" s="206"/>
      <c r="BB36" s="206"/>
      <c r="BC36" s="211"/>
      <c r="BD36" s="211"/>
      <c r="BE36" s="211"/>
      <c r="BF36" s="211"/>
      <c r="BG36" s="211"/>
      <c r="BH36" s="211"/>
      <c r="BI36" s="211"/>
      <c r="BJ36" s="211"/>
      <c r="BK36" s="211"/>
      <c r="BL36" s="211"/>
      <c r="BM36" s="211"/>
      <c r="BN36" s="206"/>
      <c r="BO36" s="206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06"/>
      <c r="CB36" s="206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06"/>
      <c r="CO36" s="206"/>
      <c r="CP36" s="211"/>
      <c r="CQ36" s="211"/>
      <c r="CR36" s="211"/>
      <c r="CS36" s="211"/>
      <c r="CT36" s="211"/>
      <c r="CU36" s="211"/>
      <c r="CV36" s="211"/>
      <c r="CW36" s="211"/>
      <c r="CX36" s="211"/>
      <c r="CY36" s="211"/>
      <c r="CZ36" s="211"/>
      <c r="DA36" s="206"/>
      <c r="DB36" s="206"/>
      <c r="DC36" s="211"/>
      <c r="DD36" s="211"/>
      <c r="DE36" s="211"/>
      <c r="DF36" s="211"/>
      <c r="DG36" s="211"/>
      <c r="DH36" s="211"/>
      <c r="DI36" s="211"/>
      <c r="DJ36" s="211"/>
      <c r="DK36" s="211"/>
      <c r="DL36" s="211"/>
      <c r="DM36" s="211"/>
      <c r="DN36" s="206"/>
      <c r="DO36" s="206"/>
      <c r="DP36" s="211"/>
      <c r="DQ36" s="211"/>
      <c r="DR36" s="211"/>
      <c r="DS36" s="211"/>
      <c r="DT36" s="211"/>
      <c r="DU36" s="211"/>
      <c r="DV36" s="211"/>
      <c r="DW36" s="211"/>
      <c r="DX36" s="211"/>
      <c r="DY36" s="211"/>
      <c r="DZ36" s="211"/>
      <c r="EA36" s="206"/>
      <c r="EB36" s="206"/>
      <c r="EC36" s="211"/>
      <c r="ED36" s="211"/>
      <c r="EE36" s="211"/>
      <c r="EF36" s="211"/>
      <c r="EG36" s="211"/>
      <c r="EH36" s="211"/>
      <c r="EI36" s="211"/>
      <c r="EJ36" s="211"/>
      <c r="EK36" s="211"/>
      <c r="EL36" s="211"/>
      <c r="EM36" s="211"/>
      <c r="EN36" s="206"/>
      <c r="EO36" s="206"/>
      <c r="EP36" s="211"/>
      <c r="EQ36" s="211"/>
      <c r="ER36" s="211"/>
      <c r="ES36" s="211"/>
      <c r="ET36" s="211"/>
      <c r="EU36" s="211"/>
      <c r="EV36" s="211"/>
      <c r="EW36" s="211"/>
      <c r="EX36" s="211"/>
      <c r="EY36" s="211"/>
      <c r="EZ36" s="211"/>
      <c r="FA36" s="206"/>
      <c r="FB36" s="206"/>
      <c r="FC36" s="211"/>
      <c r="FD36" s="211"/>
      <c r="FE36" s="211"/>
      <c r="FF36" s="211"/>
      <c r="FG36" s="211"/>
      <c r="FH36" s="211"/>
      <c r="FI36" s="211"/>
      <c r="FJ36" s="211"/>
      <c r="FK36" s="211"/>
      <c r="FL36" s="211"/>
      <c r="FM36" s="211"/>
      <c r="FN36" s="206"/>
      <c r="FO36" s="206"/>
      <c r="FP36" s="211"/>
      <c r="FQ36" s="211"/>
      <c r="FR36" s="211"/>
      <c r="FS36" s="211"/>
      <c r="FT36" s="211"/>
      <c r="FU36" s="211"/>
      <c r="FV36" s="211"/>
      <c r="FW36" s="211"/>
      <c r="FX36" s="211"/>
      <c r="FY36" s="211"/>
      <c r="FZ36" s="211"/>
      <c r="GA36" s="206"/>
      <c r="GB36" s="206"/>
      <c r="GC36" s="211"/>
      <c r="GD36" s="211"/>
      <c r="GE36" s="211"/>
      <c r="GF36" s="211"/>
      <c r="GG36" s="211"/>
      <c r="GH36" s="211"/>
      <c r="GI36" s="211"/>
      <c r="GJ36" s="211"/>
      <c r="GK36" s="211"/>
      <c r="GL36" s="211"/>
      <c r="GM36" s="211"/>
      <c r="GN36" s="206"/>
      <c r="GO36" s="206"/>
      <c r="GP36" s="211"/>
      <c r="GQ36" s="211"/>
      <c r="GR36" s="211"/>
      <c r="GS36" s="211"/>
      <c r="GT36" s="211"/>
      <c r="GU36" s="211"/>
      <c r="GV36" s="211"/>
      <c r="GW36" s="211"/>
      <c r="GX36" s="211"/>
      <c r="GY36" s="211"/>
      <c r="GZ36" s="211"/>
      <c r="HA36" s="206"/>
      <c r="HB36" s="206"/>
      <c r="HC36" s="211"/>
      <c r="HD36" s="211"/>
      <c r="HE36" s="211"/>
      <c r="HF36" s="211"/>
      <c r="HG36" s="211"/>
      <c r="HH36" s="211"/>
      <c r="HI36" s="211"/>
      <c r="HJ36" s="211"/>
      <c r="HK36" s="211"/>
      <c r="HL36" s="211"/>
      <c r="HM36" s="211"/>
      <c r="HN36" s="206"/>
      <c r="HO36" s="206"/>
      <c r="HP36" s="211"/>
      <c r="HQ36" s="211"/>
      <c r="HR36" s="211"/>
      <c r="HS36" s="211"/>
      <c r="HT36" s="211"/>
      <c r="HU36" s="211"/>
      <c r="HV36" s="211"/>
      <c r="HW36" s="211"/>
      <c r="HX36" s="211"/>
      <c r="HY36" s="211"/>
      <c r="HZ36" s="211"/>
      <c r="IA36" s="206"/>
      <c r="IB36" s="206"/>
      <c r="IC36" s="211"/>
      <c r="ID36" s="211"/>
      <c r="IE36" s="211"/>
      <c r="IF36" s="211"/>
      <c r="IG36" s="211"/>
      <c r="IH36" s="211"/>
      <c r="II36" s="211"/>
      <c r="IJ36" s="211"/>
      <c r="IK36" s="211"/>
      <c r="IL36" s="211"/>
      <c r="IM36" s="211"/>
      <c r="IN36" s="206"/>
      <c r="IO36" s="206"/>
      <c r="IP36" s="211"/>
      <c r="IQ36" s="211"/>
      <c r="IR36" s="211"/>
      <c r="IS36" s="211"/>
      <c r="IT36" s="211"/>
      <c r="IU36" s="211"/>
      <c r="IV36" s="211"/>
    </row>
    <row r="37" spans="1:256" x14ac:dyDescent="0.2">
      <c r="A37" s="217"/>
      <c r="B37" s="218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0"/>
      <c r="O37" s="210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06"/>
      <c r="AB37" s="206"/>
      <c r="AC37" s="211"/>
      <c r="AD37" s="211"/>
      <c r="AE37" s="211"/>
      <c r="AF37" s="211"/>
      <c r="AG37" s="211"/>
      <c r="AH37" s="211"/>
      <c r="AI37" s="211"/>
      <c r="AJ37" s="211"/>
      <c r="AK37" s="211"/>
      <c r="AL37" s="211"/>
      <c r="AM37" s="211"/>
      <c r="AN37" s="206"/>
      <c r="AO37" s="206"/>
      <c r="AP37" s="211"/>
      <c r="AQ37" s="211"/>
      <c r="AR37" s="211"/>
      <c r="AS37" s="211"/>
      <c r="AT37" s="211"/>
      <c r="AU37" s="211"/>
      <c r="AV37" s="211"/>
      <c r="AW37" s="211"/>
      <c r="AX37" s="211"/>
      <c r="AY37" s="211"/>
      <c r="AZ37" s="211"/>
      <c r="BA37" s="206"/>
      <c r="BB37" s="206"/>
      <c r="BC37" s="211"/>
      <c r="BD37" s="211"/>
      <c r="BE37" s="211"/>
      <c r="BF37" s="211"/>
      <c r="BG37" s="211"/>
      <c r="BH37" s="211"/>
      <c r="BI37" s="211"/>
      <c r="BJ37" s="211"/>
      <c r="BK37" s="211"/>
      <c r="BL37" s="211"/>
      <c r="BM37" s="211"/>
      <c r="BN37" s="206"/>
      <c r="BO37" s="206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06"/>
      <c r="CB37" s="206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06"/>
      <c r="CO37" s="206"/>
      <c r="CP37" s="211"/>
      <c r="CQ37" s="211"/>
      <c r="CR37" s="211"/>
      <c r="CS37" s="211"/>
      <c r="CT37" s="211"/>
      <c r="CU37" s="211"/>
      <c r="CV37" s="211"/>
      <c r="CW37" s="211"/>
      <c r="CX37" s="211"/>
      <c r="CY37" s="211"/>
      <c r="CZ37" s="211"/>
      <c r="DA37" s="206"/>
      <c r="DB37" s="206"/>
      <c r="DC37" s="211"/>
      <c r="DD37" s="211"/>
      <c r="DE37" s="211"/>
      <c r="DF37" s="211"/>
      <c r="DG37" s="211"/>
      <c r="DH37" s="211"/>
      <c r="DI37" s="211"/>
      <c r="DJ37" s="211"/>
      <c r="DK37" s="211"/>
      <c r="DL37" s="211"/>
      <c r="DM37" s="211"/>
      <c r="DN37" s="206"/>
      <c r="DO37" s="206"/>
      <c r="DP37" s="211"/>
      <c r="DQ37" s="211"/>
      <c r="DR37" s="211"/>
      <c r="DS37" s="211"/>
      <c r="DT37" s="211"/>
      <c r="DU37" s="211"/>
      <c r="DV37" s="211"/>
      <c r="DW37" s="211"/>
      <c r="DX37" s="211"/>
      <c r="DY37" s="211"/>
      <c r="DZ37" s="211"/>
      <c r="EA37" s="206"/>
      <c r="EB37" s="206"/>
      <c r="EC37" s="211"/>
      <c r="ED37" s="211"/>
      <c r="EE37" s="211"/>
      <c r="EF37" s="211"/>
      <c r="EG37" s="211"/>
      <c r="EH37" s="211"/>
      <c r="EI37" s="211"/>
      <c r="EJ37" s="211"/>
      <c r="EK37" s="211"/>
      <c r="EL37" s="211"/>
      <c r="EM37" s="211"/>
      <c r="EN37" s="206"/>
      <c r="EO37" s="206"/>
      <c r="EP37" s="211"/>
      <c r="EQ37" s="211"/>
      <c r="ER37" s="211"/>
      <c r="ES37" s="211"/>
      <c r="ET37" s="211"/>
      <c r="EU37" s="211"/>
      <c r="EV37" s="211"/>
      <c r="EW37" s="211"/>
      <c r="EX37" s="211"/>
      <c r="EY37" s="211"/>
      <c r="EZ37" s="211"/>
      <c r="FA37" s="206"/>
      <c r="FB37" s="206"/>
      <c r="FC37" s="211"/>
      <c r="FD37" s="211"/>
      <c r="FE37" s="211"/>
      <c r="FF37" s="211"/>
      <c r="FG37" s="211"/>
      <c r="FH37" s="211"/>
      <c r="FI37" s="211"/>
      <c r="FJ37" s="211"/>
      <c r="FK37" s="211"/>
      <c r="FL37" s="211"/>
      <c r="FM37" s="211"/>
      <c r="FN37" s="206"/>
      <c r="FO37" s="206"/>
      <c r="FP37" s="211"/>
      <c r="FQ37" s="211"/>
      <c r="FR37" s="211"/>
      <c r="FS37" s="211"/>
      <c r="FT37" s="211"/>
      <c r="FU37" s="211"/>
      <c r="FV37" s="211"/>
      <c r="FW37" s="211"/>
      <c r="FX37" s="211"/>
      <c r="FY37" s="211"/>
      <c r="FZ37" s="211"/>
      <c r="GA37" s="206"/>
      <c r="GB37" s="206"/>
      <c r="GC37" s="211"/>
      <c r="GD37" s="211"/>
      <c r="GE37" s="211"/>
      <c r="GF37" s="211"/>
      <c r="GG37" s="211"/>
      <c r="GH37" s="211"/>
      <c r="GI37" s="211"/>
      <c r="GJ37" s="211"/>
      <c r="GK37" s="211"/>
      <c r="GL37" s="211"/>
      <c r="GM37" s="211"/>
      <c r="GN37" s="206"/>
      <c r="GO37" s="206"/>
      <c r="GP37" s="211"/>
      <c r="GQ37" s="211"/>
      <c r="GR37" s="211"/>
      <c r="GS37" s="211"/>
      <c r="GT37" s="211"/>
      <c r="GU37" s="211"/>
      <c r="GV37" s="211"/>
      <c r="GW37" s="211"/>
      <c r="GX37" s="211"/>
      <c r="GY37" s="211"/>
      <c r="GZ37" s="211"/>
      <c r="HA37" s="206"/>
      <c r="HB37" s="206"/>
      <c r="HC37" s="211"/>
      <c r="HD37" s="211"/>
      <c r="HE37" s="211"/>
      <c r="HF37" s="211"/>
      <c r="HG37" s="211"/>
      <c r="HH37" s="211"/>
      <c r="HI37" s="211"/>
      <c r="HJ37" s="211"/>
      <c r="HK37" s="211"/>
      <c r="HL37" s="211"/>
      <c r="HM37" s="211"/>
      <c r="HN37" s="206"/>
      <c r="HO37" s="206"/>
      <c r="HP37" s="211"/>
      <c r="HQ37" s="211"/>
      <c r="HR37" s="211"/>
      <c r="HS37" s="211"/>
      <c r="HT37" s="211"/>
      <c r="HU37" s="211"/>
      <c r="HV37" s="211"/>
      <c r="HW37" s="211"/>
      <c r="HX37" s="211"/>
      <c r="HY37" s="211"/>
      <c r="HZ37" s="211"/>
      <c r="IA37" s="206"/>
      <c r="IB37" s="206"/>
      <c r="IC37" s="211"/>
      <c r="ID37" s="211"/>
      <c r="IE37" s="211"/>
      <c r="IF37" s="211"/>
      <c r="IG37" s="211"/>
      <c r="IH37" s="211"/>
      <c r="II37" s="211"/>
      <c r="IJ37" s="211"/>
      <c r="IK37" s="211"/>
      <c r="IL37" s="211"/>
      <c r="IM37" s="211"/>
      <c r="IN37" s="206"/>
      <c r="IO37" s="206"/>
      <c r="IP37" s="211"/>
      <c r="IQ37" s="211"/>
      <c r="IR37" s="211"/>
      <c r="IS37" s="211"/>
      <c r="IT37" s="211"/>
      <c r="IU37" s="211"/>
      <c r="IV37" s="211"/>
    </row>
    <row r="38" spans="1:256" x14ac:dyDescent="0.2">
      <c r="A38" s="217"/>
      <c r="B38" s="218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0"/>
      <c r="O38" s="210"/>
      <c r="P38" s="295"/>
      <c r="Q38" s="295"/>
      <c r="R38" s="295"/>
      <c r="S38" s="295"/>
      <c r="T38" s="295"/>
      <c r="U38" s="295"/>
      <c r="V38" s="295"/>
      <c r="W38" s="295"/>
      <c r="X38" s="295"/>
      <c r="Y38" s="295"/>
      <c r="Z38" s="295"/>
      <c r="AA38" s="206"/>
      <c r="AB38" s="206"/>
      <c r="AC38" s="296"/>
      <c r="AD38" s="296"/>
      <c r="AE38" s="296"/>
      <c r="AF38" s="296"/>
      <c r="AG38" s="296"/>
      <c r="AH38" s="296"/>
      <c r="AI38" s="296"/>
      <c r="AJ38" s="296"/>
      <c r="AK38" s="296"/>
      <c r="AL38" s="296"/>
      <c r="AM38" s="296"/>
      <c r="AN38" s="206"/>
      <c r="AO38" s="206"/>
      <c r="AP38" s="296"/>
      <c r="AQ38" s="296"/>
      <c r="AR38" s="296"/>
      <c r="AS38" s="296"/>
      <c r="AT38" s="296"/>
      <c r="AU38" s="296"/>
      <c r="AV38" s="296"/>
      <c r="AW38" s="296"/>
      <c r="AX38" s="296"/>
      <c r="AY38" s="296"/>
      <c r="AZ38" s="296"/>
      <c r="BA38" s="206"/>
      <c r="BB38" s="206"/>
      <c r="BC38" s="296"/>
      <c r="BD38" s="296"/>
      <c r="BE38" s="296"/>
      <c r="BF38" s="296"/>
      <c r="BG38" s="296"/>
      <c r="BH38" s="296"/>
      <c r="BI38" s="296"/>
      <c r="BJ38" s="296"/>
      <c r="BK38" s="296"/>
      <c r="BL38" s="296"/>
      <c r="BM38" s="296"/>
      <c r="BN38" s="206"/>
      <c r="BO38" s="206"/>
      <c r="BP38" s="296"/>
      <c r="BQ38" s="296"/>
      <c r="BR38" s="296"/>
      <c r="BS38" s="296"/>
      <c r="BT38" s="296"/>
      <c r="BU38" s="296"/>
      <c r="BV38" s="296"/>
      <c r="BW38" s="296"/>
      <c r="BX38" s="296"/>
      <c r="BY38" s="296"/>
      <c r="BZ38" s="296"/>
      <c r="CA38" s="206"/>
      <c r="CB38" s="206"/>
      <c r="CC38" s="296"/>
      <c r="CD38" s="296"/>
      <c r="CE38" s="296"/>
      <c r="CF38" s="296"/>
      <c r="CG38" s="296"/>
      <c r="CH38" s="296"/>
      <c r="CI38" s="296"/>
      <c r="CJ38" s="296"/>
      <c r="CK38" s="296"/>
      <c r="CL38" s="296"/>
      <c r="CM38" s="296"/>
      <c r="CN38" s="206"/>
      <c r="CO38" s="206"/>
      <c r="CP38" s="296"/>
      <c r="CQ38" s="296"/>
      <c r="CR38" s="296"/>
      <c r="CS38" s="296"/>
      <c r="CT38" s="296"/>
      <c r="CU38" s="296"/>
      <c r="CV38" s="296"/>
      <c r="CW38" s="296"/>
      <c r="CX38" s="296"/>
      <c r="CY38" s="296"/>
      <c r="CZ38" s="296"/>
      <c r="DA38" s="206"/>
      <c r="DB38" s="206"/>
      <c r="DC38" s="296"/>
      <c r="DD38" s="296"/>
      <c r="DE38" s="296"/>
      <c r="DF38" s="296"/>
      <c r="DG38" s="296"/>
      <c r="DH38" s="296"/>
      <c r="DI38" s="296"/>
      <c r="DJ38" s="296"/>
      <c r="DK38" s="296"/>
      <c r="DL38" s="296"/>
      <c r="DM38" s="296"/>
      <c r="DN38" s="206"/>
      <c r="DO38" s="206"/>
      <c r="DP38" s="296"/>
      <c r="DQ38" s="296"/>
      <c r="DR38" s="296"/>
      <c r="DS38" s="296"/>
      <c r="DT38" s="296"/>
      <c r="DU38" s="296"/>
      <c r="DV38" s="296"/>
      <c r="DW38" s="296"/>
      <c r="DX38" s="296"/>
      <c r="DY38" s="296"/>
      <c r="DZ38" s="296"/>
      <c r="EA38" s="206"/>
      <c r="EB38" s="206"/>
      <c r="EC38" s="296"/>
      <c r="ED38" s="296"/>
      <c r="EE38" s="296"/>
      <c r="EF38" s="296"/>
      <c r="EG38" s="296"/>
      <c r="EH38" s="296"/>
      <c r="EI38" s="296"/>
      <c r="EJ38" s="296"/>
      <c r="EK38" s="296"/>
      <c r="EL38" s="296"/>
      <c r="EM38" s="296"/>
      <c r="EN38" s="206"/>
      <c r="EO38" s="206"/>
      <c r="EP38" s="296"/>
      <c r="EQ38" s="296"/>
      <c r="ER38" s="296"/>
      <c r="ES38" s="296"/>
      <c r="ET38" s="296"/>
      <c r="EU38" s="296"/>
      <c r="EV38" s="296"/>
      <c r="EW38" s="296"/>
      <c r="EX38" s="296"/>
      <c r="EY38" s="296"/>
      <c r="EZ38" s="296"/>
      <c r="FA38" s="206"/>
      <c r="FB38" s="206"/>
      <c r="FC38" s="296"/>
      <c r="FD38" s="296"/>
      <c r="FE38" s="296"/>
      <c r="FF38" s="296"/>
      <c r="FG38" s="296"/>
      <c r="FH38" s="296"/>
      <c r="FI38" s="296"/>
      <c r="FJ38" s="296"/>
      <c r="FK38" s="296"/>
      <c r="FL38" s="296"/>
      <c r="FM38" s="296"/>
      <c r="FN38" s="206"/>
      <c r="FO38" s="206"/>
      <c r="FP38" s="296"/>
      <c r="FQ38" s="296"/>
      <c r="FR38" s="296"/>
      <c r="FS38" s="296"/>
      <c r="FT38" s="296"/>
      <c r="FU38" s="296"/>
      <c r="FV38" s="296"/>
      <c r="FW38" s="296"/>
      <c r="FX38" s="296"/>
      <c r="FY38" s="296"/>
      <c r="FZ38" s="296"/>
      <c r="GA38" s="206"/>
      <c r="GB38" s="206"/>
      <c r="GC38" s="296"/>
      <c r="GD38" s="296"/>
      <c r="GE38" s="296"/>
      <c r="GF38" s="296"/>
      <c r="GG38" s="296"/>
      <c r="GH38" s="296"/>
      <c r="GI38" s="296"/>
      <c r="GJ38" s="296"/>
      <c r="GK38" s="296"/>
      <c r="GL38" s="296"/>
      <c r="GM38" s="296"/>
      <c r="GN38" s="206"/>
      <c r="GO38" s="206"/>
      <c r="GP38" s="296"/>
      <c r="GQ38" s="296"/>
      <c r="GR38" s="296"/>
      <c r="GS38" s="296"/>
      <c r="GT38" s="296"/>
      <c r="GU38" s="296"/>
      <c r="GV38" s="296"/>
      <c r="GW38" s="296"/>
      <c r="GX38" s="296"/>
      <c r="GY38" s="296"/>
      <c r="GZ38" s="296"/>
      <c r="HA38" s="206"/>
      <c r="HB38" s="206"/>
      <c r="HC38" s="296"/>
      <c r="HD38" s="296"/>
      <c r="HE38" s="296"/>
      <c r="HF38" s="296"/>
      <c r="HG38" s="296"/>
      <c r="HH38" s="296"/>
      <c r="HI38" s="296"/>
      <c r="HJ38" s="296"/>
      <c r="HK38" s="296"/>
      <c r="HL38" s="296"/>
      <c r="HM38" s="296"/>
      <c r="HN38" s="206"/>
      <c r="HO38" s="206"/>
      <c r="HP38" s="296"/>
      <c r="HQ38" s="296"/>
      <c r="HR38" s="296"/>
      <c r="HS38" s="296"/>
      <c r="HT38" s="296"/>
      <c r="HU38" s="296"/>
      <c r="HV38" s="296"/>
      <c r="HW38" s="296"/>
      <c r="HX38" s="296"/>
      <c r="HY38" s="296"/>
      <c r="HZ38" s="296"/>
      <c r="IA38" s="206"/>
      <c r="IB38" s="206"/>
      <c r="IC38" s="296"/>
      <c r="ID38" s="296"/>
      <c r="IE38" s="296"/>
      <c r="IF38" s="296"/>
      <c r="IG38" s="296"/>
      <c r="IH38" s="296"/>
      <c r="II38" s="296"/>
      <c r="IJ38" s="296"/>
      <c r="IK38" s="296"/>
      <c r="IL38" s="296"/>
      <c r="IM38" s="296"/>
      <c r="IN38" s="206"/>
      <c r="IO38" s="206"/>
      <c r="IP38" s="296"/>
      <c r="IQ38" s="296"/>
      <c r="IR38" s="296"/>
      <c r="IS38" s="296"/>
      <c r="IT38" s="296"/>
      <c r="IU38" s="296"/>
      <c r="IV38" s="296"/>
    </row>
    <row r="39" spans="1:256" x14ac:dyDescent="0.2">
      <c r="A39" s="217"/>
      <c r="B39" s="218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0"/>
      <c r="O39" s="210"/>
      <c r="P39" s="295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06"/>
      <c r="AB39" s="206"/>
      <c r="AC39" s="296"/>
      <c r="AD39" s="296"/>
      <c r="AE39" s="296"/>
      <c r="AF39" s="296"/>
      <c r="AG39" s="296"/>
      <c r="AH39" s="296"/>
      <c r="AI39" s="296"/>
      <c r="AJ39" s="296"/>
      <c r="AK39" s="296"/>
      <c r="AL39" s="296"/>
      <c r="AM39" s="296"/>
      <c r="AN39" s="206"/>
      <c r="AO39" s="206"/>
      <c r="AP39" s="296"/>
      <c r="AQ39" s="296"/>
      <c r="AR39" s="296"/>
      <c r="AS39" s="296"/>
      <c r="AT39" s="296"/>
      <c r="AU39" s="296"/>
      <c r="AV39" s="296"/>
      <c r="AW39" s="296"/>
      <c r="AX39" s="296"/>
      <c r="AY39" s="296"/>
      <c r="AZ39" s="296"/>
      <c r="BA39" s="206"/>
      <c r="BB39" s="206"/>
      <c r="BC39" s="296"/>
      <c r="BD39" s="296"/>
      <c r="BE39" s="296"/>
      <c r="BF39" s="296"/>
      <c r="BG39" s="296"/>
      <c r="BH39" s="296"/>
      <c r="BI39" s="296"/>
      <c r="BJ39" s="296"/>
      <c r="BK39" s="296"/>
      <c r="BL39" s="296"/>
      <c r="BM39" s="296"/>
      <c r="BN39" s="206"/>
      <c r="BO39" s="206"/>
      <c r="BP39" s="296"/>
      <c r="BQ39" s="296"/>
      <c r="BR39" s="296"/>
      <c r="BS39" s="296"/>
      <c r="BT39" s="296"/>
      <c r="BU39" s="296"/>
      <c r="BV39" s="296"/>
      <c r="BW39" s="296"/>
      <c r="BX39" s="296"/>
      <c r="BY39" s="296"/>
      <c r="BZ39" s="296"/>
      <c r="CA39" s="206"/>
      <c r="CB39" s="206"/>
      <c r="CC39" s="296"/>
      <c r="CD39" s="296"/>
      <c r="CE39" s="296"/>
      <c r="CF39" s="296"/>
      <c r="CG39" s="296"/>
      <c r="CH39" s="296"/>
      <c r="CI39" s="296"/>
      <c r="CJ39" s="296"/>
      <c r="CK39" s="296"/>
      <c r="CL39" s="296"/>
      <c r="CM39" s="296"/>
      <c r="CN39" s="206"/>
      <c r="CO39" s="206"/>
      <c r="CP39" s="296"/>
      <c r="CQ39" s="296"/>
      <c r="CR39" s="296"/>
      <c r="CS39" s="296"/>
      <c r="CT39" s="296"/>
      <c r="CU39" s="296"/>
      <c r="CV39" s="296"/>
      <c r="CW39" s="296"/>
      <c r="CX39" s="296"/>
      <c r="CY39" s="296"/>
      <c r="CZ39" s="296"/>
      <c r="DA39" s="206"/>
      <c r="DB39" s="206"/>
      <c r="DC39" s="296"/>
      <c r="DD39" s="296"/>
      <c r="DE39" s="296"/>
      <c r="DF39" s="296"/>
      <c r="DG39" s="296"/>
      <c r="DH39" s="296"/>
      <c r="DI39" s="296"/>
      <c r="DJ39" s="296"/>
      <c r="DK39" s="296"/>
      <c r="DL39" s="296"/>
      <c r="DM39" s="296"/>
      <c r="DN39" s="206"/>
      <c r="DO39" s="206"/>
      <c r="DP39" s="296"/>
      <c r="DQ39" s="296"/>
      <c r="DR39" s="296"/>
      <c r="DS39" s="296"/>
      <c r="DT39" s="296"/>
      <c r="DU39" s="296"/>
      <c r="DV39" s="296"/>
      <c r="DW39" s="296"/>
      <c r="DX39" s="296"/>
      <c r="DY39" s="296"/>
      <c r="DZ39" s="296"/>
      <c r="EA39" s="206"/>
      <c r="EB39" s="206"/>
      <c r="EC39" s="296"/>
      <c r="ED39" s="296"/>
      <c r="EE39" s="296"/>
      <c r="EF39" s="296"/>
      <c r="EG39" s="296"/>
      <c r="EH39" s="296"/>
      <c r="EI39" s="296"/>
      <c r="EJ39" s="296"/>
      <c r="EK39" s="296"/>
      <c r="EL39" s="296"/>
      <c r="EM39" s="296"/>
      <c r="EN39" s="206"/>
      <c r="EO39" s="206"/>
      <c r="EP39" s="296"/>
      <c r="EQ39" s="296"/>
      <c r="ER39" s="296"/>
      <c r="ES39" s="296"/>
      <c r="ET39" s="296"/>
      <c r="EU39" s="296"/>
      <c r="EV39" s="296"/>
      <c r="EW39" s="296"/>
      <c r="EX39" s="296"/>
      <c r="EY39" s="296"/>
      <c r="EZ39" s="296"/>
      <c r="FA39" s="206"/>
      <c r="FB39" s="206"/>
      <c r="FC39" s="296"/>
      <c r="FD39" s="296"/>
      <c r="FE39" s="296"/>
      <c r="FF39" s="296"/>
      <c r="FG39" s="296"/>
      <c r="FH39" s="296"/>
      <c r="FI39" s="296"/>
      <c r="FJ39" s="296"/>
      <c r="FK39" s="296"/>
      <c r="FL39" s="296"/>
      <c r="FM39" s="296"/>
      <c r="FN39" s="206"/>
      <c r="FO39" s="206"/>
      <c r="FP39" s="296"/>
      <c r="FQ39" s="296"/>
      <c r="FR39" s="296"/>
      <c r="FS39" s="296"/>
      <c r="FT39" s="296"/>
      <c r="FU39" s="296"/>
      <c r="FV39" s="296"/>
      <c r="FW39" s="296"/>
      <c r="FX39" s="296"/>
      <c r="FY39" s="296"/>
      <c r="FZ39" s="296"/>
      <c r="GA39" s="206"/>
      <c r="GB39" s="206"/>
      <c r="GC39" s="296"/>
      <c r="GD39" s="296"/>
      <c r="GE39" s="296"/>
      <c r="GF39" s="296"/>
      <c r="GG39" s="296"/>
      <c r="GH39" s="296"/>
      <c r="GI39" s="296"/>
      <c r="GJ39" s="296"/>
      <c r="GK39" s="296"/>
      <c r="GL39" s="296"/>
      <c r="GM39" s="296"/>
      <c r="GN39" s="206"/>
      <c r="GO39" s="206"/>
      <c r="GP39" s="296"/>
      <c r="GQ39" s="296"/>
      <c r="GR39" s="296"/>
      <c r="GS39" s="296"/>
      <c r="GT39" s="296"/>
      <c r="GU39" s="296"/>
      <c r="GV39" s="296"/>
      <c r="GW39" s="296"/>
      <c r="GX39" s="296"/>
      <c r="GY39" s="296"/>
      <c r="GZ39" s="296"/>
      <c r="HA39" s="206"/>
      <c r="HB39" s="206"/>
      <c r="HC39" s="296"/>
      <c r="HD39" s="296"/>
      <c r="HE39" s="296"/>
      <c r="HF39" s="296"/>
      <c r="HG39" s="296"/>
      <c r="HH39" s="296"/>
      <c r="HI39" s="296"/>
      <c r="HJ39" s="296"/>
      <c r="HK39" s="296"/>
      <c r="HL39" s="296"/>
      <c r="HM39" s="296"/>
      <c r="HN39" s="206"/>
      <c r="HO39" s="206"/>
      <c r="HP39" s="296"/>
      <c r="HQ39" s="296"/>
      <c r="HR39" s="296"/>
      <c r="HS39" s="296"/>
      <c r="HT39" s="296"/>
      <c r="HU39" s="296"/>
      <c r="HV39" s="296"/>
      <c r="HW39" s="296"/>
      <c r="HX39" s="296"/>
      <c r="HY39" s="296"/>
      <c r="HZ39" s="296"/>
      <c r="IA39" s="206"/>
      <c r="IB39" s="206"/>
      <c r="IC39" s="296"/>
      <c r="ID39" s="296"/>
      <c r="IE39" s="296"/>
      <c r="IF39" s="296"/>
      <c r="IG39" s="296"/>
      <c r="IH39" s="296"/>
      <c r="II39" s="296"/>
      <c r="IJ39" s="296"/>
      <c r="IK39" s="296"/>
      <c r="IL39" s="296"/>
      <c r="IM39" s="296"/>
      <c r="IN39" s="206"/>
      <c r="IO39" s="206"/>
      <c r="IP39" s="296"/>
      <c r="IQ39" s="296"/>
      <c r="IR39" s="296"/>
      <c r="IS39" s="296"/>
      <c r="IT39" s="296"/>
      <c r="IU39" s="296"/>
      <c r="IV39" s="296"/>
    </row>
    <row r="40" spans="1:256" x14ac:dyDescent="0.2">
      <c r="A40" s="217"/>
      <c r="B40" s="218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0"/>
      <c r="O40" s="210"/>
      <c r="P40" s="295"/>
      <c r="Q40" s="295"/>
      <c r="R40" s="295"/>
      <c r="S40" s="295"/>
      <c r="T40" s="295"/>
      <c r="U40" s="295"/>
      <c r="V40" s="295"/>
      <c r="W40" s="295"/>
      <c r="X40" s="295"/>
      <c r="Y40" s="295"/>
      <c r="Z40" s="295"/>
      <c r="AA40" s="206"/>
      <c r="AB40" s="206"/>
      <c r="AC40" s="296"/>
      <c r="AD40" s="296"/>
      <c r="AE40" s="296"/>
      <c r="AF40" s="296"/>
      <c r="AG40" s="296"/>
      <c r="AH40" s="296"/>
      <c r="AI40" s="296"/>
      <c r="AJ40" s="296"/>
      <c r="AK40" s="296"/>
      <c r="AL40" s="296"/>
      <c r="AM40" s="296"/>
      <c r="AN40" s="206"/>
      <c r="AO40" s="206"/>
      <c r="AP40" s="296"/>
      <c r="AQ40" s="296"/>
      <c r="AR40" s="296"/>
      <c r="AS40" s="296"/>
      <c r="AT40" s="296"/>
      <c r="AU40" s="296"/>
      <c r="AV40" s="296"/>
      <c r="AW40" s="296"/>
      <c r="AX40" s="296"/>
      <c r="AY40" s="296"/>
      <c r="AZ40" s="296"/>
      <c r="BA40" s="206"/>
      <c r="BB40" s="206"/>
      <c r="BC40" s="296"/>
      <c r="BD40" s="296"/>
      <c r="BE40" s="296"/>
      <c r="BF40" s="296"/>
      <c r="BG40" s="296"/>
      <c r="BH40" s="296"/>
      <c r="BI40" s="296"/>
      <c r="BJ40" s="296"/>
      <c r="BK40" s="296"/>
      <c r="BL40" s="296"/>
      <c r="BM40" s="296"/>
      <c r="BN40" s="206"/>
      <c r="BO40" s="206"/>
      <c r="BP40" s="296"/>
      <c r="BQ40" s="296"/>
      <c r="BR40" s="296"/>
      <c r="BS40" s="296"/>
      <c r="BT40" s="296"/>
      <c r="BU40" s="296"/>
      <c r="BV40" s="296"/>
      <c r="BW40" s="296"/>
      <c r="BX40" s="296"/>
      <c r="BY40" s="296"/>
      <c r="BZ40" s="296"/>
      <c r="CA40" s="206"/>
      <c r="CB40" s="206"/>
      <c r="CC40" s="296"/>
      <c r="CD40" s="296"/>
      <c r="CE40" s="296"/>
      <c r="CF40" s="296"/>
      <c r="CG40" s="296"/>
      <c r="CH40" s="296"/>
      <c r="CI40" s="296"/>
      <c r="CJ40" s="296"/>
      <c r="CK40" s="296"/>
      <c r="CL40" s="296"/>
      <c r="CM40" s="296"/>
      <c r="CN40" s="206"/>
      <c r="CO40" s="206"/>
      <c r="CP40" s="296"/>
      <c r="CQ40" s="296"/>
      <c r="CR40" s="296"/>
      <c r="CS40" s="296"/>
      <c r="CT40" s="296"/>
      <c r="CU40" s="296"/>
      <c r="CV40" s="296"/>
      <c r="CW40" s="296"/>
      <c r="CX40" s="296"/>
      <c r="CY40" s="296"/>
      <c r="CZ40" s="296"/>
      <c r="DA40" s="206"/>
      <c r="DB40" s="206"/>
      <c r="DC40" s="296"/>
      <c r="DD40" s="296"/>
      <c r="DE40" s="296"/>
      <c r="DF40" s="296"/>
      <c r="DG40" s="296"/>
      <c r="DH40" s="296"/>
      <c r="DI40" s="296"/>
      <c r="DJ40" s="296"/>
      <c r="DK40" s="296"/>
      <c r="DL40" s="296"/>
      <c r="DM40" s="296"/>
      <c r="DN40" s="206"/>
      <c r="DO40" s="206"/>
      <c r="DP40" s="296"/>
      <c r="DQ40" s="296"/>
      <c r="DR40" s="296"/>
      <c r="DS40" s="296"/>
      <c r="DT40" s="296"/>
      <c r="DU40" s="296"/>
      <c r="DV40" s="296"/>
      <c r="DW40" s="296"/>
      <c r="DX40" s="296"/>
      <c r="DY40" s="296"/>
      <c r="DZ40" s="296"/>
      <c r="EA40" s="206"/>
      <c r="EB40" s="206"/>
      <c r="EC40" s="296"/>
      <c r="ED40" s="296"/>
      <c r="EE40" s="296"/>
      <c r="EF40" s="296"/>
      <c r="EG40" s="296"/>
      <c r="EH40" s="296"/>
      <c r="EI40" s="296"/>
      <c r="EJ40" s="296"/>
      <c r="EK40" s="296"/>
      <c r="EL40" s="296"/>
      <c r="EM40" s="296"/>
      <c r="EN40" s="206"/>
      <c r="EO40" s="206"/>
      <c r="EP40" s="296"/>
      <c r="EQ40" s="296"/>
      <c r="ER40" s="296"/>
      <c r="ES40" s="296"/>
      <c r="ET40" s="296"/>
      <c r="EU40" s="296"/>
      <c r="EV40" s="296"/>
      <c r="EW40" s="296"/>
      <c r="EX40" s="296"/>
      <c r="EY40" s="296"/>
      <c r="EZ40" s="296"/>
      <c r="FA40" s="206"/>
      <c r="FB40" s="206"/>
      <c r="FC40" s="296"/>
      <c r="FD40" s="296"/>
      <c r="FE40" s="296"/>
      <c r="FF40" s="296"/>
      <c r="FG40" s="296"/>
      <c r="FH40" s="296"/>
      <c r="FI40" s="296"/>
      <c r="FJ40" s="296"/>
      <c r="FK40" s="296"/>
      <c r="FL40" s="296"/>
      <c r="FM40" s="296"/>
      <c r="FN40" s="206"/>
      <c r="FO40" s="206"/>
      <c r="FP40" s="296"/>
      <c r="FQ40" s="296"/>
      <c r="FR40" s="296"/>
      <c r="FS40" s="296"/>
      <c r="FT40" s="296"/>
      <c r="FU40" s="296"/>
      <c r="FV40" s="296"/>
      <c r="FW40" s="296"/>
      <c r="FX40" s="296"/>
      <c r="FY40" s="296"/>
      <c r="FZ40" s="296"/>
      <c r="GA40" s="206"/>
      <c r="GB40" s="206"/>
      <c r="GC40" s="296"/>
      <c r="GD40" s="296"/>
      <c r="GE40" s="296"/>
      <c r="GF40" s="296"/>
      <c r="GG40" s="296"/>
      <c r="GH40" s="296"/>
      <c r="GI40" s="296"/>
      <c r="GJ40" s="296"/>
      <c r="GK40" s="296"/>
      <c r="GL40" s="296"/>
      <c r="GM40" s="296"/>
      <c r="GN40" s="206"/>
      <c r="GO40" s="206"/>
      <c r="GP40" s="296"/>
      <c r="GQ40" s="296"/>
      <c r="GR40" s="296"/>
      <c r="GS40" s="296"/>
      <c r="GT40" s="296"/>
      <c r="GU40" s="296"/>
      <c r="GV40" s="296"/>
      <c r="GW40" s="296"/>
      <c r="GX40" s="296"/>
      <c r="GY40" s="296"/>
      <c r="GZ40" s="296"/>
      <c r="HA40" s="206"/>
      <c r="HB40" s="206"/>
      <c r="HC40" s="296"/>
      <c r="HD40" s="296"/>
      <c r="HE40" s="296"/>
      <c r="HF40" s="296"/>
      <c r="HG40" s="296"/>
      <c r="HH40" s="296"/>
      <c r="HI40" s="296"/>
      <c r="HJ40" s="296"/>
      <c r="HK40" s="296"/>
      <c r="HL40" s="296"/>
      <c r="HM40" s="296"/>
      <c r="HN40" s="206"/>
      <c r="HO40" s="206"/>
      <c r="HP40" s="296"/>
      <c r="HQ40" s="296"/>
      <c r="HR40" s="296"/>
      <c r="HS40" s="296"/>
      <c r="HT40" s="296"/>
      <c r="HU40" s="296"/>
      <c r="HV40" s="296"/>
      <c r="HW40" s="296"/>
      <c r="HX40" s="296"/>
      <c r="HY40" s="296"/>
      <c r="HZ40" s="296"/>
      <c r="IA40" s="206"/>
      <c r="IB40" s="206"/>
      <c r="IC40" s="296"/>
      <c r="ID40" s="296"/>
      <c r="IE40" s="296"/>
      <c r="IF40" s="296"/>
      <c r="IG40" s="296"/>
      <c r="IH40" s="296"/>
      <c r="II40" s="296"/>
      <c r="IJ40" s="296"/>
      <c r="IK40" s="296"/>
      <c r="IL40" s="296"/>
      <c r="IM40" s="296"/>
      <c r="IN40" s="206"/>
      <c r="IO40" s="206"/>
      <c r="IP40" s="296"/>
      <c r="IQ40" s="296"/>
      <c r="IR40" s="296"/>
      <c r="IS40" s="296"/>
      <c r="IT40" s="296"/>
      <c r="IU40" s="296"/>
      <c r="IV40" s="296"/>
    </row>
    <row r="41" spans="1:256" x14ac:dyDescent="0.2">
      <c r="A41" s="217"/>
      <c r="B41" s="218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0"/>
      <c r="O41" s="210"/>
      <c r="P41" s="221"/>
      <c r="Q41" s="221"/>
      <c r="R41" s="221"/>
      <c r="S41" s="221"/>
      <c r="T41" s="221"/>
      <c r="U41" s="221"/>
      <c r="V41" s="221"/>
      <c r="W41" s="221"/>
      <c r="X41" s="221"/>
      <c r="Y41" s="221"/>
      <c r="Z41" s="221"/>
      <c r="AA41" s="206"/>
      <c r="AB41" s="206"/>
      <c r="AC41" s="211"/>
      <c r="AD41" s="211"/>
      <c r="AE41" s="211"/>
      <c r="AF41" s="211"/>
      <c r="AG41" s="211"/>
      <c r="AH41" s="211"/>
      <c r="AI41" s="211"/>
      <c r="AJ41" s="211"/>
      <c r="AK41" s="211"/>
      <c r="AL41" s="211"/>
      <c r="AM41" s="211"/>
      <c r="AN41" s="206"/>
      <c r="AO41" s="206"/>
      <c r="AP41" s="211"/>
      <c r="AQ41" s="211"/>
      <c r="AR41" s="211"/>
      <c r="AS41" s="211"/>
      <c r="AT41" s="211"/>
      <c r="AU41" s="211"/>
      <c r="AV41" s="211"/>
      <c r="AW41" s="211"/>
      <c r="AX41" s="211"/>
      <c r="AY41" s="211"/>
      <c r="AZ41" s="211"/>
      <c r="BA41" s="206"/>
      <c r="BB41" s="206"/>
      <c r="BC41" s="211"/>
      <c r="BD41" s="211"/>
      <c r="BE41" s="211"/>
      <c r="BF41" s="211"/>
      <c r="BG41" s="211"/>
      <c r="BH41" s="211"/>
      <c r="BI41" s="211"/>
      <c r="BJ41" s="211"/>
      <c r="BK41" s="211"/>
      <c r="BL41" s="211"/>
      <c r="BM41" s="211"/>
      <c r="BN41" s="206"/>
      <c r="BO41" s="206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06"/>
      <c r="CB41" s="206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06"/>
      <c r="CO41" s="206"/>
      <c r="CP41" s="211"/>
      <c r="CQ41" s="211"/>
      <c r="CR41" s="211"/>
      <c r="CS41" s="211"/>
      <c r="CT41" s="211"/>
      <c r="CU41" s="211"/>
      <c r="CV41" s="211"/>
      <c r="CW41" s="211"/>
      <c r="CX41" s="211"/>
      <c r="CY41" s="211"/>
      <c r="CZ41" s="211"/>
      <c r="DA41" s="206"/>
      <c r="DB41" s="206"/>
      <c r="DC41" s="211"/>
      <c r="DD41" s="211"/>
      <c r="DE41" s="211"/>
      <c r="DF41" s="211"/>
      <c r="DG41" s="211"/>
      <c r="DH41" s="211"/>
      <c r="DI41" s="211"/>
      <c r="DJ41" s="211"/>
      <c r="DK41" s="211"/>
      <c r="DL41" s="211"/>
      <c r="DM41" s="211"/>
      <c r="DN41" s="206"/>
      <c r="DO41" s="206"/>
      <c r="DP41" s="211"/>
      <c r="DQ41" s="211"/>
      <c r="DR41" s="211"/>
      <c r="DS41" s="211"/>
      <c r="DT41" s="211"/>
      <c r="DU41" s="211"/>
      <c r="DV41" s="211"/>
      <c r="DW41" s="211"/>
      <c r="DX41" s="211"/>
      <c r="DY41" s="211"/>
      <c r="DZ41" s="211"/>
      <c r="EA41" s="206"/>
      <c r="EB41" s="206"/>
      <c r="EC41" s="211"/>
      <c r="ED41" s="211"/>
      <c r="EE41" s="211"/>
      <c r="EF41" s="211"/>
      <c r="EG41" s="211"/>
      <c r="EH41" s="211"/>
      <c r="EI41" s="211"/>
      <c r="EJ41" s="211"/>
      <c r="EK41" s="211"/>
      <c r="EL41" s="211"/>
      <c r="EM41" s="211"/>
      <c r="EN41" s="206"/>
      <c r="EO41" s="206"/>
      <c r="EP41" s="211"/>
      <c r="EQ41" s="211"/>
      <c r="ER41" s="211"/>
      <c r="ES41" s="211"/>
      <c r="ET41" s="211"/>
      <c r="EU41" s="211"/>
      <c r="EV41" s="211"/>
      <c r="EW41" s="211"/>
      <c r="EX41" s="211"/>
      <c r="EY41" s="211"/>
      <c r="EZ41" s="211"/>
      <c r="FA41" s="206"/>
      <c r="FB41" s="206"/>
      <c r="FC41" s="211"/>
      <c r="FD41" s="211"/>
      <c r="FE41" s="211"/>
      <c r="FF41" s="211"/>
      <c r="FG41" s="211"/>
      <c r="FH41" s="211"/>
      <c r="FI41" s="211"/>
      <c r="FJ41" s="211"/>
      <c r="FK41" s="211"/>
      <c r="FL41" s="211"/>
      <c r="FM41" s="211"/>
      <c r="FN41" s="206"/>
      <c r="FO41" s="206"/>
      <c r="FP41" s="211"/>
      <c r="FQ41" s="211"/>
      <c r="FR41" s="211"/>
      <c r="FS41" s="211"/>
      <c r="FT41" s="211"/>
      <c r="FU41" s="211"/>
      <c r="FV41" s="211"/>
      <c r="FW41" s="211"/>
      <c r="FX41" s="211"/>
      <c r="FY41" s="211"/>
      <c r="FZ41" s="211"/>
      <c r="GA41" s="206"/>
      <c r="GB41" s="206"/>
      <c r="GC41" s="211"/>
      <c r="GD41" s="211"/>
      <c r="GE41" s="211"/>
      <c r="GF41" s="211"/>
      <c r="GG41" s="211"/>
      <c r="GH41" s="211"/>
      <c r="GI41" s="211"/>
      <c r="GJ41" s="211"/>
      <c r="GK41" s="211"/>
      <c r="GL41" s="211"/>
      <c r="GM41" s="211"/>
      <c r="GN41" s="206"/>
      <c r="GO41" s="206"/>
      <c r="GP41" s="211"/>
      <c r="GQ41" s="211"/>
      <c r="GR41" s="211"/>
      <c r="GS41" s="211"/>
      <c r="GT41" s="211"/>
      <c r="GU41" s="211"/>
      <c r="GV41" s="211"/>
      <c r="GW41" s="211"/>
      <c r="GX41" s="211"/>
      <c r="GY41" s="211"/>
      <c r="GZ41" s="211"/>
      <c r="HA41" s="206"/>
      <c r="HB41" s="206"/>
      <c r="HC41" s="211"/>
      <c r="HD41" s="211"/>
      <c r="HE41" s="211"/>
      <c r="HF41" s="211"/>
      <c r="HG41" s="211"/>
      <c r="HH41" s="211"/>
      <c r="HI41" s="211"/>
      <c r="HJ41" s="211"/>
      <c r="HK41" s="211"/>
      <c r="HL41" s="211"/>
      <c r="HM41" s="211"/>
      <c r="HN41" s="206"/>
      <c r="HO41" s="206"/>
      <c r="HP41" s="211"/>
      <c r="HQ41" s="211"/>
      <c r="HR41" s="211"/>
      <c r="HS41" s="211"/>
      <c r="HT41" s="211"/>
      <c r="HU41" s="211"/>
      <c r="HV41" s="211"/>
      <c r="HW41" s="211"/>
      <c r="HX41" s="211"/>
      <c r="HY41" s="211"/>
      <c r="HZ41" s="211"/>
      <c r="IA41" s="206"/>
      <c r="IB41" s="206"/>
      <c r="IC41" s="211"/>
      <c r="ID41" s="211"/>
      <c r="IE41" s="211"/>
      <c r="IF41" s="211"/>
      <c r="IG41" s="211"/>
      <c r="IH41" s="211"/>
      <c r="II41" s="211"/>
      <c r="IJ41" s="211"/>
      <c r="IK41" s="211"/>
      <c r="IL41" s="211"/>
      <c r="IM41" s="211"/>
      <c r="IN41" s="206"/>
      <c r="IO41" s="206"/>
      <c r="IP41" s="211"/>
      <c r="IQ41" s="211"/>
      <c r="IR41" s="211"/>
      <c r="IS41" s="211"/>
      <c r="IT41" s="211"/>
      <c r="IU41" s="211"/>
      <c r="IV41" s="211"/>
    </row>
    <row r="42" spans="1:256" x14ac:dyDescent="0.2">
      <c r="A42" s="217"/>
      <c r="B42" s="218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0"/>
      <c r="O42" s="210"/>
      <c r="P42" s="221"/>
      <c r="Q42" s="221"/>
      <c r="R42" s="221"/>
      <c r="S42" s="221"/>
      <c r="T42" s="221"/>
      <c r="U42" s="221"/>
      <c r="V42" s="221"/>
      <c r="W42" s="221"/>
      <c r="X42" s="221"/>
      <c r="Y42" s="221"/>
      <c r="Z42" s="221"/>
      <c r="AA42" s="206"/>
      <c r="AB42" s="206"/>
      <c r="AC42" s="211"/>
      <c r="AD42" s="211"/>
      <c r="AE42" s="211"/>
      <c r="AF42" s="211"/>
      <c r="AG42" s="211"/>
      <c r="AH42" s="211"/>
      <c r="AI42" s="211"/>
      <c r="AJ42" s="211"/>
      <c r="AK42" s="211"/>
      <c r="AL42" s="211"/>
      <c r="AM42" s="211"/>
      <c r="AN42" s="206"/>
      <c r="AO42" s="206"/>
      <c r="AP42" s="211"/>
      <c r="AQ42" s="211"/>
      <c r="AR42" s="211"/>
      <c r="AS42" s="211"/>
      <c r="AT42" s="211"/>
      <c r="AU42" s="211"/>
      <c r="AV42" s="211"/>
      <c r="AW42" s="211"/>
      <c r="AX42" s="211"/>
      <c r="AY42" s="211"/>
      <c r="AZ42" s="211"/>
      <c r="BA42" s="206"/>
      <c r="BB42" s="206"/>
      <c r="BC42" s="211"/>
      <c r="BD42" s="211"/>
      <c r="BE42" s="211"/>
      <c r="BF42" s="211"/>
      <c r="BG42" s="211"/>
      <c r="BH42" s="211"/>
      <c r="BI42" s="211"/>
      <c r="BJ42" s="211"/>
      <c r="BK42" s="211"/>
      <c r="BL42" s="211"/>
      <c r="BM42" s="211"/>
      <c r="BN42" s="206"/>
      <c r="BO42" s="206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06"/>
      <c r="CB42" s="206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06"/>
      <c r="CO42" s="206"/>
      <c r="CP42" s="211"/>
      <c r="CQ42" s="211"/>
      <c r="CR42" s="211"/>
      <c r="CS42" s="211"/>
      <c r="CT42" s="211"/>
      <c r="CU42" s="211"/>
      <c r="CV42" s="211"/>
      <c r="CW42" s="211"/>
      <c r="CX42" s="211"/>
      <c r="CY42" s="211"/>
      <c r="CZ42" s="211"/>
      <c r="DA42" s="206"/>
      <c r="DB42" s="206"/>
      <c r="DC42" s="211"/>
      <c r="DD42" s="211"/>
      <c r="DE42" s="211"/>
      <c r="DF42" s="211"/>
      <c r="DG42" s="211"/>
      <c r="DH42" s="211"/>
      <c r="DI42" s="211"/>
      <c r="DJ42" s="211"/>
      <c r="DK42" s="211"/>
      <c r="DL42" s="211"/>
      <c r="DM42" s="211"/>
      <c r="DN42" s="206"/>
      <c r="DO42" s="206"/>
      <c r="DP42" s="211"/>
      <c r="DQ42" s="211"/>
      <c r="DR42" s="211"/>
      <c r="DS42" s="211"/>
      <c r="DT42" s="211"/>
      <c r="DU42" s="211"/>
      <c r="DV42" s="211"/>
      <c r="DW42" s="211"/>
      <c r="DX42" s="211"/>
      <c r="DY42" s="211"/>
      <c r="DZ42" s="211"/>
      <c r="EA42" s="206"/>
      <c r="EB42" s="206"/>
      <c r="EC42" s="211"/>
      <c r="ED42" s="211"/>
      <c r="EE42" s="211"/>
      <c r="EF42" s="211"/>
      <c r="EG42" s="211"/>
      <c r="EH42" s="211"/>
      <c r="EI42" s="211"/>
      <c r="EJ42" s="211"/>
      <c r="EK42" s="211"/>
      <c r="EL42" s="211"/>
      <c r="EM42" s="211"/>
      <c r="EN42" s="206"/>
      <c r="EO42" s="206"/>
      <c r="EP42" s="211"/>
      <c r="EQ42" s="211"/>
      <c r="ER42" s="211"/>
      <c r="ES42" s="211"/>
      <c r="ET42" s="211"/>
      <c r="EU42" s="211"/>
      <c r="EV42" s="211"/>
      <c r="EW42" s="211"/>
      <c r="EX42" s="211"/>
      <c r="EY42" s="211"/>
      <c r="EZ42" s="211"/>
      <c r="FA42" s="206"/>
      <c r="FB42" s="206"/>
      <c r="FC42" s="211"/>
      <c r="FD42" s="211"/>
      <c r="FE42" s="211"/>
      <c r="FF42" s="211"/>
      <c r="FG42" s="211"/>
      <c r="FH42" s="211"/>
      <c r="FI42" s="211"/>
      <c r="FJ42" s="211"/>
      <c r="FK42" s="211"/>
      <c r="FL42" s="211"/>
      <c r="FM42" s="211"/>
      <c r="FN42" s="206"/>
      <c r="FO42" s="206"/>
      <c r="FP42" s="211"/>
      <c r="FQ42" s="211"/>
      <c r="FR42" s="211"/>
      <c r="FS42" s="211"/>
      <c r="FT42" s="211"/>
      <c r="FU42" s="211"/>
      <c r="FV42" s="211"/>
      <c r="FW42" s="211"/>
      <c r="FX42" s="211"/>
      <c r="FY42" s="211"/>
      <c r="FZ42" s="211"/>
      <c r="GA42" s="206"/>
      <c r="GB42" s="206"/>
      <c r="GC42" s="211"/>
      <c r="GD42" s="211"/>
      <c r="GE42" s="211"/>
      <c r="GF42" s="211"/>
      <c r="GG42" s="211"/>
      <c r="GH42" s="211"/>
      <c r="GI42" s="211"/>
      <c r="GJ42" s="211"/>
      <c r="GK42" s="211"/>
      <c r="GL42" s="211"/>
      <c r="GM42" s="211"/>
      <c r="GN42" s="206"/>
      <c r="GO42" s="206"/>
      <c r="GP42" s="211"/>
      <c r="GQ42" s="211"/>
      <c r="GR42" s="211"/>
      <c r="GS42" s="211"/>
      <c r="GT42" s="211"/>
      <c r="GU42" s="211"/>
      <c r="GV42" s="211"/>
      <c r="GW42" s="211"/>
      <c r="GX42" s="211"/>
      <c r="GY42" s="211"/>
      <c r="GZ42" s="211"/>
      <c r="HA42" s="206"/>
      <c r="HB42" s="206"/>
      <c r="HC42" s="211"/>
      <c r="HD42" s="211"/>
      <c r="HE42" s="211"/>
      <c r="HF42" s="211"/>
      <c r="HG42" s="211"/>
      <c r="HH42" s="211"/>
      <c r="HI42" s="211"/>
      <c r="HJ42" s="211"/>
      <c r="HK42" s="211"/>
      <c r="HL42" s="211"/>
      <c r="HM42" s="211"/>
      <c r="HN42" s="206"/>
      <c r="HO42" s="206"/>
      <c r="HP42" s="211"/>
      <c r="HQ42" s="211"/>
      <c r="HR42" s="211"/>
      <c r="HS42" s="211"/>
      <c r="HT42" s="211"/>
      <c r="HU42" s="211"/>
      <c r="HV42" s="211"/>
      <c r="HW42" s="211"/>
      <c r="HX42" s="211"/>
      <c r="HY42" s="211"/>
      <c r="HZ42" s="211"/>
      <c r="IA42" s="206"/>
      <c r="IB42" s="206"/>
      <c r="IC42" s="211"/>
      <c r="ID42" s="211"/>
      <c r="IE42" s="211"/>
      <c r="IF42" s="211"/>
      <c r="IG42" s="211"/>
      <c r="IH42" s="211"/>
      <c r="II42" s="211"/>
      <c r="IJ42" s="211"/>
      <c r="IK42" s="211"/>
      <c r="IL42" s="211"/>
      <c r="IM42" s="211"/>
      <c r="IN42" s="206"/>
      <c r="IO42" s="206"/>
      <c r="IP42" s="211"/>
      <c r="IQ42" s="211"/>
      <c r="IR42" s="211"/>
      <c r="IS42" s="211"/>
      <c r="IT42" s="211"/>
      <c r="IU42" s="211"/>
      <c r="IV42" s="211"/>
    </row>
    <row r="43" spans="1:256" x14ac:dyDescent="0.2">
      <c r="A43" s="217"/>
      <c r="B43" s="218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0"/>
      <c r="O43" s="210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06"/>
      <c r="AB43" s="206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06"/>
      <c r="AO43" s="206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06"/>
      <c r="BB43" s="206"/>
      <c r="BC43" s="211"/>
      <c r="BD43" s="211"/>
      <c r="BE43" s="211"/>
      <c r="BF43" s="211"/>
      <c r="BG43" s="211"/>
      <c r="BH43" s="211"/>
      <c r="BI43" s="211"/>
      <c r="BJ43" s="211"/>
      <c r="BK43" s="211"/>
      <c r="BL43" s="211"/>
      <c r="BM43" s="211"/>
      <c r="BN43" s="206"/>
      <c r="BO43" s="206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06"/>
      <c r="CB43" s="206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06"/>
      <c r="CO43" s="206"/>
      <c r="CP43" s="211"/>
      <c r="CQ43" s="211"/>
      <c r="CR43" s="211"/>
      <c r="CS43" s="211"/>
      <c r="CT43" s="211"/>
      <c r="CU43" s="211"/>
      <c r="CV43" s="211"/>
      <c r="CW43" s="211"/>
      <c r="CX43" s="211"/>
      <c r="CY43" s="211"/>
      <c r="CZ43" s="211"/>
      <c r="DA43" s="206"/>
      <c r="DB43" s="206"/>
      <c r="DC43" s="211"/>
      <c r="DD43" s="211"/>
      <c r="DE43" s="211"/>
      <c r="DF43" s="211"/>
      <c r="DG43" s="211"/>
      <c r="DH43" s="211"/>
      <c r="DI43" s="211"/>
      <c r="DJ43" s="211"/>
      <c r="DK43" s="211"/>
      <c r="DL43" s="211"/>
      <c r="DM43" s="211"/>
      <c r="DN43" s="206"/>
      <c r="DO43" s="206"/>
      <c r="DP43" s="211"/>
      <c r="DQ43" s="211"/>
      <c r="DR43" s="211"/>
      <c r="DS43" s="211"/>
      <c r="DT43" s="211"/>
      <c r="DU43" s="211"/>
      <c r="DV43" s="211"/>
      <c r="DW43" s="211"/>
      <c r="DX43" s="211"/>
      <c r="DY43" s="211"/>
      <c r="DZ43" s="211"/>
      <c r="EA43" s="206"/>
      <c r="EB43" s="206"/>
      <c r="EC43" s="211"/>
      <c r="ED43" s="211"/>
      <c r="EE43" s="211"/>
      <c r="EF43" s="211"/>
      <c r="EG43" s="211"/>
      <c r="EH43" s="211"/>
      <c r="EI43" s="211"/>
      <c r="EJ43" s="211"/>
      <c r="EK43" s="211"/>
      <c r="EL43" s="211"/>
      <c r="EM43" s="211"/>
      <c r="EN43" s="206"/>
      <c r="EO43" s="206"/>
      <c r="EP43" s="211"/>
      <c r="EQ43" s="211"/>
      <c r="ER43" s="211"/>
      <c r="ES43" s="211"/>
      <c r="ET43" s="211"/>
      <c r="EU43" s="211"/>
      <c r="EV43" s="211"/>
      <c r="EW43" s="211"/>
      <c r="EX43" s="211"/>
      <c r="EY43" s="211"/>
      <c r="EZ43" s="211"/>
      <c r="FA43" s="206"/>
      <c r="FB43" s="206"/>
      <c r="FC43" s="211"/>
      <c r="FD43" s="211"/>
      <c r="FE43" s="211"/>
      <c r="FF43" s="211"/>
      <c r="FG43" s="211"/>
      <c r="FH43" s="211"/>
      <c r="FI43" s="211"/>
      <c r="FJ43" s="211"/>
      <c r="FK43" s="211"/>
      <c r="FL43" s="211"/>
      <c r="FM43" s="211"/>
      <c r="FN43" s="206"/>
      <c r="FO43" s="206"/>
      <c r="FP43" s="211"/>
      <c r="FQ43" s="211"/>
      <c r="FR43" s="211"/>
      <c r="FS43" s="211"/>
      <c r="FT43" s="211"/>
      <c r="FU43" s="211"/>
      <c r="FV43" s="211"/>
      <c r="FW43" s="211"/>
      <c r="FX43" s="211"/>
      <c r="FY43" s="211"/>
      <c r="FZ43" s="211"/>
      <c r="GA43" s="206"/>
      <c r="GB43" s="206"/>
      <c r="GC43" s="211"/>
      <c r="GD43" s="211"/>
      <c r="GE43" s="211"/>
      <c r="GF43" s="211"/>
      <c r="GG43" s="211"/>
      <c r="GH43" s="211"/>
      <c r="GI43" s="211"/>
      <c r="GJ43" s="211"/>
      <c r="GK43" s="211"/>
      <c r="GL43" s="211"/>
      <c r="GM43" s="211"/>
      <c r="GN43" s="206"/>
      <c r="GO43" s="206"/>
      <c r="GP43" s="211"/>
      <c r="GQ43" s="211"/>
      <c r="GR43" s="211"/>
      <c r="GS43" s="211"/>
      <c r="GT43" s="211"/>
      <c r="GU43" s="211"/>
      <c r="GV43" s="211"/>
      <c r="GW43" s="211"/>
      <c r="GX43" s="211"/>
      <c r="GY43" s="211"/>
      <c r="GZ43" s="211"/>
      <c r="HA43" s="206"/>
      <c r="HB43" s="206"/>
      <c r="HC43" s="211"/>
      <c r="HD43" s="211"/>
      <c r="HE43" s="211"/>
      <c r="HF43" s="211"/>
      <c r="HG43" s="211"/>
      <c r="HH43" s="211"/>
      <c r="HI43" s="211"/>
      <c r="HJ43" s="211"/>
      <c r="HK43" s="211"/>
      <c r="HL43" s="211"/>
      <c r="HM43" s="211"/>
      <c r="HN43" s="206"/>
      <c r="HO43" s="206"/>
      <c r="HP43" s="211"/>
      <c r="HQ43" s="211"/>
      <c r="HR43" s="211"/>
      <c r="HS43" s="211"/>
      <c r="HT43" s="211"/>
      <c r="HU43" s="211"/>
      <c r="HV43" s="211"/>
      <c r="HW43" s="211"/>
      <c r="HX43" s="211"/>
      <c r="HY43" s="211"/>
      <c r="HZ43" s="211"/>
      <c r="IA43" s="206"/>
      <c r="IB43" s="206"/>
      <c r="IC43" s="211"/>
      <c r="ID43" s="211"/>
      <c r="IE43" s="211"/>
      <c r="IF43" s="211"/>
      <c r="IG43" s="211"/>
      <c r="IH43" s="211"/>
      <c r="II43" s="211"/>
      <c r="IJ43" s="211"/>
      <c r="IK43" s="211"/>
      <c r="IL43" s="211"/>
      <c r="IM43" s="211"/>
      <c r="IN43" s="206"/>
      <c r="IO43" s="206"/>
      <c r="IP43" s="211"/>
      <c r="IQ43" s="211"/>
      <c r="IR43" s="211"/>
      <c r="IS43" s="211"/>
      <c r="IT43" s="211"/>
      <c r="IU43" s="211"/>
      <c r="IV43" s="211"/>
    </row>
    <row r="44" spans="1:256" x14ac:dyDescent="0.2">
      <c r="A44" s="217"/>
      <c r="B44" s="218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0"/>
      <c r="O44" s="210"/>
      <c r="P44" s="221"/>
      <c r="Q44" s="221"/>
      <c r="R44" s="221"/>
      <c r="S44" s="221"/>
      <c r="T44" s="221"/>
      <c r="U44" s="221"/>
      <c r="V44" s="221"/>
      <c r="W44" s="221"/>
      <c r="X44" s="221"/>
      <c r="Y44" s="221"/>
      <c r="Z44" s="221"/>
      <c r="AA44" s="206"/>
      <c r="AB44" s="206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06"/>
      <c r="AO44" s="206"/>
      <c r="AP44" s="211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06"/>
      <c r="BB44" s="206"/>
      <c r="BC44" s="211"/>
      <c r="BD44" s="211"/>
      <c r="BE44" s="211"/>
      <c r="BF44" s="211"/>
      <c r="BG44" s="211"/>
      <c r="BH44" s="211"/>
      <c r="BI44" s="211"/>
      <c r="BJ44" s="211"/>
      <c r="BK44" s="211"/>
      <c r="BL44" s="211"/>
      <c r="BM44" s="211"/>
      <c r="BN44" s="206"/>
      <c r="BO44" s="206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06"/>
      <c r="CB44" s="206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06"/>
      <c r="CO44" s="206"/>
      <c r="CP44" s="211"/>
      <c r="CQ44" s="211"/>
      <c r="CR44" s="211"/>
      <c r="CS44" s="211"/>
      <c r="CT44" s="211"/>
      <c r="CU44" s="211"/>
      <c r="CV44" s="211"/>
      <c r="CW44" s="211"/>
      <c r="CX44" s="211"/>
      <c r="CY44" s="211"/>
      <c r="CZ44" s="211"/>
      <c r="DA44" s="206"/>
      <c r="DB44" s="206"/>
      <c r="DC44" s="211"/>
      <c r="DD44" s="211"/>
      <c r="DE44" s="211"/>
      <c r="DF44" s="211"/>
      <c r="DG44" s="211"/>
      <c r="DH44" s="211"/>
      <c r="DI44" s="211"/>
      <c r="DJ44" s="211"/>
      <c r="DK44" s="211"/>
      <c r="DL44" s="211"/>
      <c r="DM44" s="211"/>
      <c r="DN44" s="206"/>
      <c r="DO44" s="206"/>
      <c r="DP44" s="211"/>
      <c r="DQ44" s="211"/>
      <c r="DR44" s="211"/>
      <c r="DS44" s="211"/>
      <c r="DT44" s="211"/>
      <c r="DU44" s="211"/>
      <c r="DV44" s="211"/>
      <c r="DW44" s="211"/>
      <c r="DX44" s="211"/>
      <c r="DY44" s="211"/>
      <c r="DZ44" s="211"/>
      <c r="EA44" s="206"/>
      <c r="EB44" s="206"/>
      <c r="EC44" s="211"/>
      <c r="ED44" s="211"/>
      <c r="EE44" s="211"/>
      <c r="EF44" s="211"/>
      <c r="EG44" s="211"/>
      <c r="EH44" s="211"/>
      <c r="EI44" s="211"/>
      <c r="EJ44" s="211"/>
      <c r="EK44" s="211"/>
      <c r="EL44" s="211"/>
      <c r="EM44" s="211"/>
      <c r="EN44" s="206"/>
      <c r="EO44" s="206"/>
      <c r="EP44" s="211"/>
      <c r="EQ44" s="211"/>
      <c r="ER44" s="211"/>
      <c r="ES44" s="211"/>
      <c r="ET44" s="211"/>
      <c r="EU44" s="211"/>
      <c r="EV44" s="211"/>
      <c r="EW44" s="211"/>
      <c r="EX44" s="211"/>
      <c r="EY44" s="211"/>
      <c r="EZ44" s="211"/>
      <c r="FA44" s="206"/>
      <c r="FB44" s="206"/>
      <c r="FC44" s="211"/>
      <c r="FD44" s="211"/>
      <c r="FE44" s="211"/>
      <c r="FF44" s="211"/>
      <c r="FG44" s="211"/>
      <c r="FH44" s="211"/>
      <c r="FI44" s="211"/>
      <c r="FJ44" s="211"/>
      <c r="FK44" s="211"/>
      <c r="FL44" s="211"/>
      <c r="FM44" s="211"/>
      <c r="FN44" s="206"/>
      <c r="FO44" s="206"/>
      <c r="FP44" s="211"/>
      <c r="FQ44" s="211"/>
      <c r="FR44" s="211"/>
      <c r="FS44" s="211"/>
      <c r="FT44" s="211"/>
      <c r="FU44" s="211"/>
      <c r="FV44" s="211"/>
      <c r="FW44" s="211"/>
      <c r="FX44" s="211"/>
      <c r="FY44" s="211"/>
      <c r="FZ44" s="211"/>
      <c r="GA44" s="206"/>
      <c r="GB44" s="206"/>
      <c r="GC44" s="211"/>
      <c r="GD44" s="211"/>
      <c r="GE44" s="211"/>
      <c r="GF44" s="211"/>
      <c r="GG44" s="211"/>
      <c r="GH44" s="211"/>
      <c r="GI44" s="211"/>
      <c r="GJ44" s="211"/>
      <c r="GK44" s="211"/>
      <c r="GL44" s="211"/>
      <c r="GM44" s="211"/>
      <c r="GN44" s="206"/>
      <c r="GO44" s="206"/>
      <c r="GP44" s="211"/>
      <c r="GQ44" s="211"/>
      <c r="GR44" s="211"/>
      <c r="GS44" s="211"/>
      <c r="GT44" s="211"/>
      <c r="GU44" s="211"/>
      <c r="GV44" s="211"/>
      <c r="GW44" s="211"/>
      <c r="GX44" s="211"/>
      <c r="GY44" s="211"/>
      <c r="GZ44" s="211"/>
      <c r="HA44" s="206"/>
      <c r="HB44" s="206"/>
      <c r="HC44" s="211"/>
      <c r="HD44" s="211"/>
      <c r="HE44" s="211"/>
      <c r="HF44" s="211"/>
      <c r="HG44" s="211"/>
      <c r="HH44" s="211"/>
      <c r="HI44" s="211"/>
      <c r="HJ44" s="211"/>
      <c r="HK44" s="211"/>
      <c r="HL44" s="211"/>
      <c r="HM44" s="211"/>
      <c r="HN44" s="206"/>
      <c r="HO44" s="206"/>
      <c r="HP44" s="211"/>
      <c r="HQ44" s="211"/>
      <c r="HR44" s="211"/>
      <c r="HS44" s="211"/>
      <c r="HT44" s="211"/>
      <c r="HU44" s="211"/>
      <c r="HV44" s="211"/>
      <c r="HW44" s="211"/>
      <c r="HX44" s="211"/>
      <c r="HY44" s="211"/>
      <c r="HZ44" s="211"/>
      <c r="IA44" s="206"/>
      <c r="IB44" s="206"/>
      <c r="IC44" s="211"/>
      <c r="ID44" s="211"/>
      <c r="IE44" s="211"/>
      <c r="IF44" s="211"/>
      <c r="IG44" s="211"/>
      <c r="IH44" s="211"/>
      <c r="II44" s="211"/>
      <c r="IJ44" s="211"/>
      <c r="IK44" s="211"/>
      <c r="IL44" s="211"/>
      <c r="IM44" s="211"/>
      <c r="IN44" s="206"/>
      <c r="IO44" s="206"/>
      <c r="IP44" s="211"/>
      <c r="IQ44" s="211"/>
      <c r="IR44" s="211"/>
      <c r="IS44" s="211"/>
      <c r="IT44" s="211"/>
      <c r="IU44" s="211"/>
      <c r="IV44" s="211"/>
    </row>
    <row r="45" spans="1:256" x14ac:dyDescent="0.2">
      <c r="A45" s="217"/>
      <c r="B45" s="218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0"/>
      <c r="O45" s="210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06"/>
      <c r="AB45" s="206"/>
      <c r="AC45" s="211"/>
      <c r="AD45" s="211"/>
      <c r="AE45" s="211"/>
      <c r="AF45" s="211"/>
      <c r="AG45" s="211"/>
      <c r="AH45" s="211"/>
      <c r="AI45" s="211"/>
      <c r="AJ45" s="211"/>
      <c r="AK45" s="211"/>
      <c r="AL45" s="211"/>
      <c r="AM45" s="211"/>
      <c r="AN45" s="206"/>
      <c r="AO45" s="206"/>
      <c r="AP45" s="211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06"/>
      <c r="BB45" s="206"/>
      <c r="BC45" s="211"/>
      <c r="BD45" s="211"/>
      <c r="BE45" s="211"/>
      <c r="BF45" s="211"/>
      <c r="BG45" s="211"/>
      <c r="BH45" s="211"/>
      <c r="BI45" s="211"/>
      <c r="BJ45" s="211"/>
      <c r="BK45" s="211"/>
      <c r="BL45" s="211"/>
      <c r="BM45" s="211"/>
      <c r="BN45" s="206"/>
      <c r="BO45" s="206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06"/>
      <c r="CB45" s="206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06"/>
      <c r="CO45" s="206"/>
      <c r="CP45" s="211"/>
      <c r="CQ45" s="211"/>
      <c r="CR45" s="211"/>
      <c r="CS45" s="211"/>
      <c r="CT45" s="211"/>
      <c r="CU45" s="211"/>
      <c r="CV45" s="211"/>
      <c r="CW45" s="211"/>
      <c r="CX45" s="211"/>
      <c r="CY45" s="211"/>
      <c r="CZ45" s="211"/>
      <c r="DA45" s="206"/>
      <c r="DB45" s="206"/>
      <c r="DC45" s="211"/>
      <c r="DD45" s="211"/>
      <c r="DE45" s="211"/>
      <c r="DF45" s="211"/>
      <c r="DG45" s="211"/>
      <c r="DH45" s="211"/>
      <c r="DI45" s="211"/>
      <c r="DJ45" s="211"/>
      <c r="DK45" s="211"/>
      <c r="DL45" s="211"/>
      <c r="DM45" s="211"/>
      <c r="DN45" s="206"/>
      <c r="DO45" s="206"/>
      <c r="DP45" s="211"/>
      <c r="DQ45" s="211"/>
      <c r="DR45" s="211"/>
      <c r="DS45" s="211"/>
      <c r="DT45" s="211"/>
      <c r="DU45" s="211"/>
      <c r="DV45" s="211"/>
      <c r="DW45" s="211"/>
      <c r="DX45" s="211"/>
      <c r="DY45" s="211"/>
      <c r="DZ45" s="211"/>
      <c r="EA45" s="206"/>
      <c r="EB45" s="206"/>
      <c r="EC45" s="211"/>
      <c r="ED45" s="211"/>
      <c r="EE45" s="211"/>
      <c r="EF45" s="211"/>
      <c r="EG45" s="211"/>
      <c r="EH45" s="211"/>
      <c r="EI45" s="211"/>
      <c r="EJ45" s="211"/>
      <c r="EK45" s="211"/>
      <c r="EL45" s="211"/>
      <c r="EM45" s="211"/>
      <c r="EN45" s="206"/>
      <c r="EO45" s="206"/>
      <c r="EP45" s="211"/>
      <c r="EQ45" s="211"/>
      <c r="ER45" s="211"/>
      <c r="ES45" s="211"/>
      <c r="ET45" s="211"/>
      <c r="EU45" s="211"/>
      <c r="EV45" s="211"/>
      <c r="EW45" s="211"/>
      <c r="EX45" s="211"/>
      <c r="EY45" s="211"/>
      <c r="EZ45" s="211"/>
      <c r="FA45" s="206"/>
      <c r="FB45" s="206"/>
      <c r="FC45" s="211"/>
      <c r="FD45" s="211"/>
      <c r="FE45" s="211"/>
      <c r="FF45" s="211"/>
      <c r="FG45" s="211"/>
      <c r="FH45" s="211"/>
      <c r="FI45" s="211"/>
      <c r="FJ45" s="211"/>
      <c r="FK45" s="211"/>
      <c r="FL45" s="211"/>
      <c r="FM45" s="211"/>
      <c r="FN45" s="206"/>
      <c r="FO45" s="206"/>
      <c r="FP45" s="211"/>
      <c r="FQ45" s="211"/>
      <c r="FR45" s="211"/>
      <c r="FS45" s="211"/>
      <c r="FT45" s="211"/>
      <c r="FU45" s="211"/>
      <c r="FV45" s="211"/>
      <c r="FW45" s="211"/>
      <c r="FX45" s="211"/>
      <c r="FY45" s="211"/>
      <c r="FZ45" s="211"/>
      <c r="GA45" s="206"/>
      <c r="GB45" s="206"/>
      <c r="GC45" s="211"/>
      <c r="GD45" s="211"/>
      <c r="GE45" s="211"/>
      <c r="GF45" s="211"/>
      <c r="GG45" s="211"/>
      <c r="GH45" s="211"/>
      <c r="GI45" s="211"/>
      <c r="GJ45" s="211"/>
      <c r="GK45" s="211"/>
      <c r="GL45" s="211"/>
      <c r="GM45" s="211"/>
      <c r="GN45" s="206"/>
      <c r="GO45" s="206"/>
      <c r="GP45" s="211"/>
      <c r="GQ45" s="211"/>
      <c r="GR45" s="211"/>
      <c r="GS45" s="211"/>
      <c r="GT45" s="211"/>
      <c r="GU45" s="211"/>
      <c r="GV45" s="211"/>
      <c r="GW45" s="211"/>
      <c r="GX45" s="211"/>
      <c r="GY45" s="211"/>
      <c r="GZ45" s="211"/>
      <c r="HA45" s="206"/>
      <c r="HB45" s="206"/>
      <c r="HC45" s="211"/>
      <c r="HD45" s="211"/>
      <c r="HE45" s="211"/>
      <c r="HF45" s="211"/>
      <c r="HG45" s="211"/>
      <c r="HH45" s="211"/>
      <c r="HI45" s="211"/>
      <c r="HJ45" s="211"/>
      <c r="HK45" s="211"/>
      <c r="HL45" s="211"/>
      <c r="HM45" s="211"/>
      <c r="HN45" s="206"/>
      <c r="HO45" s="206"/>
      <c r="HP45" s="211"/>
      <c r="HQ45" s="211"/>
      <c r="HR45" s="211"/>
      <c r="HS45" s="211"/>
      <c r="HT45" s="211"/>
      <c r="HU45" s="211"/>
      <c r="HV45" s="211"/>
      <c r="HW45" s="211"/>
      <c r="HX45" s="211"/>
      <c r="HY45" s="211"/>
      <c r="HZ45" s="211"/>
      <c r="IA45" s="206"/>
      <c r="IB45" s="206"/>
      <c r="IC45" s="211"/>
      <c r="ID45" s="211"/>
      <c r="IE45" s="211"/>
      <c r="IF45" s="211"/>
      <c r="IG45" s="211"/>
      <c r="IH45" s="211"/>
      <c r="II45" s="211"/>
      <c r="IJ45" s="211"/>
      <c r="IK45" s="211"/>
      <c r="IL45" s="211"/>
      <c r="IM45" s="211"/>
      <c r="IN45" s="206"/>
      <c r="IO45" s="206"/>
      <c r="IP45" s="211"/>
      <c r="IQ45" s="211"/>
      <c r="IR45" s="211"/>
      <c r="IS45" s="211"/>
      <c r="IT45" s="211"/>
      <c r="IU45" s="211"/>
      <c r="IV45" s="211"/>
    </row>
    <row r="46" spans="1:256" x14ac:dyDescent="0.2">
      <c r="A46" s="217"/>
      <c r="B46" s="218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0"/>
      <c r="O46" s="210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06"/>
      <c r="AB46" s="206"/>
      <c r="AC46" s="211"/>
      <c r="AD46" s="211"/>
      <c r="AE46" s="211"/>
      <c r="AF46" s="211"/>
      <c r="AG46" s="211"/>
      <c r="AH46" s="211"/>
      <c r="AI46" s="211"/>
      <c r="AJ46" s="211"/>
      <c r="AK46" s="211"/>
      <c r="AL46" s="211"/>
      <c r="AM46" s="211"/>
      <c r="AN46" s="206"/>
      <c r="AO46" s="206"/>
      <c r="AP46" s="211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06"/>
      <c r="BB46" s="206"/>
      <c r="BC46" s="211"/>
      <c r="BD46" s="211"/>
      <c r="BE46" s="211"/>
      <c r="BF46" s="211"/>
      <c r="BG46" s="211"/>
      <c r="BH46" s="211"/>
      <c r="BI46" s="211"/>
      <c r="BJ46" s="211"/>
      <c r="BK46" s="211"/>
      <c r="BL46" s="211"/>
      <c r="BM46" s="211"/>
      <c r="BN46" s="206"/>
      <c r="BO46" s="206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06"/>
      <c r="CB46" s="206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06"/>
      <c r="CO46" s="206"/>
      <c r="CP46" s="211"/>
      <c r="CQ46" s="211"/>
      <c r="CR46" s="211"/>
      <c r="CS46" s="211"/>
      <c r="CT46" s="211"/>
      <c r="CU46" s="211"/>
      <c r="CV46" s="211"/>
      <c r="CW46" s="211"/>
      <c r="CX46" s="211"/>
      <c r="CY46" s="211"/>
      <c r="CZ46" s="211"/>
      <c r="DA46" s="206"/>
      <c r="DB46" s="206"/>
      <c r="DC46" s="211"/>
      <c r="DD46" s="211"/>
      <c r="DE46" s="211"/>
      <c r="DF46" s="211"/>
      <c r="DG46" s="211"/>
      <c r="DH46" s="211"/>
      <c r="DI46" s="211"/>
      <c r="DJ46" s="211"/>
      <c r="DK46" s="211"/>
      <c r="DL46" s="211"/>
      <c r="DM46" s="211"/>
      <c r="DN46" s="206"/>
      <c r="DO46" s="206"/>
      <c r="DP46" s="211"/>
      <c r="DQ46" s="211"/>
      <c r="DR46" s="211"/>
      <c r="DS46" s="211"/>
      <c r="DT46" s="211"/>
      <c r="DU46" s="211"/>
      <c r="DV46" s="211"/>
      <c r="DW46" s="211"/>
      <c r="DX46" s="211"/>
      <c r="DY46" s="211"/>
      <c r="DZ46" s="211"/>
      <c r="EA46" s="206"/>
      <c r="EB46" s="206"/>
      <c r="EC46" s="211"/>
      <c r="ED46" s="211"/>
      <c r="EE46" s="211"/>
      <c r="EF46" s="211"/>
      <c r="EG46" s="211"/>
      <c r="EH46" s="211"/>
      <c r="EI46" s="211"/>
      <c r="EJ46" s="211"/>
      <c r="EK46" s="211"/>
      <c r="EL46" s="211"/>
      <c r="EM46" s="211"/>
      <c r="EN46" s="206"/>
      <c r="EO46" s="206"/>
      <c r="EP46" s="211"/>
      <c r="EQ46" s="211"/>
      <c r="ER46" s="211"/>
      <c r="ES46" s="211"/>
      <c r="ET46" s="211"/>
      <c r="EU46" s="211"/>
      <c r="EV46" s="211"/>
      <c r="EW46" s="211"/>
      <c r="EX46" s="211"/>
      <c r="EY46" s="211"/>
      <c r="EZ46" s="211"/>
      <c r="FA46" s="206"/>
      <c r="FB46" s="206"/>
      <c r="FC46" s="211"/>
      <c r="FD46" s="211"/>
      <c r="FE46" s="211"/>
      <c r="FF46" s="211"/>
      <c r="FG46" s="211"/>
      <c r="FH46" s="211"/>
      <c r="FI46" s="211"/>
      <c r="FJ46" s="211"/>
      <c r="FK46" s="211"/>
      <c r="FL46" s="211"/>
      <c r="FM46" s="211"/>
      <c r="FN46" s="206"/>
      <c r="FO46" s="206"/>
      <c r="FP46" s="211"/>
      <c r="FQ46" s="211"/>
      <c r="FR46" s="211"/>
      <c r="FS46" s="211"/>
      <c r="FT46" s="211"/>
      <c r="FU46" s="211"/>
      <c r="FV46" s="211"/>
      <c r="FW46" s="211"/>
      <c r="FX46" s="211"/>
      <c r="FY46" s="211"/>
      <c r="FZ46" s="211"/>
      <c r="GA46" s="206"/>
      <c r="GB46" s="206"/>
      <c r="GC46" s="211"/>
      <c r="GD46" s="211"/>
      <c r="GE46" s="211"/>
      <c r="GF46" s="211"/>
      <c r="GG46" s="211"/>
      <c r="GH46" s="211"/>
      <c r="GI46" s="211"/>
      <c r="GJ46" s="211"/>
      <c r="GK46" s="211"/>
      <c r="GL46" s="211"/>
      <c r="GM46" s="211"/>
      <c r="GN46" s="206"/>
      <c r="GO46" s="206"/>
      <c r="GP46" s="211"/>
      <c r="GQ46" s="211"/>
      <c r="GR46" s="211"/>
      <c r="GS46" s="211"/>
      <c r="GT46" s="211"/>
      <c r="GU46" s="211"/>
      <c r="GV46" s="211"/>
      <c r="GW46" s="211"/>
      <c r="GX46" s="211"/>
      <c r="GY46" s="211"/>
      <c r="GZ46" s="211"/>
      <c r="HA46" s="206"/>
      <c r="HB46" s="206"/>
      <c r="HC46" s="211"/>
      <c r="HD46" s="211"/>
      <c r="HE46" s="211"/>
      <c r="HF46" s="211"/>
      <c r="HG46" s="211"/>
      <c r="HH46" s="211"/>
      <c r="HI46" s="211"/>
      <c r="HJ46" s="211"/>
      <c r="HK46" s="211"/>
      <c r="HL46" s="211"/>
      <c r="HM46" s="211"/>
      <c r="HN46" s="206"/>
      <c r="HO46" s="206"/>
      <c r="HP46" s="211"/>
      <c r="HQ46" s="211"/>
      <c r="HR46" s="211"/>
      <c r="HS46" s="211"/>
      <c r="HT46" s="211"/>
      <c r="HU46" s="211"/>
      <c r="HV46" s="211"/>
      <c r="HW46" s="211"/>
      <c r="HX46" s="211"/>
      <c r="HY46" s="211"/>
      <c r="HZ46" s="211"/>
      <c r="IA46" s="206"/>
      <c r="IB46" s="206"/>
      <c r="IC46" s="211"/>
      <c r="ID46" s="211"/>
      <c r="IE46" s="211"/>
      <c r="IF46" s="211"/>
      <c r="IG46" s="211"/>
      <c r="IH46" s="211"/>
      <c r="II46" s="211"/>
      <c r="IJ46" s="211"/>
      <c r="IK46" s="211"/>
      <c r="IL46" s="211"/>
      <c r="IM46" s="211"/>
      <c r="IN46" s="206"/>
      <c r="IO46" s="206"/>
      <c r="IP46" s="211"/>
      <c r="IQ46" s="211"/>
      <c r="IR46" s="211"/>
      <c r="IS46" s="211"/>
      <c r="IT46" s="211"/>
      <c r="IU46" s="211"/>
      <c r="IV46" s="211"/>
    </row>
    <row r="47" spans="1:256" x14ac:dyDescent="0.2">
      <c r="A47" s="217"/>
      <c r="B47" s="218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0"/>
      <c r="O47" s="210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06"/>
      <c r="AB47" s="206"/>
      <c r="AC47" s="211"/>
      <c r="AD47" s="211"/>
      <c r="AE47" s="211"/>
      <c r="AF47" s="211"/>
      <c r="AG47" s="211"/>
      <c r="AH47" s="211"/>
      <c r="AI47" s="211"/>
      <c r="AJ47" s="211"/>
      <c r="AK47" s="211"/>
      <c r="AL47" s="211"/>
      <c r="AM47" s="211"/>
      <c r="AN47" s="206"/>
      <c r="AO47" s="206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06"/>
      <c r="BB47" s="206"/>
      <c r="BC47" s="211"/>
      <c r="BD47" s="211"/>
      <c r="BE47" s="211"/>
      <c r="BF47" s="211"/>
      <c r="BG47" s="211"/>
      <c r="BH47" s="211"/>
      <c r="BI47" s="211"/>
      <c r="BJ47" s="211"/>
      <c r="BK47" s="211"/>
      <c r="BL47" s="211"/>
      <c r="BM47" s="211"/>
      <c r="BN47" s="206"/>
      <c r="BO47" s="206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06"/>
      <c r="CB47" s="206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06"/>
      <c r="CO47" s="206"/>
      <c r="CP47" s="211"/>
      <c r="CQ47" s="211"/>
      <c r="CR47" s="211"/>
      <c r="CS47" s="211"/>
      <c r="CT47" s="211"/>
      <c r="CU47" s="211"/>
      <c r="CV47" s="211"/>
      <c r="CW47" s="211"/>
      <c r="CX47" s="211"/>
      <c r="CY47" s="211"/>
      <c r="CZ47" s="211"/>
      <c r="DA47" s="206"/>
      <c r="DB47" s="206"/>
      <c r="DC47" s="211"/>
      <c r="DD47" s="211"/>
      <c r="DE47" s="211"/>
      <c r="DF47" s="211"/>
      <c r="DG47" s="211"/>
      <c r="DH47" s="211"/>
      <c r="DI47" s="211"/>
      <c r="DJ47" s="211"/>
      <c r="DK47" s="211"/>
      <c r="DL47" s="211"/>
      <c r="DM47" s="211"/>
      <c r="DN47" s="206"/>
      <c r="DO47" s="206"/>
      <c r="DP47" s="211"/>
      <c r="DQ47" s="211"/>
      <c r="DR47" s="211"/>
      <c r="DS47" s="211"/>
      <c r="DT47" s="211"/>
      <c r="DU47" s="211"/>
      <c r="DV47" s="211"/>
      <c r="DW47" s="211"/>
      <c r="DX47" s="211"/>
      <c r="DY47" s="211"/>
      <c r="DZ47" s="211"/>
      <c r="EA47" s="206"/>
      <c r="EB47" s="206"/>
      <c r="EC47" s="211"/>
      <c r="ED47" s="211"/>
      <c r="EE47" s="211"/>
      <c r="EF47" s="211"/>
      <c r="EG47" s="211"/>
      <c r="EH47" s="211"/>
      <c r="EI47" s="211"/>
      <c r="EJ47" s="211"/>
      <c r="EK47" s="211"/>
      <c r="EL47" s="211"/>
      <c r="EM47" s="211"/>
      <c r="EN47" s="206"/>
      <c r="EO47" s="206"/>
      <c r="EP47" s="211"/>
      <c r="EQ47" s="211"/>
      <c r="ER47" s="211"/>
      <c r="ES47" s="211"/>
      <c r="ET47" s="211"/>
      <c r="EU47" s="211"/>
      <c r="EV47" s="211"/>
      <c r="EW47" s="211"/>
      <c r="EX47" s="211"/>
      <c r="EY47" s="211"/>
      <c r="EZ47" s="211"/>
      <c r="FA47" s="206"/>
      <c r="FB47" s="206"/>
      <c r="FC47" s="211"/>
      <c r="FD47" s="211"/>
      <c r="FE47" s="211"/>
      <c r="FF47" s="211"/>
      <c r="FG47" s="211"/>
      <c r="FH47" s="211"/>
      <c r="FI47" s="211"/>
      <c r="FJ47" s="211"/>
      <c r="FK47" s="211"/>
      <c r="FL47" s="211"/>
      <c r="FM47" s="211"/>
      <c r="FN47" s="206"/>
      <c r="FO47" s="206"/>
      <c r="FP47" s="211"/>
      <c r="FQ47" s="211"/>
      <c r="FR47" s="211"/>
      <c r="FS47" s="211"/>
      <c r="FT47" s="211"/>
      <c r="FU47" s="211"/>
      <c r="FV47" s="211"/>
      <c r="FW47" s="211"/>
      <c r="FX47" s="211"/>
      <c r="FY47" s="211"/>
      <c r="FZ47" s="211"/>
      <c r="GA47" s="206"/>
      <c r="GB47" s="206"/>
      <c r="GC47" s="211"/>
      <c r="GD47" s="211"/>
      <c r="GE47" s="211"/>
      <c r="GF47" s="211"/>
      <c r="GG47" s="211"/>
      <c r="GH47" s="211"/>
      <c r="GI47" s="211"/>
      <c r="GJ47" s="211"/>
      <c r="GK47" s="211"/>
      <c r="GL47" s="211"/>
      <c r="GM47" s="211"/>
      <c r="GN47" s="206"/>
      <c r="GO47" s="206"/>
      <c r="GP47" s="211"/>
      <c r="GQ47" s="211"/>
      <c r="GR47" s="211"/>
      <c r="GS47" s="211"/>
      <c r="GT47" s="211"/>
      <c r="GU47" s="211"/>
      <c r="GV47" s="211"/>
      <c r="GW47" s="211"/>
      <c r="GX47" s="211"/>
      <c r="GY47" s="211"/>
      <c r="GZ47" s="211"/>
      <c r="HA47" s="206"/>
      <c r="HB47" s="206"/>
      <c r="HC47" s="211"/>
      <c r="HD47" s="211"/>
      <c r="HE47" s="211"/>
      <c r="HF47" s="211"/>
      <c r="HG47" s="211"/>
      <c r="HH47" s="211"/>
      <c r="HI47" s="211"/>
      <c r="HJ47" s="211"/>
      <c r="HK47" s="211"/>
      <c r="HL47" s="211"/>
      <c r="HM47" s="211"/>
      <c r="HN47" s="206"/>
      <c r="HO47" s="206"/>
      <c r="HP47" s="211"/>
      <c r="HQ47" s="211"/>
      <c r="HR47" s="211"/>
      <c r="HS47" s="211"/>
      <c r="HT47" s="211"/>
      <c r="HU47" s="211"/>
      <c r="HV47" s="211"/>
      <c r="HW47" s="211"/>
      <c r="HX47" s="211"/>
      <c r="HY47" s="211"/>
      <c r="HZ47" s="211"/>
      <c r="IA47" s="206"/>
      <c r="IB47" s="206"/>
      <c r="IC47" s="211"/>
      <c r="ID47" s="211"/>
      <c r="IE47" s="211"/>
      <c r="IF47" s="211"/>
      <c r="IG47" s="211"/>
      <c r="IH47" s="211"/>
      <c r="II47" s="211"/>
      <c r="IJ47" s="211"/>
      <c r="IK47" s="211"/>
      <c r="IL47" s="211"/>
      <c r="IM47" s="211"/>
      <c r="IN47" s="206"/>
      <c r="IO47" s="206"/>
      <c r="IP47" s="211"/>
      <c r="IQ47" s="211"/>
      <c r="IR47" s="211"/>
      <c r="IS47" s="211"/>
      <c r="IT47" s="211"/>
      <c r="IU47" s="211"/>
      <c r="IV47" s="211"/>
    </row>
    <row r="48" spans="1:256" x14ac:dyDescent="0.2">
      <c r="A48" s="217"/>
      <c r="B48" s="218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0"/>
      <c r="O48" s="210"/>
      <c r="P48" s="221"/>
      <c r="Q48" s="221"/>
      <c r="R48" s="221"/>
      <c r="S48" s="221"/>
      <c r="T48" s="221"/>
      <c r="U48" s="221"/>
      <c r="V48" s="221"/>
      <c r="W48" s="221"/>
      <c r="X48" s="221"/>
      <c r="Y48" s="221"/>
      <c r="Z48" s="221"/>
      <c r="AA48" s="206"/>
      <c r="AB48" s="206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206"/>
      <c r="AO48" s="206"/>
      <c r="AP48" s="211"/>
      <c r="AQ48" s="211"/>
      <c r="AR48" s="211"/>
      <c r="AS48" s="211"/>
      <c r="AT48" s="211"/>
      <c r="AU48" s="211"/>
      <c r="AV48" s="211"/>
      <c r="AW48" s="211"/>
      <c r="AX48" s="211"/>
      <c r="AY48" s="211"/>
      <c r="AZ48" s="211"/>
      <c r="BA48" s="206"/>
      <c r="BB48" s="206"/>
      <c r="BC48" s="211"/>
      <c r="BD48" s="211"/>
      <c r="BE48" s="211"/>
      <c r="BF48" s="211"/>
      <c r="BG48" s="211"/>
      <c r="BH48" s="211"/>
      <c r="BI48" s="211"/>
      <c r="BJ48" s="211"/>
      <c r="BK48" s="211"/>
      <c r="BL48" s="211"/>
      <c r="BM48" s="211"/>
      <c r="BN48" s="206"/>
      <c r="BO48" s="206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06"/>
      <c r="CB48" s="206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06"/>
      <c r="CO48" s="206"/>
      <c r="CP48" s="211"/>
      <c r="CQ48" s="211"/>
      <c r="CR48" s="211"/>
      <c r="CS48" s="211"/>
      <c r="CT48" s="211"/>
      <c r="CU48" s="211"/>
      <c r="CV48" s="211"/>
      <c r="CW48" s="211"/>
      <c r="CX48" s="211"/>
      <c r="CY48" s="211"/>
      <c r="CZ48" s="211"/>
      <c r="DA48" s="206"/>
      <c r="DB48" s="206"/>
      <c r="DC48" s="211"/>
      <c r="DD48" s="211"/>
      <c r="DE48" s="211"/>
      <c r="DF48" s="211"/>
      <c r="DG48" s="211"/>
      <c r="DH48" s="211"/>
      <c r="DI48" s="211"/>
      <c r="DJ48" s="211"/>
      <c r="DK48" s="211"/>
      <c r="DL48" s="211"/>
      <c r="DM48" s="211"/>
      <c r="DN48" s="206"/>
      <c r="DO48" s="206"/>
      <c r="DP48" s="211"/>
      <c r="DQ48" s="211"/>
      <c r="DR48" s="211"/>
      <c r="DS48" s="211"/>
      <c r="DT48" s="211"/>
      <c r="DU48" s="211"/>
      <c r="DV48" s="211"/>
      <c r="DW48" s="211"/>
      <c r="DX48" s="211"/>
      <c r="DY48" s="211"/>
      <c r="DZ48" s="211"/>
      <c r="EA48" s="206"/>
      <c r="EB48" s="206"/>
      <c r="EC48" s="211"/>
      <c r="ED48" s="211"/>
      <c r="EE48" s="211"/>
      <c r="EF48" s="211"/>
      <c r="EG48" s="211"/>
      <c r="EH48" s="211"/>
      <c r="EI48" s="211"/>
      <c r="EJ48" s="211"/>
      <c r="EK48" s="211"/>
      <c r="EL48" s="211"/>
      <c r="EM48" s="211"/>
      <c r="EN48" s="206"/>
      <c r="EO48" s="206"/>
      <c r="EP48" s="211"/>
      <c r="EQ48" s="211"/>
      <c r="ER48" s="211"/>
      <c r="ES48" s="211"/>
      <c r="ET48" s="211"/>
      <c r="EU48" s="211"/>
      <c r="EV48" s="211"/>
      <c r="EW48" s="211"/>
      <c r="EX48" s="211"/>
      <c r="EY48" s="211"/>
      <c r="EZ48" s="211"/>
      <c r="FA48" s="206"/>
      <c r="FB48" s="206"/>
      <c r="FC48" s="211"/>
      <c r="FD48" s="211"/>
      <c r="FE48" s="211"/>
      <c r="FF48" s="211"/>
      <c r="FG48" s="211"/>
      <c r="FH48" s="211"/>
      <c r="FI48" s="211"/>
      <c r="FJ48" s="211"/>
      <c r="FK48" s="211"/>
      <c r="FL48" s="211"/>
      <c r="FM48" s="211"/>
      <c r="FN48" s="206"/>
      <c r="FO48" s="206"/>
      <c r="FP48" s="211"/>
      <c r="FQ48" s="211"/>
      <c r="FR48" s="211"/>
      <c r="FS48" s="211"/>
      <c r="FT48" s="211"/>
      <c r="FU48" s="211"/>
      <c r="FV48" s="211"/>
      <c r="FW48" s="211"/>
      <c r="FX48" s="211"/>
      <c r="FY48" s="211"/>
      <c r="FZ48" s="211"/>
      <c r="GA48" s="206"/>
      <c r="GB48" s="206"/>
      <c r="GC48" s="211"/>
      <c r="GD48" s="211"/>
      <c r="GE48" s="211"/>
      <c r="GF48" s="211"/>
      <c r="GG48" s="211"/>
      <c r="GH48" s="211"/>
      <c r="GI48" s="211"/>
      <c r="GJ48" s="211"/>
      <c r="GK48" s="211"/>
      <c r="GL48" s="211"/>
      <c r="GM48" s="211"/>
      <c r="GN48" s="206"/>
      <c r="GO48" s="206"/>
      <c r="GP48" s="211"/>
      <c r="GQ48" s="211"/>
      <c r="GR48" s="211"/>
      <c r="GS48" s="211"/>
      <c r="GT48" s="211"/>
      <c r="GU48" s="211"/>
      <c r="GV48" s="211"/>
      <c r="GW48" s="211"/>
      <c r="GX48" s="211"/>
      <c r="GY48" s="211"/>
      <c r="GZ48" s="211"/>
      <c r="HA48" s="206"/>
      <c r="HB48" s="206"/>
      <c r="HC48" s="211"/>
      <c r="HD48" s="211"/>
      <c r="HE48" s="211"/>
      <c r="HF48" s="211"/>
      <c r="HG48" s="211"/>
      <c r="HH48" s="211"/>
      <c r="HI48" s="211"/>
      <c r="HJ48" s="211"/>
      <c r="HK48" s="211"/>
      <c r="HL48" s="211"/>
      <c r="HM48" s="211"/>
      <c r="HN48" s="206"/>
      <c r="HO48" s="206"/>
      <c r="HP48" s="211"/>
      <c r="HQ48" s="211"/>
      <c r="HR48" s="211"/>
      <c r="HS48" s="211"/>
      <c r="HT48" s="211"/>
      <c r="HU48" s="211"/>
      <c r="HV48" s="211"/>
      <c r="HW48" s="211"/>
      <c r="HX48" s="211"/>
      <c r="HY48" s="211"/>
      <c r="HZ48" s="211"/>
      <c r="IA48" s="206"/>
      <c r="IB48" s="206"/>
      <c r="IC48" s="211"/>
      <c r="ID48" s="211"/>
      <c r="IE48" s="211"/>
      <c r="IF48" s="211"/>
      <c r="IG48" s="211"/>
      <c r="IH48" s="211"/>
      <c r="II48" s="211"/>
      <c r="IJ48" s="211"/>
      <c r="IK48" s="211"/>
      <c r="IL48" s="211"/>
      <c r="IM48" s="211"/>
      <c r="IN48" s="206"/>
      <c r="IO48" s="206"/>
      <c r="IP48" s="211"/>
      <c r="IQ48" s="211"/>
      <c r="IR48" s="211"/>
      <c r="IS48" s="211"/>
      <c r="IT48" s="211"/>
      <c r="IU48" s="211"/>
      <c r="IV48" s="211"/>
    </row>
    <row r="49" spans="1:256" x14ac:dyDescent="0.2">
      <c r="A49" s="217"/>
      <c r="B49" s="218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0"/>
      <c r="O49" s="210"/>
      <c r="P49" s="221"/>
      <c r="Q49" s="221"/>
      <c r="R49" s="221"/>
      <c r="S49" s="221"/>
      <c r="T49" s="221"/>
      <c r="U49" s="221"/>
      <c r="V49" s="221"/>
      <c r="W49" s="221"/>
      <c r="X49" s="221"/>
      <c r="Y49" s="221"/>
      <c r="Z49" s="221"/>
      <c r="AA49" s="206"/>
      <c r="AB49" s="206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06"/>
      <c r="AO49" s="206"/>
      <c r="AP49" s="211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06"/>
      <c r="BB49" s="206"/>
      <c r="BC49" s="211"/>
      <c r="BD49" s="211"/>
      <c r="BE49" s="211"/>
      <c r="BF49" s="211"/>
      <c r="BG49" s="211"/>
      <c r="BH49" s="211"/>
      <c r="BI49" s="211"/>
      <c r="BJ49" s="211"/>
      <c r="BK49" s="211"/>
      <c r="BL49" s="211"/>
      <c r="BM49" s="211"/>
      <c r="BN49" s="206"/>
      <c r="BO49" s="206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06"/>
      <c r="CB49" s="206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06"/>
      <c r="CO49" s="206"/>
      <c r="CP49" s="211"/>
      <c r="CQ49" s="211"/>
      <c r="CR49" s="211"/>
      <c r="CS49" s="211"/>
      <c r="CT49" s="211"/>
      <c r="CU49" s="211"/>
      <c r="CV49" s="211"/>
      <c r="CW49" s="211"/>
      <c r="CX49" s="211"/>
      <c r="CY49" s="211"/>
      <c r="CZ49" s="211"/>
      <c r="DA49" s="206"/>
      <c r="DB49" s="206"/>
      <c r="DC49" s="211"/>
      <c r="DD49" s="211"/>
      <c r="DE49" s="211"/>
      <c r="DF49" s="211"/>
      <c r="DG49" s="211"/>
      <c r="DH49" s="211"/>
      <c r="DI49" s="211"/>
      <c r="DJ49" s="211"/>
      <c r="DK49" s="211"/>
      <c r="DL49" s="211"/>
      <c r="DM49" s="211"/>
      <c r="DN49" s="206"/>
      <c r="DO49" s="206"/>
      <c r="DP49" s="211"/>
      <c r="DQ49" s="211"/>
      <c r="DR49" s="211"/>
      <c r="DS49" s="211"/>
      <c r="DT49" s="211"/>
      <c r="DU49" s="211"/>
      <c r="DV49" s="211"/>
      <c r="DW49" s="211"/>
      <c r="DX49" s="211"/>
      <c r="DY49" s="211"/>
      <c r="DZ49" s="211"/>
      <c r="EA49" s="206"/>
      <c r="EB49" s="206"/>
      <c r="EC49" s="211"/>
      <c r="ED49" s="211"/>
      <c r="EE49" s="211"/>
      <c r="EF49" s="211"/>
      <c r="EG49" s="211"/>
      <c r="EH49" s="211"/>
      <c r="EI49" s="211"/>
      <c r="EJ49" s="211"/>
      <c r="EK49" s="211"/>
      <c r="EL49" s="211"/>
      <c r="EM49" s="211"/>
      <c r="EN49" s="206"/>
      <c r="EO49" s="206"/>
      <c r="EP49" s="211"/>
      <c r="EQ49" s="211"/>
      <c r="ER49" s="211"/>
      <c r="ES49" s="211"/>
      <c r="ET49" s="211"/>
      <c r="EU49" s="211"/>
      <c r="EV49" s="211"/>
      <c r="EW49" s="211"/>
      <c r="EX49" s="211"/>
      <c r="EY49" s="211"/>
      <c r="EZ49" s="211"/>
      <c r="FA49" s="206"/>
      <c r="FB49" s="206"/>
      <c r="FC49" s="211"/>
      <c r="FD49" s="211"/>
      <c r="FE49" s="211"/>
      <c r="FF49" s="211"/>
      <c r="FG49" s="211"/>
      <c r="FH49" s="211"/>
      <c r="FI49" s="211"/>
      <c r="FJ49" s="211"/>
      <c r="FK49" s="211"/>
      <c r="FL49" s="211"/>
      <c r="FM49" s="211"/>
      <c r="FN49" s="206"/>
      <c r="FO49" s="206"/>
      <c r="FP49" s="211"/>
      <c r="FQ49" s="211"/>
      <c r="FR49" s="211"/>
      <c r="FS49" s="211"/>
      <c r="FT49" s="211"/>
      <c r="FU49" s="211"/>
      <c r="FV49" s="211"/>
      <c r="FW49" s="211"/>
      <c r="FX49" s="211"/>
      <c r="FY49" s="211"/>
      <c r="FZ49" s="211"/>
      <c r="GA49" s="206"/>
      <c r="GB49" s="206"/>
      <c r="GC49" s="211"/>
      <c r="GD49" s="211"/>
      <c r="GE49" s="211"/>
      <c r="GF49" s="211"/>
      <c r="GG49" s="211"/>
      <c r="GH49" s="211"/>
      <c r="GI49" s="211"/>
      <c r="GJ49" s="211"/>
      <c r="GK49" s="211"/>
      <c r="GL49" s="211"/>
      <c r="GM49" s="211"/>
      <c r="GN49" s="206"/>
      <c r="GO49" s="206"/>
      <c r="GP49" s="211"/>
      <c r="GQ49" s="211"/>
      <c r="GR49" s="211"/>
      <c r="GS49" s="211"/>
      <c r="GT49" s="211"/>
      <c r="GU49" s="211"/>
      <c r="GV49" s="211"/>
      <c r="GW49" s="211"/>
      <c r="GX49" s="211"/>
      <c r="GY49" s="211"/>
      <c r="GZ49" s="211"/>
      <c r="HA49" s="206"/>
      <c r="HB49" s="206"/>
      <c r="HC49" s="211"/>
      <c r="HD49" s="211"/>
      <c r="HE49" s="211"/>
      <c r="HF49" s="211"/>
      <c r="HG49" s="211"/>
      <c r="HH49" s="211"/>
      <c r="HI49" s="211"/>
      <c r="HJ49" s="211"/>
      <c r="HK49" s="211"/>
      <c r="HL49" s="211"/>
      <c r="HM49" s="211"/>
      <c r="HN49" s="206"/>
      <c r="HO49" s="206"/>
      <c r="HP49" s="211"/>
      <c r="HQ49" s="211"/>
      <c r="HR49" s="211"/>
      <c r="HS49" s="211"/>
      <c r="HT49" s="211"/>
      <c r="HU49" s="211"/>
      <c r="HV49" s="211"/>
      <c r="HW49" s="211"/>
      <c r="HX49" s="211"/>
      <c r="HY49" s="211"/>
      <c r="HZ49" s="211"/>
      <c r="IA49" s="206"/>
      <c r="IB49" s="206"/>
      <c r="IC49" s="211"/>
      <c r="ID49" s="211"/>
      <c r="IE49" s="211"/>
      <c r="IF49" s="211"/>
      <c r="IG49" s="211"/>
      <c r="IH49" s="211"/>
      <c r="II49" s="211"/>
      <c r="IJ49" s="211"/>
      <c r="IK49" s="211"/>
      <c r="IL49" s="211"/>
      <c r="IM49" s="211"/>
      <c r="IN49" s="206"/>
      <c r="IO49" s="206"/>
      <c r="IP49" s="211"/>
      <c r="IQ49" s="211"/>
      <c r="IR49" s="211"/>
      <c r="IS49" s="211"/>
      <c r="IT49" s="211"/>
      <c r="IU49" s="211"/>
      <c r="IV49" s="211"/>
    </row>
    <row r="50" spans="1:256" x14ac:dyDescent="0.2">
      <c r="A50" s="217"/>
      <c r="B50" s="218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7"/>
      <c r="B51" s="218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7"/>
      <c r="B52" s="218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7"/>
      <c r="B53" s="218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7"/>
      <c r="B54" s="218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7"/>
      <c r="B55" s="218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7"/>
      <c r="B56" s="218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7"/>
      <c r="B57" s="218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7"/>
      <c r="B58" s="218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7"/>
      <c r="B59" s="218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7"/>
      <c r="B60" s="218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7"/>
      <c r="B61" s="218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7"/>
      <c r="B62" s="218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7"/>
      <c r="B63" s="218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7"/>
      <c r="B64" s="218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7"/>
      <c r="B65" s="218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7"/>
      <c r="B66" s="218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7"/>
      <c r="B67" s="218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7"/>
      <c r="B68" s="218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7"/>
      <c r="B69" s="218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19"/>
      <c r="B70" s="220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5"/>
    </row>
    <row r="71" spans="1:13" ht="12" thickTop="1" x14ac:dyDescent="0.2">
      <c r="A71" s="207"/>
      <c r="B71" s="207"/>
      <c r="C71" s="208"/>
      <c r="D71" s="208"/>
      <c r="E71" s="208"/>
      <c r="F71" s="208"/>
      <c r="G71" s="208"/>
      <c r="H71" s="208"/>
      <c r="I71" s="208"/>
      <c r="J71" s="208"/>
      <c r="K71" s="208"/>
      <c r="L71" s="208"/>
    </row>
    <row r="72" spans="1:13" ht="12.75" x14ac:dyDescent="0.2">
      <c r="A72" s="286" t="s">
        <v>879</v>
      </c>
      <c r="B72" s="286"/>
      <c r="C72" s="286"/>
      <c r="D72" s="286"/>
      <c r="E72" s="28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09" t="s">
        <v>799</v>
      </c>
      <c r="B73" s="209" t="s">
        <v>800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0"/>
      <c r="B74" s="210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0"/>
      <c r="B75" s="210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0"/>
      <c r="B76" s="210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0"/>
      <c r="B77" s="210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0"/>
      <c r="B78" s="210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0"/>
      <c r="B79" s="210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0"/>
      <c r="B80" s="210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0"/>
      <c r="B81" s="210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0"/>
      <c r="B82" s="210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0"/>
      <c r="B83" s="210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0"/>
      <c r="B84" s="210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0"/>
      <c r="B85" s="210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0"/>
      <c r="B86" s="210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0"/>
      <c r="B87" s="210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0"/>
      <c r="B88" s="210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0"/>
      <c r="B89" s="210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0"/>
      <c r="B90" s="210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CP40:CZ40"/>
    <mergeCell ref="DC40:DM40"/>
    <mergeCell ref="IP40:IV40"/>
    <mergeCell ref="C45:M45"/>
    <mergeCell ref="HP40:HZ40"/>
    <mergeCell ref="BC40:BM40"/>
    <mergeCell ref="BP40:BZ40"/>
    <mergeCell ref="FC40:FM40"/>
    <mergeCell ref="FP40:FZ40"/>
    <mergeCell ref="CC40:CM40"/>
    <mergeCell ref="EP40:EZ40"/>
    <mergeCell ref="GC39:GM39"/>
    <mergeCell ref="P39:Z39"/>
    <mergeCell ref="AC39:AM39"/>
    <mergeCell ref="AP39:AZ39"/>
    <mergeCell ref="BP39:BZ39"/>
    <mergeCell ref="IC40:IM40"/>
    <mergeCell ref="GP39:GZ39"/>
    <mergeCell ref="IC39:IM39"/>
    <mergeCell ref="GP38:GZ38"/>
    <mergeCell ref="HC38:HM38"/>
    <mergeCell ref="CC39:CM39"/>
    <mergeCell ref="HP39:HZ39"/>
    <mergeCell ref="HC39:HM39"/>
    <mergeCell ref="DC39:DM39"/>
    <mergeCell ref="DP39:DZ39"/>
    <mergeCell ref="EC39:EM39"/>
    <mergeCell ref="EP38:EZ38"/>
    <mergeCell ref="FC38:FM38"/>
    <mergeCell ref="FP38:FZ38"/>
    <mergeCell ref="GC38:GM38"/>
    <mergeCell ref="IP38:IV38"/>
    <mergeCell ref="CP39:CZ39"/>
    <mergeCell ref="IP39:IV39"/>
    <mergeCell ref="EP39:EZ39"/>
    <mergeCell ref="FC39:FM39"/>
    <mergeCell ref="FP39:FZ39"/>
    <mergeCell ref="DC32:DM32"/>
    <mergeCell ref="DP32:DZ32"/>
    <mergeCell ref="EC32:EM32"/>
    <mergeCell ref="EP32:EZ32"/>
    <mergeCell ref="HP38:HZ38"/>
    <mergeCell ref="IC38:IM38"/>
    <mergeCell ref="GC32:GM32"/>
    <mergeCell ref="DC38:DM38"/>
    <mergeCell ref="DP38:DZ38"/>
    <mergeCell ref="EC38:EM38"/>
    <mergeCell ref="HP32:HZ32"/>
    <mergeCell ref="IC32:IM32"/>
    <mergeCell ref="IP32:IV32"/>
    <mergeCell ref="FC32:FM32"/>
    <mergeCell ref="HC32:HM32"/>
    <mergeCell ref="FP32:FZ32"/>
    <mergeCell ref="GP32:GZ32"/>
    <mergeCell ref="GC31:GM31"/>
    <mergeCell ref="GP31:GZ31"/>
    <mergeCell ref="HC31:HM31"/>
    <mergeCell ref="HP31:HZ31"/>
    <mergeCell ref="IC31:IM31"/>
    <mergeCell ref="IP31:IV31"/>
    <mergeCell ref="DC31:DM31"/>
    <mergeCell ref="DP31:DZ31"/>
    <mergeCell ref="EC31:EM31"/>
    <mergeCell ref="EP31:EZ31"/>
    <mergeCell ref="FC31:FM31"/>
    <mergeCell ref="FP31:FZ31"/>
    <mergeCell ref="AP40:AZ40"/>
    <mergeCell ref="BC31:BM31"/>
    <mergeCell ref="BC32:BM32"/>
    <mergeCell ref="BC39:BM39"/>
    <mergeCell ref="BP31:BZ31"/>
    <mergeCell ref="CC31:CM31"/>
    <mergeCell ref="AP38:AZ38"/>
    <mergeCell ref="BP38:BZ38"/>
    <mergeCell ref="CC38:CM38"/>
    <mergeCell ref="CC32:CM32"/>
    <mergeCell ref="GC30:GM30"/>
    <mergeCell ref="GP30:GZ30"/>
    <mergeCell ref="HC30:HM30"/>
    <mergeCell ref="HP30:HZ30"/>
    <mergeCell ref="IC30:IM30"/>
    <mergeCell ref="IP30:IV30"/>
    <mergeCell ref="DC30:DM30"/>
    <mergeCell ref="DP30:DZ30"/>
    <mergeCell ref="EC30:EM30"/>
    <mergeCell ref="EP30:EZ30"/>
    <mergeCell ref="FC30:FM30"/>
    <mergeCell ref="FP30:FZ30"/>
    <mergeCell ref="AC32:AM32"/>
    <mergeCell ref="AP32:AZ32"/>
    <mergeCell ref="P38:Z38"/>
    <mergeCell ref="AC38:AM38"/>
    <mergeCell ref="CC30:CM30"/>
    <mergeCell ref="CP30:CZ30"/>
    <mergeCell ref="CP31:CZ31"/>
    <mergeCell ref="CP32:CZ32"/>
    <mergeCell ref="CP38:CZ38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2011-09-22T13:52:07Z</cp:lastPrinted>
  <dcterms:created xsi:type="dcterms:W3CDTF">1997-12-04T19:04:30Z</dcterms:created>
  <dcterms:modified xsi:type="dcterms:W3CDTF">2025-01-10T20:06:05Z</dcterms:modified>
</cp:coreProperties>
</file>