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075E211-51C0-4AAB-B7BF-FD7A5505A4D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C70B2DAC-0EA2-4501-AD66-4C6374346A6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2" i="1"/>
  <c r="H190" i="1"/>
  <c r="C20" i="12"/>
  <c r="C19" i="12"/>
  <c r="C21" i="12"/>
  <c r="B21" i="12"/>
  <c r="B19" i="12"/>
  <c r="C39" i="12"/>
  <c r="B39" i="12"/>
  <c r="B40" i="12" s="1"/>
  <c r="H228" i="1"/>
  <c r="L228" i="1" s="1"/>
  <c r="H269" i="1"/>
  <c r="H307" i="1"/>
  <c r="H306" i="1"/>
  <c r="H268" i="1"/>
  <c r="H282" i="1" s="1"/>
  <c r="H330" i="1" s="1"/>
  <c r="H344" i="1" s="1"/>
  <c r="G307" i="1"/>
  <c r="L307" i="1" s="1"/>
  <c r="G269" i="1"/>
  <c r="L269" i="1" s="1"/>
  <c r="E102" i="2" s="1"/>
  <c r="I268" i="1"/>
  <c r="K268" i="1"/>
  <c r="G197" i="1"/>
  <c r="G233" i="1"/>
  <c r="G225" i="1"/>
  <c r="L225" i="1" s="1"/>
  <c r="G189" i="1"/>
  <c r="L189" i="1" s="1"/>
  <c r="J268" i="1"/>
  <c r="J269" i="1"/>
  <c r="J307" i="1"/>
  <c r="J306" i="1"/>
  <c r="H236" i="1"/>
  <c r="L236" i="1" s="1"/>
  <c r="H652" i="1" s="1"/>
  <c r="H384" i="1"/>
  <c r="L384" i="1" s="1"/>
  <c r="J594" i="1"/>
  <c r="J595" i="1" s="1"/>
  <c r="H594" i="1"/>
  <c r="H572" i="1"/>
  <c r="I307" i="1"/>
  <c r="K306" i="1"/>
  <c r="K320" i="1" s="1"/>
  <c r="K330" i="1" s="1"/>
  <c r="K344" i="1" s="1"/>
  <c r="I306" i="1"/>
  <c r="I320" i="1" s="1"/>
  <c r="I330" i="1" s="1"/>
  <c r="I344" i="1" s="1"/>
  <c r="G306" i="1"/>
  <c r="F306" i="1"/>
  <c r="H312" i="1"/>
  <c r="H311" i="1"/>
  <c r="H273" i="1"/>
  <c r="I269" i="1"/>
  <c r="G268" i="1"/>
  <c r="G282" i="1" s="1"/>
  <c r="F268" i="1"/>
  <c r="H462" i="1"/>
  <c r="H458" i="1"/>
  <c r="F572" i="1"/>
  <c r="F653" i="1" s="1"/>
  <c r="H575" i="1"/>
  <c r="I575" i="1" s="1"/>
  <c r="H533" i="1"/>
  <c r="H531" i="1"/>
  <c r="J585" i="1"/>
  <c r="J584" i="1"/>
  <c r="J583" i="1"/>
  <c r="J588" i="1" s="1"/>
  <c r="H641" i="1" s="1"/>
  <c r="H585" i="1"/>
  <c r="K585" i="1" s="1"/>
  <c r="H584" i="1"/>
  <c r="K584" i="1" s="1"/>
  <c r="J582" i="1"/>
  <c r="H582" i="1"/>
  <c r="J581" i="1"/>
  <c r="H581" i="1"/>
  <c r="K581" i="1" s="1"/>
  <c r="H352" i="1"/>
  <c r="L352" i="1" s="1"/>
  <c r="H350" i="1"/>
  <c r="J235" i="1"/>
  <c r="J199" i="1"/>
  <c r="H235" i="1"/>
  <c r="H199" i="1"/>
  <c r="I235" i="1"/>
  <c r="G235" i="1"/>
  <c r="L235" i="1" s="1"/>
  <c r="F235" i="1"/>
  <c r="I199" i="1"/>
  <c r="G199" i="1"/>
  <c r="F199" i="1"/>
  <c r="L199" i="1" s="1"/>
  <c r="H237" i="1"/>
  <c r="L237" i="1" s="1"/>
  <c r="H201" i="1"/>
  <c r="L201" i="1" s="1"/>
  <c r="K232" i="1"/>
  <c r="J232" i="1"/>
  <c r="I232" i="1"/>
  <c r="H232" i="1"/>
  <c r="G232" i="1"/>
  <c r="F232" i="1"/>
  <c r="L232" i="1" s="1"/>
  <c r="K196" i="1"/>
  <c r="J196" i="1"/>
  <c r="I196" i="1"/>
  <c r="H196" i="1"/>
  <c r="G196" i="1"/>
  <c r="F196" i="1"/>
  <c r="L196" i="1" s="1"/>
  <c r="I231" i="1"/>
  <c r="H231" i="1"/>
  <c r="I195" i="1"/>
  <c r="H195" i="1"/>
  <c r="H230" i="1"/>
  <c r="L230" i="1" s="1"/>
  <c r="H194" i="1"/>
  <c r="K226" i="1"/>
  <c r="J226" i="1"/>
  <c r="I226" i="1"/>
  <c r="H226" i="1"/>
  <c r="H239" i="1" s="1"/>
  <c r="G226" i="1"/>
  <c r="C18" i="12" s="1"/>
  <c r="F226" i="1"/>
  <c r="B18" i="12" s="1"/>
  <c r="A22" i="12" s="1"/>
  <c r="K190" i="1"/>
  <c r="J190" i="1"/>
  <c r="I190" i="1"/>
  <c r="G190" i="1"/>
  <c r="F190" i="1"/>
  <c r="J225" i="1"/>
  <c r="I225" i="1"/>
  <c r="H225" i="1"/>
  <c r="F225" i="1"/>
  <c r="J189" i="1"/>
  <c r="F5" i="13" s="1"/>
  <c r="I189" i="1"/>
  <c r="I203" i="1" s="1"/>
  <c r="H189" i="1"/>
  <c r="H203" i="1" s="1"/>
  <c r="F189" i="1"/>
  <c r="F233" i="1"/>
  <c r="H233" i="1"/>
  <c r="L233" i="1" s="1"/>
  <c r="J231" i="1"/>
  <c r="G231" i="1"/>
  <c r="F231" i="1"/>
  <c r="L231" i="1" s="1"/>
  <c r="C111" i="2" s="1"/>
  <c r="I230" i="1"/>
  <c r="G230" i="1"/>
  <c r="F230" i="1"/>
  <c r="J230" i="1"/>
  <c r="F6" i="13" s="1"/>
  <c r="J228" i="1"/>
  <c r="I228" i="1"/>
  <c r="I239" i="1" s="1"/>
  <c r="I249" i="1" s="1"/>
  <c r="I263" i="1" s="1"/>
  <c r="G228" i="1"/>
  <c r="F228" i="1"/>
  <c r="K225" i="1"/>
  <c r="K239" i="1" s="1"/>
  <c r="I197" i="1"/>
  <c r="H197" i="1"/>
  <c r="F197" i="1"/>
  <c r="J195" i="1"/>
  <c r="G195" i="1"/>
  <c r="F195" i="1"/>
  <c r="I194" i="1"/>
  <c r="G194" i="1"/>
  <c r="F194" i="1"/>
  <c r="L194" i="1" s="1"/>
  <c r="J192" i="1"/>
  <c r="I192" i="1"/>
  <c r="H192" i="1"/>
  <c r="G192" i="1"/>
  <c r="C36" i="12" s="1"/>
  <c r="F192" i="1"/>
  <c r="H147" i="1"/>
  <c r="H154" i="1" s="1"/>
  <c r="H161" i="1" s="1"/>
  <c r="H146" i="1"/>
  <c r="H151" i="1"/>
  <c r="G89" i="1"/>
  <c r="H58" i="1"/>
  <c r="H13" i="1"/>
  <c r="H19" i="1" s="1"/>
  <c r="G41" i="1"/>
  <c r="G43" i="1" s="1"/>
  <c r="G44" i="1" s="1"/>
  <c r="H608" i="1" s="1"/>
  <c r="F30" i="1"/>
  <c r="F113" i="1"/>
  <c r="F128" i="1"/>
  <c r="F132" i="1" s="1"/>
  <c r="G128" i="1"/>
  <c r="G113" i="1"/>
  <c r="G132" i="1" s="1"/>
  <c r="H128" i="1"/>
  <c r="H113" i="1"/>
  <c r="H132" i="1"/>
  <c r="I113" i="1"/>
  <c r="I132" i="1" s="1"/>
  <c r="I185" i="1" s="1"/>
  <c r="G620" i="1" s="1"/>
  <c r="J620" i="1" s="1"/>
  <c r="I128" i="1"/>
  <c r="J113" i="1"/>
  <c r="J128" i="1"/>
  <c r="J132" i="1"/>
  <c r="C37" i="10"/>
  <c r="C60" i="2"/>
  <c r="B2" i="13"/>
  <c r="F8" i="13"/>
  <c r="G8" i="13"/>
  <c r="L214" i="1"/>
  <c r="D39" i="13"/>
  <c r="F13" i="13"/>
  <c r="G13" i="13"/>
  <c r="L198" i="1"/>
  <c r="E13" i="13" s="1"/>
  <c r="L216" i="1"/>
  <c r="L234" i="1"/>
  <c r="F16" i="13"/>
  <c r="G16" i="13"/>
  <c r="L219" i="1"/>
  <c r="L191" i="1"/>
  <c r="C103" i="2" s="1"/>
  <c r="L192" i="1"/>
  <c r="C104" i="2" s="1"/>
  <c r="L207" i="1"/>
  <c r="L221" i="1" s="1"/>
  <c r="L208" i="1"/>
  <c r="L209" i="1"/>
  <c r="L210" i="1"/>
  <c r="L227" i="1"/>
  <c r="G6" i="13"/>
  <c r="L212" i="1"/>
  <c r="F7" i="13"/>
  <c r="G7" i="13"/>
  <c r="L195" i="1"/>
  <c r="L213" i="1"/>
  <c r="F12" i="13"/>
  <c r="G12" i="13"/>
  <c r="L197" i="1"/>
  <c r="L215" i="1"/>
  <c r="C18" i="10" s="1"/>
  <c r="F14" i="13"/>
  <c r="G14" i="13"/>
  <c r="L217" i="1"/>
  <c r="F15" i="13"/>
  <c r="G15" i="13"/>
  <c r="L200" i="1"/>
  <c r="H637" i="1" s="1"/>
  <c r="L218" i="1"/>
  <c r="F17" i="13"/>
  <c r="D17" i="13" s="1"/>
  <c r="C17" i="13" s="1"/>
  <c r="G17" i="13"/>
  <c r="L243" i="1"/>
  <c r="C24" i="10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1" i="1"/>
  <c r="I359" i="1"/>
  <c r="J301" i="1"/>
  <c r="J320" i="1"/>
  <c r="K282" i="1"/>
  <c r="K301" i="1"/>
  <c r="L270" i="1"/>
  <c r="L271" i="1"/>
  <c r="L273" i="1"/>
  <c r="L274" i="1"/>
  <c r="L275" i="1"/>
  <c r="E112" i="2" s="1"/>
  <c r="L276" i="1"/>
  <c r="L277" i="1"/>
  <c r="L278" i="1"/>
  <c r="E115" i="2" s="1"/>
  <c r="L279" i="1"/>
  <c r="L280" i="1"/>
  <c r="L287" i="1"/>
  <c r="L288" i="1"/>
  <c r="L289" i="1"/>
  <c r="L290" i="1"/>
  <c r="E104" i="2" s="1"/>
  <c r="L292" i="1"/>
  <c r="L293" i="1"/>
  <c r="L294" i="1"/>
  <c r="L295" i="1"/>
  <c r="L296" i="1"/>
  <c r="L297" i="1"/>
  <c r="L298" i="1"/>
  <c r="L299" i="1"/>
  <c r="L308" i="1"/>
  <c r="E103" i="2" s="1"/>
  <c r="L309" i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H25" i="13" s="1"/>
  <c r="L253" i="1"/>
  <c r="C124" i="2" s="1"/>
  <c r="L333" i="1"/>
  <c r="E123" i="2" s="1"/>
  <c r="L334" i="1"/>
  <c r="L247" i="1"/>
  <c r="C122" i="2" s="1"/>
  <c r="L328" i="1"/>
  <c r="E122" i="2" s="1"/>
  <c r="F22" i="13"/>
  <c r="C22" i="13" s="1"/>
  <c r="C13" i="13"/>
  <c r="C11" i="13"/>
  <c r="C10" i="13"/>
  <c r="C9" i="13"/>
  <c r="L353" i="1"/>
  <c r="B4" i="12"/>
  <c r="B36" i="12"/>
  <c r="C40" i="12"/>
  <c r="B27" i="12"/>
  <c r="A31" i="12" s="1"/>
  <c r="C27" i="12"/>
  <c r="B31" i="12"/>
  <c r="C31" i="12"/>
  <c r="B9" i="12"/>
  <c r="B13" i="12"/>
  <c r="C9" i="12"/>
  <c r="C13" i="12"/>
  <c r="B22" i="12"/>
  <c r="C22" i="12"/>
  <c r="B1" i="12"/>
  <c r="L379" i="1"/>
  <c r="L380" i="1"/>
  <c r="L385" i="1" s="1"/>
  <c r="L381" i="1"/>
  <c r="L382" i="1"/>
  <c r="L383" i="1"/>
  <c r="L387" i="1"/>
  <c r="L388" i="1"/>
  <c r="L389" i="1"/>
  <c r="L390" i="1"/>
  <c r="L391" i="1"/>
  <c r="L392" i="1"/>
  <c r="L393" i="1"/>
  <c r="C131" i="2"/>
  <c r="L395" i="1"/>
  <c r="L396" i="1"/>
  <c r="L397" i="1"/>
  <c r="L399" i="1" s="1"/>
  <c r="C132" i="2" s="1"/>
  <c r="L398" i="1"/>
  <c r="L258" i="1"/>
  <c r="J52" i="1"/>
  <c r="G48" i="2"/>
  <c r="G51" i="2"/>
  <c r="G53" i="2"/>
  <c r="F2" i="11"/>
  <c r="L603" i="1"/>
  <c r="L602" i="1"/>
  <c r="G653" i="1" s="1"/>
  <c r="L601" i="1"/>
  <c r="C40" i="10"/>
  <c r="F52" i="1"/>
  <c r="C48" i="2" s="1"/>
  <c r="G52" i="1"/>
  <c r="H52" i="1"/>
  <c r="I52" i="1"/>
  <c r="F71" i="1"/>
  <c r="F86" i="1"/>
  <c r="C50" i="2" s="1"/>
  <c r="F103" i="1"/>
  <c r="G103" i="1"/>
  <c r="H71" i="1"/>
  <c r="H104" i="1" s="1"/>
  <c r="H185" i="1" s="1"/>
  <c r="G619" i="1" s="1"/>
  <c r="J619" i="1" s="1"/>
  <c r="H86" i="1"/>
  <c r="E50" i="2" s="1"/>
  <c r="H103" i="1"/>
  <c r="I103" i="1"/>
  <c r="I104" i="1"/>
  <c r="J103" i="1"/>
  <c r="J104" i="1"/>
  <c r="F139" i="1"/>
  <c r="F154" i="1"/>
  <c r="F161" i="1" s="1"/>
  <c r="C39" i="10" s="1"/>
  <c r="G139" i="1"/>
  <c r="D77" i="2" s="1"/>
  <c r="D83" i="2" s="1"/>
  <c r="G154" i="1"/>
  <c r="G161" i="1"/>
  <c r="H139" i="1"/>
  <c r="I139" i="1"/>
  <c r="I154" i="1"/>
  <c r="I161" i="1"/>
  <c r="C19" i="10"/>
  <c r="L242" i="1"/>
  <c r="C23" i="10" s="1"/>
  <c r="L324" i="1"/>
  <c r="E105" i="2" s="1"/>
  <c r="L246" i="1"/>
  <c r="L260" i="1"/>
  <c r="C26" i="10" s="1"/>
  <c r="L261" i="1"/>
  <c r="L341" i="1"/>
  <c r="E134" i="2" s="1"/>
  <c r="L342" i="1"/>
  <c r="E135" i="2" s="1"/>
  <c r="I655" i="1"/>
  <c r="I660" i="1"/>
  <c r="I659" i="1"/>
  <c r="C5" i="10"/>
  <c r="C42" i="10"/>
  <c r="C3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L513" i="1"/>
  <c r="F541" i="1"/>
  <c r="L516" i="1"/>
  <c r="G539" i="1"/>
  <c r="L517" i="1"/>
  <c r="L518" i="1"/>
  <c r="G541" i="1"/>
  <c r="L521" i="1"/>
  <c r="H539" i="1"/>
  <c r="L522" i="1"/>
  <c r="H540" i="1"/>
  <c r="L523" i="1"/>
  <c r="H541" i="1"/>
  <c r="H542" i="1"/>
  <c r="L526" i="1"/>
  <c r="I539" i="1" s="1"/>
  <c r="I542" i="1" s="1"/>
  <c r="L527" i="1"/>
  <c r="I540" i="1"/>
  <c r="L528" i="1"/>
  <c r="I541" i="1"/>
  <c r="L531" i="1"/>
  <c r="J539" i="1"/>
  <c r="L532" i="1"/>
  <c r="J540" i="1"/>
  <c r="E124" i="2"/>
  <c r="K262" i="1"/>
  <c r="J262" i="1"/>
  <c r="I262" i="1"/>
  <c r="H262" i="1"/>
  <c r="G262" i="1"/>
  <c r="L262" i="1" s="1"/>
  <c r="F262" i="1"/>
  <c r="C123" i="2"/>
  <c r="A1" i="2"/>
  <c r="A2" i="2"/>
  <c r="C9" i="2"/>
  <c r="C19" i="2" s="1"/>
  <c r="D9" i="2"/>
  <c r="E9" i="2"/>
  <c r="F9" i="2"/>
  <c r="I431" i="1"/>
  <c r="I438" i="1" s="1"/>
  <c r="G632" i="1" s="1"/>
  <c r="J9" i="1"/>
  <c r="J19" i="1" s="1"/>
  <c r="G611" i="1" s="1"/>
  <c r="G9" i="2"/>
  <c r="G19" i="2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F12" i="2"/>
  <c r="F19" i="2" s="1"/>
  <c r="I433" i="1"/>
  <c r="J12" i="1"/>
  <c r="G12" i="2"/>
  <c r="C13" i="2"/>
  <c r="D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G32" i="2" s="1"/>
  <c r="C23" i="2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E34" i="2"/>
  <c r="F34" i="2"/>
  <c r="C35" i="2"/>
  <c r="D35" i="2"/>
  <c r="E35" i="2"/>
  <c r="F35" i="2"/>
  <c r="C36" i="2"/>
  <c r="D36" i="2"/>
  <c r="E36" i="2"/>
  <c r="F36" i="2"/>
  <c r="F42" i="2" s="1"/>
  <c r="I446" i="1"/>
  <c r="J37" i="1"/>
  <c r="C37" i="2"/>
  <c r="D37" i="2"/>
  <c r="E37" i="2"/>
  <c r="F37" i="2"/>
  <c r="I447" i="1"/>
  <c r="J38" i="1" s="1"/>
  <c r="G37" i="2" s="1"/>
  <c r="C38" i="2"/>
  <c r="D38" i="2"/>
  <c r="E38" i="2"/>
  <c r="E42" i="2" s="1"/>
  <c r="F38" i="2"/>
  <c r="I448" i="1"/>
  <c r="J40" i="1"/>
  <c r="G39" i="2"/>
  <c r="C40" i="2"/>
  <c r="E40" i="2"/>
  <c r="F40" i="2"/>
  <c r="I449" i="1"/>
  <c r="J41" i="1" s="1"/>
  <c r="G40" i="2" s="1"/>
  <c r="C41" i="2"/>
  <c r="D41" i="2"/>
  <c r="E41" i="2"/>
  <c r="F41" i="2"/>
  <c r="E48" i="2"/>
  <c r="F48" i="2"/>
  <c r="F55" i="2" s="1"/>
  <c r="C49" i="2"/>
  <c r="C51" i="2"/>
  <c r="D51" i="2"/>
  <c r="D54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E62" i="2"/>
  <c r="F62" i="2"/>
  <c r="G62" i="2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E73" i="2" s="1"/>
  <c r="C71" i="2"/>
  <c r="D71" i="2"/>
  <c r="E71" i="2"/>
  <c r="C72" i="2"/>
  <c r="E72" i="2"/>
  <c r="C77" i="2"/>
  <c r="E77" i="2"/>
  <c r="F77" i="2"/>
  <c r="F83" i="2" s="1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C86" i="2"/>
  <c r="F86" i="2"/>
  <c r="D88" i="2"/>
  <c r="E88" i="2"/>
  <c r="F88" i="2"/>
  <c r="G88" i="2"/>
  <c r="G95" i="2" s="1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C105" i="2"/>
  <c r="D107" i="2"/>
  <c r="F107" i="2"/>
  <c r="G107" i="2"/>
  <c r="G137" i="2" s="1"/>
  <c r="E113" i="2"/>
  <c r="C114" i="2"/>
  <c r="E114" i="2"/>
  <c r="E116" i="2"/>
  <c r="E117" i="2"/>
  <c r="F120" i="2"/>
  <c r="G120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L256" i="1"/>
  <c r="C128" i="2" s="1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C151" i="2"/>
  <c r="D151" i="2"/>
  <c r="E151" i="2"/>
  <c r="F151" i="2"/>
  <c r="G151" i="2"/>
  <c r="B152" i="2"/>
  <c r="C152" i="2"/>
  <c r="D152" i="2"/>
  <c r="E152" i="2"/>
  <c r="F152" i="2"/>
  <c r="F490" i="1"/>
  <c r="K490" i="1" s="1"/>
  <c r="G490" i="1"/>
  <c r="C153" i="2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C156" i="2" s="1"/>
  <c r="H493" i="1"/>
  <c r="D156" i="2" s="1"/>
  <c r="I493" i="1"/>
  <c r="K493" i="1" s="1"/>
  <c r="E156" i="2"/>
  <c r="J493" i="1"/>
  <c r="F156" i="2" s="1"/>
  <c r="F19" i="1"/>
  <c r="G19" i="1"/>
  <c r="G608" i="1" s="1"/>
  <c r="I19" i="1"/>
  <c r="F33" i="1"/>
  <c r="G33" i="1"/>
  <c r="H33" i="1"/>
  <c r="I33" i="1"/>
  <c r="J33" i="1"/>
  <c r="F43" i="1"/>
  <c r="H43" i="1"/>
  <c r="H44" i="1" s="1"/>
  <c r="H609" i="1" s="1"/>
  <c r="I43" i="1"/>
  <c r="I44" i="1" s="1"/>
  <c r="H610" i="1" s="1"/>
  <c r="F44" i="1"/>
  <c r="H607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J203" i="1"/>
  <c r="K203" i="1"/>
  <c r="K249" i="1" s="1"/>
  <c r="K263" i="1" s="1"/>
  <c r="F221" i="1"/>
  <c r="G221" i="1"/>
  <c r="H221" i="1"/>
  <c r="I221" i="1"/>
  <c r="J221" i="1"/>
  <c r="K221" i="1"/>
  <c r="J239" i="1"/>
  <c r="F248" i="1"/>
  <c r="L248" i="1" s="1"/>
  <c r="G248" i="1"/>
  <c r="H248" i="1"/>
  <c r="I248" i="1"/>
  <c r="J248" i="1"/>
  <c r="K248" i="1"/>
  <c r="F282" i="1"/>
  <c r="F330" i="1" s="1"/>
  <c r="F344" i="1" s="1"/>
  <c r="I282" i="1"/>
  <c r="F301" i="1"/>
  <c r="G301" i="1"/>
  <c r="H301" i="1"/>
  <c r="I301" i="1"/>
  <c r="F320" i="1"/>
  <c r="H320" i="1"/>
  <c r="F329" i="1"/>
  <c r="L329" i="1" s="1"/>
  <c r="G329" i="1"/>
  <c r="H329" i="1"/>
  <c r="I329" i="1"/>
  <c r="J329" i="1"/>
  <c r="K329" i="1"/>
  <c r="F354" i="1"/>
  <c r="G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G399" i="1"/>
  <c r="H399" i="1"/>
  <c r="I399" i="1"/>
  <c r="G400" i="1"/>
  <c r="H635" i="1" s="1"/>
  <c r="L405" i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I426" i="1"/>
  <c r="J426" i="1"/>
  <c r="F438" i="1"/>
  <c r="G438" i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I450" i="1"/>
  <c r="F460" i="1"/>
  <c r="G460" i="1"/>
  <c r="G466" i="1" s="1"/>
  <c r="H613" i="1" s="1"/>
  <c r="H460" i="1"/>
  <c r="I460" i="1"/>
  <c r="J460" i="1"/>
  <c r="F464" i="1"/>
  <c r="F466" i="1" s="1"/>
  <c r="H612" i="1" s="1"/>
  <c r="J612" i="1" s="1"/>
  <c r="G464" i="1"/>
  <c r="H464" i="1"/>
  <c r="H466" i="1" s="1"/>
  <c r="H614" i="1" s="1"/>
  <c r="I464" i="1"/>
  <c r="J464" i="1"/>
  <c r="J466" i="1" s="1"/>
  <c r="H616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L514" i="1"/>
  <c r="F519" i="1"/>
  <c r="F535" i="1" s="1"/>
  <c r="G519" i="1"/>
  <c r="H519" i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J535" i="1"/>
  <c r="L547" i="1"/>
  <c r="L548" i="1"/>
  <c r="L549" i="1"/>
  <c r="F550" i="1"/>
  <c r="F561" i="1" s="1"/>
  <c r="G550" i="1"/>
  <c r="H550" i="1"/>
  <c r="I550" i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6" i="1"/>
  <c r="I577" i="1"/>
  <c r="K582" i="1"/>
  <c r="K586" i="1"/>
  <c r="K587" i="1"/>
  <c r="H588" i="1"/>
  <c r="H639" i="1" s="1"/>
  <c r="I588" i="1"/>
  <c r="K592" i="1"/>
  <c r="K593" i="1"/>
  <c r="K594" i="1"/>
  <c r="H595" i="1"/>
  <c r="I595" i="1"/>
  <c r="K595" i="1"/>
  <c r="G638" i="1" s="1"/>
  <c r="F604" i="1"/>
  <c r="G604" i="1"/>
  <c r="H604" i="1"/>
  <c r="I604" i="1"/>
  <c r="J604" i="1"/>
  <c r="K604" i="1"/>
  <c r="L604" i="1"/>
  <c r="G607" i="1"/>
  <c r="J607" i="1" s="1"/>
  <c r="G609" i="1"/>
  <c r="G610" i="1"/>
  <c r="J610" i="1" s="1"/>
  <c r="G612" i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J630" i="1" s="1"/>
  <c r="G631" i="1"/>
  <c r="G633" i="1"/>
  <c r="G634" i="1"/>
  <c r="J634" i="1" s="1"/>
  <c r="G635" i="1"/>
  <c r="J635" i="1" s="1"/>
  <c r="H640" i="1"/>
  <c r="G641" i="1"/>
  <c r="J641" i="1" s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A40" i="12" l="1"/>
  <c r="D6" i="13"/>
  <c r="C6" i="13" s="1"/>
  <c r="C110" i="2"/>
  <c r="C15" i="10"/>
  <c r="H249" i="1"/>
  <c r="H263" i="1" s="1"/>
  <c r="E8" i="13"/>
  <c r="C112" i="2"/>
  <c r="C17" i="10"/>
  <c r="E16" i="13"/>
  <c r="C16" i="13" s="1"/>
  <c r="C117" i="2"/>
  <c r="L350" i="1"/>
  <c r="H354" i="1"/>
  <c r="H534" i="1"/>
  <c r="H535" i="1" s="1"/>
  <c r="L533" i="1"/>
  <c r="L306" i="1"/>
  <c r="L320" i="1" s="1"/>
  <c r="G320" i="1"/>
  <c r="G330" i="1" s="1"/>
  <c r="G344" i="1" s="1"/>
  <c r="L268" i="1"/>
  <c r="C10" i="10" s="1"/>
  <c r="J282" i="1"/>
  <c r="I653" i="1"/>
  <c r="G613" i="1"/>
  <c r="J613" i="1" s="1"/>
  <c r="C25" i="13"/>
  <c r="H33" i="13"/>
  <c r="H651" i="1"/>
  <c r="C101" i="2"/>
  <c r="J631" i="1"/>
  <c r="F96" i="2"/>
  <c r="J632" i="1"/>
  <c r="J185" i="1"/>
  <c r="A13" i="12"/>
  <c r="G31" i="13"/>
  <c r="G535" i="1"/>
  <c r="G148" i="2"/>
  <c r="G54" i="2"/>
  <c r="G55" i="2" s="1"/>
  <c r="G96" i="2" s="1"/>
  <c r="J609" i="1"/>
  <c r="G150" i="2"/>
  <c r="G540" i="1"/>
  <c r="K540" i="1" s="1"/>
  <c r="L519" i="1"/>
  <c r="D12" i="13"/>
  <c r="C12" i="13" s="1"/>
  <c r="J633" i="1"/>
  <c r="G156" i="2"/>
  <c r="G152" i="2"/>
  <c r="C54" i="2"/>
  <c r="C55" i="2" s="1"/>
  <c r="C96" i="2" s="1"/>
  <c r="G36" i="2"/>
  <c r="G42" i="2" s="1"/>
  <c r="G43" i="2" s="1"/>
  <c r="J43" i="1"/>
  <c r="F43" i="2"/>
  <c r="E19" i="2"/>
  <c r="D48" i="2"/>
  <c r="D55" i="2" s="1"/>
  <c r="D96" i="2" s="1"/>
  <c r="G104" i="1"/>
  <c r="G185" i="1" s="1"/>
  <c r="G618" i="1" s="1"/>
  <c r="J618" i="1" s="1"/>
  <c r="F203" i="1"/>
  <c r="F249" i="1" s="1"/>
  <c r="F263" i="1" s="1"/>
  <c r="I444" i="1"/>
  <c r="I451" i="1" s="1"/>
  <c r="H632" i="1" s="1"/>
  <c r="E136" i="2"/>
  <c r="G652" i="1"/>
  <c r="G640" i="1"/>
  <c r="J640" i="1" s="1"/>
  <c r="D7" i="13"/>
  <c r="C7" i="13" s="1"/>
  <c r="L411" i="1"/>
  <c r="E43" i="2"/>
  <c r="C38" i="10"/>
  <c r="C20" i="10"/>
  <c r="C115" i="2"/>
  <c r="D14" i="13"/>
  <c r="C14" i="13" s="1"/>
  <c r="L419" i="1"/>
  <c r="J249" i="1"/>
  <c r="J608" i="1"/>
  <c r="F122" i="2"/>
  <c r="F136" i="2" s="1"/>
  <c r="F137" i="2" s="1"/>
  <c r="C130" i="2"/>
  <c r="L400" i="1"/>
  <c r="E111" i="2"/>
  <c r="K588" i="1"/>
  <c r="G637" i="1" s="1"/>
  <c r="J637" i="1" s="1"/>
  <c r="J615" i="1"/>
  <c r="L560" i="1"/>
  <c r="L561" i="1" s="1"/>
  <c r="L425" i="1"/>
  <c r="G155" i="2"/>
  <c r="K539" i="1"/>
  <c r="F542" i="1"/>
  <c r="E110" i="2"/>
  <c r="E120" i="2" s="1"/>
  <c r="G239" i="1"/>
  <c r="G203" i="1"/>
  <c r="G249" i="1" s="1"/>
  <c r="G263" i="1" s="1"/>
  <c r="C113" i="2"/>
  <c r="L343" i="1"/>
  <c r="F652" i="1"/>
  <c r="I652" i="1" s="1"/>
  <c r="C16" i="10"/>
  <c r="L190" i="1"/>
  <c r="L203" i="1" s="1"/>
  <c r="F239" i="1"/>
  <c r="C106" i="2"/>
  <c r="C25" i="10"/>
  <c r="K583" i="1"/>
  <c r="C13" i="10"/>
  <c r="F104" i="1"/>
  <c r="F185" i="1" s="1"/>
  <c r="G617" i="1" s="1"/>
  <c r="J617" i="1" s="1"/>
  <c r="L301" i="1"/>
  <c r="G650" i="1" s="1"/>
  <c r="G5" i="13"/>
  <c r="G33" i="13" s="1"/>
  <c r="G639" i="1"/>
  <c r="J639" i="1" s="1"/>
  <c r="B153" i="2"/>
  <c r="G153" i="2" s="1"/>
  <c r="E49" i="2"/>
  <c r="E54" i="2" s="1"/>
  <c r="E55" i="2" s="1"/>
  <c r="E96" i="2" s="1"/>
  <c r="E13" i="2"/>
  <c r="C12" i="10"/>
  <c r="D40" i="2"/>
  <c r="D42" i="2" s="1"/>
  <c r="D43" i="2" s="1"/>
  <c r="H653" i="1"/>
  <c r="L226" i="1"/>
  <c r="L239" i="1" s="1"/>
  <c r="H650" i="1" s="1"/>
  <c r="H654" i="1" s="1"/>
  <c r="L374" i="1"/>
  <c r="G626" i="1" s="1"/>
  <c r="J626" i="1" s="1"/>
  <c r="C116" i="2"/>
  <c r="C35" i="10"/>
  <c r="C29" i="10"/>
  <c r="C21" i="10"/>
  <c r="D15" i="13"/>
  <c r="C15" i="13" s="1"/>
  <c r="L249" i="1" l="1"/>
  <c r="L263" i="1" s="1"/>
  <c r="G622" i="1" s="1"/>
  <c r="J622" i="1" s="1"/>
  <c r="H662" i="1"/>
  <c r="C6" i="10" s="1"/>
  <c r="H657" i="1"/>
  <c r="J44" i="1"/>
  <c r="H611" i="1" s="1"/>
  <c r="J611" i="1" s="1"/>
  <c r="G616" i="1"/>
  <c r="G636" i="1"/>
  <c r="J636" i="1" s="1"/>
  <c r="G621" i="1"/>
  <c r="J621" i="1" s="1"/>
  <c r="C36" i="10"/>
  <c r="C41" i="10" s="1"/>
  <c r="L426" i="1"/>
  <c r="G628" i="1" s="1"/>
  <c r="J628" i="1" s="1"/>
  <c r="C120" i="2"/>
  <c r="F31" i="13"/>
  <c r="F33" i="13" s="1"/>
  <c r="J330" i="1"/>
  <c r="J344" i="1" s="1"/>
  <c r="H638" i="1"/>
  <c r="J638" i="1" s="1"/>
  <c r="J263" i="1"/>
  <c r="L534" i="1"/>
  <c r="L535" i="1" s="1"/>
  <c r="J541" i="1"/>
  <c r="G542" i="1"/>
  <c r="D5" i="13"/>
  <c r="C11" i="10"/>
  <c r="C102" i="2"/>
  <c r="C107" i="2" s="1"/>
  <c r="C137" i="2" s="1"/>
  <c r="F651" i="1"/>
  <c r="G651" i="1"/>
  <c r="G654" i="1" s="1"/>
  <c r="D119" i="2"/>
  <c r="D120" i="2" s="1"/>
  <c r="D137" i="2" s="1"/>
  <c r="L354" i="1"/>
  <c r="D29" i="13"/>
  <c r="C29" i="13" s="1"/>
  <c r="G627" i="1"/>
  <c r="J627" i="1" s="1"/>
  <c r="H636" i="1"/>
  <c r="C133" i="2"/>
  <c r="C136" i="2"/>
  <c r="E33" i="13"/>
  <c r="D35" i="13" s="1"/>
  <c r="C8" i="13"/>
  <c r="L282" i="1"/>
  <c r="E101" i="2"/>
  <c r="E107" i="2" s="1"/>
  <c r="E137" i="2" s="1"/>
  <c r="G662" i="1" l="1"/>
  <c r="G657" i="1"/>
  <c r="D37" i="10"/>
  <c r="D40" i="10"/>
  <c r="D39" i="10"/>
  <c r="D35" i="10"/>
  <c r="D38" i="10"/>
  <c r="L330" i="1"/>
  <c r="L344" i="1" s="1"/>
  <c r="G623" i="1" s="1"/>
  <c r="J623" i="1" s="1"/>
  <c r="D31" i="13"/>
  <c r="C31" i="13" s="1"/>
  <c r="D33" i="13"/>
  <c r="D36" i="13" s="1"/>
  <c r="C5" i="13"/>
  <c r="J616" i="1"/>
  <c r="J542" i="1"/>
  <c r="K541" i="1"/>
  <c r="K542" i="1" s="1"/>
  <c r="F650" i="1"/>
  <c r="C27" i="10"/>
  <c r="G625" i="1"/>
  <c r="J625" i="1" s="1"/>
  <c r="D36" i="10"/>
  <c r="C28" i="10"/>
  <c r="D11" i="10" s="1"/>
  <c r="I651" i="1"/>
  <c r="C30" i="10" l="1"/>
  <c r="D22" i="10"/>
  <c r="D18" i="10"/>
  <c r="D24" i="10"/>
  <c r="D19" i="10"/>
  <c r="D23" i="10"/>
  <c r="D26" i="10"/>
  <c r="D20" i="10"/>
  <c r="D15" i="10"/>
  <c r="D17" i="10"/>
  <c r="D25" i="10"/>
  <c r="D16" i="10"/>
  <c r="D10" i="10"/>
  <c r="D28" i="10" s="1"/>
  <c r="D13" i="10"/>
  <c r="D21" i="10"/>
  <c r="D12" i="10"/>
  <c r="D27" i="10"/>
  <c r="D41" i="10"/>
  <c r="I650" i="1"/>
  <c r="I654" i="1" s="1"/>
  <c r="F654" i="1"/>
  <c r="H646" i="1"/>
  <c r="F662" i="1" l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1E9B42C-62C1-4644-B05D-2FFAA041F47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1A7240A-350A-48C7-86E1-FB890127C15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A531357-951D-4199-A4BB-A96724F459A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238F7FA-E1E8-44EC-A034-46FEB3ACF04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33827E3-1F43-4CDB-A9C8-DF036CFBC9A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C6AC73B-373B-49C3-ABC4-1527DB2782E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B71DD8A-386D-4F5E-B961-CD0A48831A6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25890AF-847E-4BBC-B650-5BEAEA32E1C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7520B79-98FF-487C-B9A9-F17A9ECF405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0B60041-14B0-4368-AA65-06E602A51AB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54A2DEF-24C1-49AE-8F59-6105FDD4745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F43B7C9-5E4E-4BD2-9903-A23B131919E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<sst xmlns="http://schemas.openxmlformats.org/spreadsheetml/2006/main" count="3873" uniqueCount="895">
  <si>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</si>
  <si>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</si>
  <si>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</si>
  <si>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</si>
  <si>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</si>
  <si>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</si>
  <si>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</si>
  <si>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</si>
  <si>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</si>
  <si>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</si>
  <si>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</si>
  <si>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</si>
  <si>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</si>
  <si>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</si>
  <si>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</si>
  <si>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</si>
  <si>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</si>
  <si>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</si>
  <si>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</si>
  <si>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</si>
  <si>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</si>
  <si>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</si>
  <si>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</si>
  <si>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</si>
  <si>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</si>
  <si>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</si>
  <si>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</si>
  <si>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</si>
  <si>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</si>
  <si>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</si>
  <si>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</si>
  <si>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</si>
  <si>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</si>
  <si>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</si>
  <si>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</si>
  <si>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</si>
  <si>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</si>
  <si>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</si>
  <si>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</si>
  <si>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</si>
  <si>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</si>
  <si>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</si>
  <si>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</si>
  <si>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</si>
  <si>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</si>
  <si>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</si>
  <si>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</si>
  <si>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</si>
  <si>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</si>
  <si>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</si>
  <si>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</si>
  <si>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</si>
  <si>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</si>
  <si>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</si>
  <si>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</si>
  <si>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</si>
  <si>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</si>
  <si>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</si>
  <si>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</si>
  <si>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</si>
  <si>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</si>
  <si>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</si>
  <si>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</si>
  <si>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</si>
  <si>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</si>
  <si>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</si>
  <si>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</si>
  <si>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</si>
  <si>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</si>
  <si>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</si>
  <si>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</si>
  <si>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</si>
  <si>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</si>
  <si>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</si>
  <si>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</si>
  <si>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</si>
  <si>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</si>
  <si>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</si>
  <si>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</si>
  <si>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</si>
  <si>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</si>
  <si>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</si>
  <si>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</si>
  <si>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</si>
  <si>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</si>
  <si>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</si>
  <si>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</si>
  <si>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</si>
  <si>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</si>
  <si>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</si>
  <si>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</si>
  <si>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</si>
  <si>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</si>
  <si>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</si>
  <si>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</si>
  <si>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</si>
  <si>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</si>
  <si>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</si>
  <si>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</si>
  <si>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</si>
  <si>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</si>
  <si>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</si>
  <si>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</si>
  <si>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</si>
  <si>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</si>
  <si>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</si>
  <si>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</si>
  <si>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</si>
  <si>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</si>
  <si>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</si>
  <si>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</si>
  <si>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</si>
  <si>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</si>
  <si>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</si>
  <si>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</si>
  <si>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</si>
  <si>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</si>
  <si>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</si>
  <si>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</si>
  <si>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</si>
  <si>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</si>
  <si>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</si>
  <si>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</si>
  <si>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</si>
  <si>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</si>
  <si>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</si>
  <si>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</si>
  <si>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</si>
  <si>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</si>
  <si>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</si>
  <si>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</si>
  <si>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</si>
  <si>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</si>
  <si>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</si>
  <si>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</si>
  <si>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</si>
  <si>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</si>
  <si>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</si>
  <si>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</si>
  <si>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</si>
  <si>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</si>
  <si>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</si>
  <si>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</si>
  <si>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</si>
  <si>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</si>
  <si>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</si>
  <si>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</si>
  <si>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</si>
  <si>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</si>
  <si>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</si>
  <si>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</si>
  <si>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</si>
  <si>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</si>
  <si>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</si>
  <si>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</si>
  <si>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</si>
  <si>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</si>
  <si>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</si>
  <si>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</si>
  <si>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</si>
  <si>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</si>
  <si>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</si>
  <si>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</si>
  <si>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</si>
  <si>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</si>
  <si>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</si>
  <si>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</si>
  <si>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</si>
  <si>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</si>
  <si>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</si>
  <si>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</si>
  <si>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</si>
  <si>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</si>
  <si>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</si>
  <si>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</si>
  <si>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</si>
  <si>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</si>
  <si>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</si>
  <si>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</si>
  <si>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</si>
  <si>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</si>
  <si>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</si>
  <si>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</si>
  <si>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</si>
  <si>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</si>
  <si>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</si>
  <si>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</si>
  <si>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</si>
  <si>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</si>
  <si>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</si>
  <si>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</si>
  <si>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</si>
  <si>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</si>
  <si>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</si>
  <si>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</si>
  <si>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</si>
  <si>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</si>
  <si>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</si>
  <si>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</si>
  <si>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</si>
  <si>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</si>
  <si>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</si>
  <si>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</si>
  <si>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</si>
  <si>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</si>
  <si>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</si>
  <si>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</si>
  <si>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</si>
  <si>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</si>
  <si>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</si>
  <si>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</si>
  <si>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</si>
  <si>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</si>
  <si>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</si>
  <si>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</si>
  <si>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</si>
  <si>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</si>
  <si>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</si>
  <si>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</si>
  <si>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</si>
  <si>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</si>
  <si>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</si>
  <si>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</si>
  <si>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</si>
  <si>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</si>
  <si>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</si>
  <si>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</si>
  <si>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</si>
  <si>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</si>
  <si>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</si>
  <si>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</si>
  <si>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</si>
  <si>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</si>
  <si>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</si>
  <si>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</si>
  <si>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</si>
  <si>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</si>
  <si>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</si>
  <si>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</si>
  <si>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</si>
  <si>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</si>
  <si>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</si>
  <si>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</si>
  <si>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</si>
  <si>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</si>
  <si>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</si>
  <si>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</si>
  <si>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</si>
  <si>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</si>
  <si>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</si>
  <si>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</si>
  <si>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</si>
  <si>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</si>
  <si>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</si>
  <si>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</si>
  <si>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</si>
  <si>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</si>
  <si>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</si>
  <si>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</si>
  <si>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</si>
  <si>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</si>
  <si>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</si>
  <si>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</si>
  <si>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</si>
  <si>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</si>
  <si>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</si>
  <si>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</si>
  <si>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</si>
  <si>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</si>
  <si>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</si>
  <si>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</si>
  <si>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</si>
  <si>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</si>
  <si>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</si>
  <si>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</si>
  <si>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</si>
  <si>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</si>
  <si>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</si>
  <si>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</si>
  <si>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</si>
  <si>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</si>
  <si>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</si>
  <si>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</si>
  <si>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</si>
  <si>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</si>
  <si>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</si>
  <si>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</si>
  <si>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</si>
  <si>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</si>
  <si>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</si>
  <si>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</si>
  <si>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</si>
  <si>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</si>
  <si>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</si>
  <si>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</si>
  <si>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</si>
  <si>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</si>
  <si>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</si>
  <si>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</si>
  <si>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</si>
  <si>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</si>
  <si>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</si>
  <si>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</si>
  <si>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</si>
  <si>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</si>
  <si>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</si>
  <si>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</si>
  <si>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</si>
  <si>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</si>
  <si>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</si>
  <si>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</si>
  <si>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</si>
  <si>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</si>
  <si>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</si>
  <si>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</si>
  <si>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</si>
  <si>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</si>
  <si>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</si>
  <si>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</si>
  <si>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</si>
  <si>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</si>
  <si>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</si>
  <si>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</si>
  <si>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</si>
  <si>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</si>
  <si>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</si>
  <si>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</si>
  <si>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</si>
  <si>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</si>
  <si>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</si>
  <si>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</si>
  <si>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</si>
  <si>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</si>
  <si>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</si>
  <si>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</si>
  <si>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</si>
  <si>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</si>
  <si>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</si>
  <si>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</si>
  <si>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</si>
  <si>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</si>
  <si>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</si>
  <si>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</si>
  <si>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</si>
  <si>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</si>
  <si>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</si>
  <si>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</si>
  <si>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</si>
  <si>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</si>
  <si>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</si>
  <si>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</si>
  <si>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</si>
  <si>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</si>
  <si>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</si>
  <si>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</si>
  <si>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</si>
  <si>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</si>
  <si>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</si>
  <si>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</si>
  <si>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</si>
  <si>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</si>
  <si>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</si>
  <si>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</si>
  <si>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</si>
  <si>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</si>
  <si>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</si>
  <si>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</si>
  <si>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</si>
  <si>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</si>
  <si>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</si>
  <si>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</si>
  <si>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</si>
  <si>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</si>
  <si>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</si>
  <si>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</si>
  <si>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</si>
  <si>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</si>
  <si>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</si>
  <si>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</si>
  <si>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</si>
  <si>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</si>
  <si>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</si>
  <si>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</si>
  <si>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</si>
  <si>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</si>
  <si>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</si>
  <si>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</si>
  <si>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</si>
  <si>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</si>
  <si>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</si>
  <si>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</si>
  <si>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</si>
  <si>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</si>
  <si>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</si>
  <si>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</si>
  <si>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</si>
  <si>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</si>
  <si>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</si>
  <si>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</si>
  <si>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</si>
  <si>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</si>
  <si>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</si>
  <si>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</si>
  <si>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</si>
  <si>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</si>
  <si>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</si>
  <si>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</si>
  <si>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</si>
  <si>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</si>
  <si>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</si>
  <si>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</si>
  <si>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</si>
  <si>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</si>
  <si>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</si>
  <si>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</si>
  <si>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</si>
  <si>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</si>
  <si>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</si>
  <si>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</si>
  <si>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</si>
  <si>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</si>
  <si>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</si>
  <si>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</si>
  <si>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</si>
  <si>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</si>
  <si>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</si>
  <si>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</si>
  <si>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</si>
  <si>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</si>
  <si>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</si>
  <si>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</si>
  <si>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</si>
  <si>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</si>
  <si>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</si>
  <si>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</si>
  <si>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</si>
  <si>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</si>
  <si>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</si>
  <si>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</si>
  <si>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</si>
  <si>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</si>
  <si>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</si>
  <si>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</si>
  <si>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</si>
  <si>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</si>
  <si>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</si>
  <si>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</si>
  <si>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</si>
  <si>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</si>
  <si>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</si>
  <si>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</si>
  <si>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</si>
  <si>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</si>
  <si>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</si>
  <si>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</si>
  <si>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</si>
  <si>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</si>
  <si>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</si>
  <si>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</si>
  <si>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</si>
  <si>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</si>
  <si>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</si>
  <si>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</si>
  <si>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</si>
  <si>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</si>
  <si>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</si>
  <si>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</si>
  <si>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</si>
  <si>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</si>
  <si>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</si>
  <si>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</si>
  <si>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</si>
  <si>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</si>
  <si>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</si>
  <si>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</si>
  <si>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</si>
  <si>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</si>
  <si>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</si>
  <si>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</si>
  <si>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</si>
  <si>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</si>
  <si>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</si>
  <si>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</si>
  <si>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</si>
  <si>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</si>
  <si>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</si>
  <si>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</si>
  <si>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</si>
  <si>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</si>
  <si>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</si>
  <si>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</si>
  <si>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</si>
  <si>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</si>
  <si>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</si>
  <si>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</si>
  <si>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</si>
  <si>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</si>
  <si>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</si>
  <si>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</si>
  <si>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</si>
  <si>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</si>
  <si>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</si>
  <si>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</si>
  <si>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</si>
  <si>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</si>
  <si>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</si>
  <si>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</si>
  <si>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</si>
  <si>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</si>
  <si>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</si>
  <si>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</si>
  <si>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</si>
  <si>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</si>
  <si>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</si>
  <si>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</si>
  <si>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</si>
  <si>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</si>
  <si>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</si>
  <si>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</si>
  <si>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</si>
  <si>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</si>
  <si>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</si>
  <si>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</si>
  <si>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</si>
  <si>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</si>
  <si>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</si>
  <si>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</si>
  <si>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</si>
  <si>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</si>
  <si>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</si>
  <si>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</si>
  <si>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</si>
  <si>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</si>
  <si>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</si>
  <si>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</si>
  <si>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</si>
  <si>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</si>
  <si>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</si>
  <si>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</si>
  <si>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</si>
  <si>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</si>
  <si>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</si>
  <si>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</si>
  <si>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</si>
  <si>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</si>
  <si>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</si>
  <si>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</si>
  <si>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</si>
  <si>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</si>
  <si>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</si>
  <si>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</si>
  <si>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</si>
  <si>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</si>
  <si>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</si>
  <si>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</si>
  <si>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</si>
  <si>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</si>
  <si>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</si>
  <si>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</si>
  <si>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</si>
  <si>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</si>
  <si>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</si>
  <si>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</si>
  <si>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</si>
  <si>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</si>
  <si>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</si>
  <si>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</si>
  <si>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</si>
  <si>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</si>
  <si>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</si>
  <si>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</si>
  <si>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</si>
  <si>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</si>
  <si>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</si>
  <si>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</si>
  <si>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</si>
  <si>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</si>
  <si>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</si>
  <si>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</si>
  <si>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</si>
  <si>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</si>
  <si>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</si>
  <si>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</si>
  <si>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</si>
  <si>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</si>
  <si>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</si>
  <si>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</si>
  <si>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</si>
  <si>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</si>
  <si>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</si>
  <si>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</si>
  <si>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</si>
  <si>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</si>
  <si>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</si>
  <si>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</si>
  <si>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</si>
  <si>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</si>
  <si>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</si>
  <si>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</si>
  <si>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</si>
  <si>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</si>
  <si>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</si>
  <si>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</si>
  <si>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</si>
  <si>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</si>
  <si>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</si>
  <si>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</si>
  <si>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</si>
  <si>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</si>
  <si>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</si>
  <si>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</si>
  <si>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</si>
  <si>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</si>
  <si>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</si>
  <si>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</si>
  <si>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</si>
  <si>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</si>
  <si>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</si>
  <si>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</si>
  <si>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</si>
  <si>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</si>
  <si>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</si>
  <si>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</si>
  <si>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</si>
  <si>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</si>
  <si>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</si>
  <si>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</si>
  <si>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</si>
  <si>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</si>
  <si>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</si>
  <si>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</si>
  <si>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</si>
  <si>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</si>
  <si>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</si>
  <si>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</si>
  <si>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</si>
  <si>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</si>
  <si>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</si>
  <si>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</si>
  <si>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</si>
  <si>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</si>
  <si>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</si>
  <si>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</si>
  <si>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</si>
  <si>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</si>
  <si>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</si>
  <si>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</si>
  <si>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</si>
  <si>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</si>
  <si>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</si>
  <si>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</si>
  <si>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</si>
  <si>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</si>
  <si>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</si>
  <si>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</si>
  <si>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</si>
  <si>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</si>
  <si>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</si>
  <si>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</si>
  <si>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</si>
  <si>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</si>
  <si>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</si>
  <si>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</si>
  <si>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</si>
  <si>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</si>
  <si>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</si>
  <si>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</si>
  <si>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</si>
  <si>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</si>
  <si>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</si>
  <si>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</si>
  <si>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</si>
  <si>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</si>
  <si>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</si>
  <si>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</si>
  <si>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</si>
  <si>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</si>
  <si>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</si>
  <si>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</si>
  <si>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</si>
  <si>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</si>
  <si>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</si>
  <si>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</si>
  <si>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</si>
  <si>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</si>
  <si>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</si>
  <si>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</si>
  <si>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</si>
  <si>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</si>
  <si>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</si>
  <si>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</si>
  <si>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</si>
  <si>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</si>
  <si>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</si>
  <si>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</si>
  <si>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</si>
  <si>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</si>
  <si>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</si>
  <si>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</si>
  <si>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</si>
  <si>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</si>
  <si>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</si>
  <si>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</si>
  <si>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</si>
  <si>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</si>
  <si>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</si>
  <si>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</si>
  <si>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</si>
  <si>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</si>
  <si>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</si>
  <si>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</si>
  <si>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</si>
  <si>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</si>
  <si>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</si>
  <si>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</si>
  <si>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</si>
  <si>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</si>
  <si>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</si>
  <si>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</si>
  <si>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</si>
  <si>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</si>
  <si>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</si>
  <si>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</si>
  <si>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</si>
  <si>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</si>
  <si>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</si>
  <si>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</si>
  <si>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</si>
  <si>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</si>
  <si>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</si>
  <si>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</si>
  <si>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</si>
  <si>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</si>
  <si>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</si>
  <si>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</si>
  <si>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</si>
  <si>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</si>
  <si>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</si>
  <si>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</si>
  <si>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</si>
  <si>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</si>
  <si>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</si>
  <si>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</si>
  <si>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</si>
  <si>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</si>
  <si>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</si>
  <si>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</si>
  <si>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</si>
  <si>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</si>
  <si>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</si>
  <si>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</si>
  <si>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</si>
  <si>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</si>
  <si>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</si>
  <si>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</si>
  <si>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</si>
  <si>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</si>
  <si>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</si>
  <si>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</si>
  <si>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</si>
  <si>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</si>
  <si>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</si>
  <si>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</si>
  <si>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</si>
  <si>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</si>
  <si>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</si>
  <si>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</si>
  <si>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</si>
  <si>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</si>
  <si>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</si>
  <si>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</si>
  <si>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</si>
  <si>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</si>
  <si>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</si>
  <si>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</si>
  <si>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</si>
  <si>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</si>
  <si>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</si>
  <si>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</si>
  <si>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</si>
  <si>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</si>
  <si>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</si>
  <si>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</si>
  <si>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</si>
  <si>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</si>
  <si>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</si>
  <si>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</si>
  <si>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</si>
  <si>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</si>
  <si>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</si>
  <si>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</si>
  <si>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</si>
  <si>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</si>
  <si>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</si>
  <si>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</si>
  <si>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</si>
  <si>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</si>
  <si>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</si>
  <si>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</si>
  <si>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</si>
  <si>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</si>
  <si>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</si>
  <si>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</si>
  <si>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</si>
  <si>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</si>
  <si>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</si>
  <si>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</si>
  <si>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</si>
  <si>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</si>
  <si>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</si>
  <si>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</si>
  <si>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</si>
  <si>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</si>
  <si>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</si>
  <si>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</si>
  <si>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</si>
  <si>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</si>
  <si>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</si>
  <si>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</si>
  <si>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</si>
  <si>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</si>
  <si>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</si>
  <si>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</si>
  <si>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</si>
  <si>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</si>
  <si>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</si>
  <si>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</si>
  <si>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</si>
  <si>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</si>
  <si>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</si>
  <si>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</si>
  <si>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</si>
  <si>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</si>
  <si>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</si>
  <si>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</si>
  <si>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</si>
  <si>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</si>
  <si>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</si>
  <si>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</si>
  <si>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</si>
  <si>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</si>
  <si>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</si>
  <si>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</si>
  <si>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</si>
  <si>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</si>
  <si>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</si>
  <si>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</si>
  <si>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</si>
  <si>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</si>
  <si>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</si>
  <si>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</si>
  <si>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</si>
  <si>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</si>
  <si>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</si>
  <si>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</si>
  <si>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</si>
  <si>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</si>
  <si>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</si>
  <si>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</si>
  <si>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</si>
  <si>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</si>
  <si>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</si>
  <si>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</si>
  <si>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</si>
  <si>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</si>
  <si>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</si>
  <si>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</si>
  <si>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</si>
  <si>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</si>
  <si>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</si>
  <si>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</si>
  <si>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</si>
  <si>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</si>
  <si>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</si>
  <si>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</si>
  <si>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</si>
  <si>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</si>
  <si>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</si>
  <si>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</si>
  <si>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</si>
  <si>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</si>
  <si>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</si>
  <si>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</si>
  <si>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</si>
  <si>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</si>
  <si>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</si>
  <si>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</si>
  <si>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</si>
  <si>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</si>
  <si>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</si>
  <si>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</si>
  <si>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</si>
  <si>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</si>
  <si>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</si>
  <si>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Mascoma Valley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</si>
</sst>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F58B-5B69-4251-8D33-A23E0D43B50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343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1353483.2+100+100+75+100+100+25000</f>
        <v>1378958.2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87755.78</v>
      </c>
      <c r="G12" s="18"/>
      <c r="H12" s="18"/>
      <c r="I12" s="18"/>
      <c r="J12" s="67">
        <f>SUM(I433)</f>
        <v>604158.57999999996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 t="s">
        <v>310</v>
      </c>
      <c r="H13" s="18">
        <f>273925.23</f>
        <v>273925.23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526.89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 t="s">
        <v>310</v>
      </c>
      <c r="H17" s="18">
        <v>-35.39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1466713.98</v>
      </c>
      <c r="G19" s="41">
        <f>SUM(G9:G18)</f>
        <v>526.89</v>
      </c>
      <c r="H19" s="41">
        <f>SUM(H9:H18)</f>
        <v>273889.83999999997</v>
      </c>
      <c r="I19" s="41">
        <f>SUM(I9:I18)</f>
        <v>0</v>
      </c>
      <c r="J19" s="41">
        <f>SUM(J9:J18)</f>
        <v>604158.57999999996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-43986.53</v>
      </c>
      <c r="H23" s="18">
        <v>131742.29999999999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31733.03</v>
      </c>
      <c r="G25" s="18">
        <v>37066.6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196827.08+346.56+637.44</f>
        <v>197811.08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7070.86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229544.11</v>
      </c>
      <c r="G33" s="41">
        <f>SUM(G23:G32)</f>
        <v>150.92999999999938</v>
      </c>
      <c r="H33" s="41">
        <f>SUM(H23:H32)</f>
        <v>131742.29999999999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600732.14</v>
      </c>
      <c r="G41" s="18">
        <f>485.55-109.59</f>
        <v>375.96000000000004</v>
      </c>
      <c r="H41" s="18">
        <v>142147.54</v>
      </c>
      <c r="I41" s="18"/>
      <c r="J41" s="13">
        <f>SUM(I449)</f>
        <v>604158.57999999996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246173.67+340264.06+25000</f>
        <v>611437.73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1237169.8700000001</v>
      </c>
      <c r="G43" s="41">
        <f>SUM(G35:G42)</f>
        <v>375.96000000000004</v>
      </c>
      <c r="H43" s="41">
        <f>SUM(H35:H42)</f>
        <v>142147.54</v>
      </c>
      <c r="I43" s="41">
        <f>SUM(I35:I42)</f>
        <v>0</v>
      </c>
      <c r="J43" s="41">
        <f>SUM(J35:J42)</f>
        <v>604158.57999999996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1466713.98</v>
      </c>
      <c r="G44" s="41">
        <f>G43+G33</f>
        <v>526.88999999999942</v>
      </c>
      <c r="H44" s="41">
        <f>H43+H33</f>
        <v>273889.83999999997</v>
      </c>
      <c r="I44" s="41">
        <f>I43+I33</f>
        <v>0</v>
      </c>
      <c r="J44" s="41">
        <f>J43+J33</f>
        <v>604158.57999999996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11697235.07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11697235.07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>
        <v>50620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f>100+47154.5</f>
        <v>47254.5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816.64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816.64</v>
      </c>
      <c r="G71" s="45" t="s">
        <v>312</v>
      </c>
      <c r="H71" s="41">
        <f>SUM(H55:H70)</f>
        <v>97874.5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12720.25</v>
      </c>
      <c r="G88" s="18"/>
      <c r="H88" s="18"/>
      <c r="I88" s="18"/>
      <c r="J88" s="18">
        <v>931.05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191515+35509+12222+7142</f>
        <v>246388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3134.25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81026.55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1825.22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17679.72</v>
      </c>
      <c r="G103" s="41">
        <f>SUM(G88:G102)</f>
        <v>246388</v>
      </c>
      <c r="H103" s="41">
        <f>SUM(H88:H102)</f>
        <v>81026.55</v>
      </c>
      <c r="I103" s="41">
        <f>SUM(I88:I102)</f>
        <v>0</v>
      </c>
      <c r="J103" s="41">
        <f>SUM(J88:J102)</f>
        <v>931.05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11715731.430000002</v>
      </c>
      <c r="G104" s="41">
        <f>G52+G103</f>
        <v>246388</v>
      </c>
      <c r="H104" s="41">
        <f>H52+H71+H86+H103</f>
        <v>178901.05</v>
      </c>
      <c r="I104" s="41">
        <f>I52+I103</f>
        <v>0</v>
      </c>
      <c r="J104" s="41">
        <f>J52+J103</f>
        <v>931.05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4326969.0599999996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2467045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156937.94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6950952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176196.34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86528.18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213490.24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18200.5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 t="s">
        <v>310</v>
      </c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4536.32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13350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494415.26</v>
      </c>
      <c r="G128" s="41">
        <f>SUM(G115:G127)</f>
        <v>4536.32</v>
      </c>
      <c r="H128" s="41">
        <f>SUM(H115:H127)</f>
        <v>13350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7445367.2599999998</v>
      </c>
      <c r="G132" s="41">
        <f>G113+SUM(G128:G129)</f>
        <v>4536.32</v>
      </c>
      <c r="H132" s="41">
        <f>H113+SUM(H128:H131)</f>
        <v>13350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142501.13+8638.81+81670.14</f>
        <v>232810.08000000002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384.68+41167.38+43529.8+19447.25+6223.23+30949.78</f>
        <v>141702.12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184127.17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287498.28+118495.88</f>
        <v>405994.16000000003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101580.46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101580.46</v>
      </c>
      <c r="G154" s="41">
        <f>SUM(G142:G153)</f>
        <v>184127.17</v>
      </c>
      <c r="H154" s="41">
        <f>SUM(H142:H153)</f>
        <v>780506.3600000001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3508.41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105088.87000000001</v>
      </c>
      <c r="G161" s="41">
        <f>G139+G154+SUM(G155:G160)</f>
        <v>184127.17</v>
      </c>
      <c r="H161" s="41">
        <f>H139+H154+SUM(H155:H160)</f>
        <v>780506.3600000001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60000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60000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48261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48261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48261</v>
      </c>
      <c r="J184" s="41">
        <f>J175</f>
        <v>60000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19266187.560000002</v>
      </c>
      <c r="G185" s="47">
        <f>G104+G132+G161+G184</f>
        <v>435051.49</v>
      </c>
      <c r="H185" s="47">
        <f>H104+H132+H161+H184</f>
        <v>972757.41000000015</v>
      </c>
      <c r="I185" s="47">
        <f>I104+I132+I161+I184</f>
        <v>48261</v>
      </c>
      <c r="J185" s="47">
        <f>J104+J132+J184</f>
        <v>60931.05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3209488.83+2716.57+243453.82+107371.14+6055.81</f>
        <v>3569086.17</v>
      </c>
      <c r="G189" s="18">
        <f>789801.21+76171.13+254514.49+5208.01+259369.88+85514.6+6827.34+53804.93</f>
        <v>1531211.5900000003</v>
      </c>
      <c r="H189" s="18">
        <f>5109.05+4033.65+9930.89</f>
        <v>19073.59</v>
      </c>
      <c r="I189" s="18">
        <f>63878.49+11982.47+56582.95+33350.12+60.34</f>
        <v>165854.36999999997</v>
      </c>
      <c r="J189" s="18">
        <f>4132.36+5532.35+1864.44+41625.79+48766.5</f>
        <v>101921.44</v>
      </c>
      <c r="K189" s="18">
        <v>1667.68</v>
      </c>
      <c r="L189" s="19">
        <f>SUM(F189:K189)</f>
        <v>5388814.8399999999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372877.94+843707.86+355054.98</f>
        <v>1571640.78</v>
      </c>
      <c r="G190" s="18">
        <f>298855.83+27335.7+91788.58+30417.37+29415.21+111257.91</f>
        <v>589070.60000000009</v>
      </c>
      <c r="H190" s="18">
        <f>168471.8+4138.56+234.46</f>
        <v>172844.81999999998</v>
      </c>
      <c r="I190" s="18">
        <f>604.22+1044.88+11536.69</f>
        <v>13185.79</v>
      </c>
      <c r="J190" s="18">
        <f>166.49+418.87</f>
        <v>585.36</v>
      </c>
      <c r="K190" s="18">
        <f>144.84</f>
        <v>144.84</v>
      </c>
      <c r="L190" s="19">
        <f>SUM(F190:K190)</f>
        <v>2347472.1899999995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15617.97</f>
        <v>15617.97</v>
      </c>
      <c r="G192" s="18">
        <f>1194.8+648.82</f>
        <v>1843.62</v>
      </c>
      <c r="H192" s="18">
        <f>3525</f>
        <v>3525</v>
      </c>
      <c r="I192" s="18">
        <f>353.76</f>
        <v>353.76</v>
      </c>
      <c r="J192" s="18">
        <f>829.6+500</f>
        <v>1329.6</v>
      </c>
      <c r="K192" s="18">
        <v>400</v>
      </c>
      <c r="L192" s="19">
        <f>SUM(F192:K192)</f>
        <v>23069.949999999997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196719.12+149502.99</f>
        <v>346222.11</v>
      </c>
      <c r="G194" s="18">
        <f>22564.52+4784.56+14863.79+15881.22+36960.98+3893.34+10934.15+11989.98</f>
        <v>121872.54</v>
      </c>
      <c r="H194" s="18">
        <f>155+246963.05</f>
        <v>247118.05</v>
      </c>
      <c r="I194" s="18">
        <f>435.17+3219.29</f>
        <v>3654.46</v>
      </c>
      <c r="J194" s="18"/>
      <c r="K194" s="18"/>
      <c r="L194" s="19">
        <f t="shared" ref="L194:L200" si="0">SUM(F194:K194)</f>
        <v>718867.15999999992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140298.4+22569.43</f>
        <v>162867.82999999999</v>
      </c>
      <c r="G195" s="18">
        <f>43517.16+3348.2+11984.05+2067.32+11252.04</f>
        <v>72168.77</v>
      </c>
      <c r="H195" s="18">
        <f>29852.18</f>
        <v>29852.18</v>
      </c>
      <c r="I195" s="18">
        <f>2031.81+22387.3+12796.1</f>
        <v>37215.21</v>
      </c>
      <c r="J195" s="18">
        <f>1505.17+1120.58+2650.72</f>
        <v>5276.4699999999993</v>
      </c>
      <c r="K195" s="18"/>
      <c r="L195" s="19">
        <f t="shared" si="0"/>
        <v>307380.45999999996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330743.15</f>
        <v>330743.15000000002</v>
      </c>
      <c r="G196" s="18">
        <f>153352.92</f>
        <v>153352.92000000001</v>
      </c>
      <c r="H196" s="18">
        <f>144207.78</f>
        <v>144207.78</v>
      </c>
      <c r="I196" s="18">
        <f>59899.64</f>
        <v>59899.64</v>
      </c>
      <c r="J196" s="18">
        <f>680</f>
        <v>680</v>
      </c>
      <c r="K196" s="18">
        <f>3628.46</f>
        <v>3628.46</v>
      </c>
      <c r="L196" s="19">
        <f t="shared" si="0"/>
        <v>692511.95000000007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236733.48+159721.78+65126.44</f>
        <v>461581.7</v>
      </c>
      <c r="G197" s="18">
        <f>112143.05+9023.98+34842.85+14716.61+24208.87+9811.27+5978.32</f>
        <v>210724.94999999998</v>
      </c>
      <c r="H197" s="18">
        <f>24635.52+3809.55+1326.37+1308.9</f>
        <v>31080.34</v>
      </c>
      <c r="I197" s="18">
        <f>1172.43</f>
        <v>1172.43</v>
      </c>
      <c r="J197" s="18"/>
      <c r="K197" s="18"/>
      <c r="L197" s="19">
        <f t="shared" si="0"/>
        <v>704559.42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237236.37+64871.27</f>
        <v>302107.64</v>
      </c>
      <c r="G199" s="18">
        <f>46227+4401.1+17974.76+15729.44+22576.34</f>
        <v>106908.64</v>
      </c>
      <c r="H199" s="18">
        <f>7733.1+167761.88+49374.99+10845+37656.28+200+22197.36+41777.05+2417.4</f>
        <v>339963.06</v>
      </c>
      <c r="I199" s="18">
        <f>34772.69+72741.75+5389.28+106038.87+1998.05+185.45+26538.14</f>
        <v>247664.22999999998</v>
      </c>
      <c r="J199" s="18">
        <f>1845.74+596.88+25666.03+7945+16069.94</f>
        <v>52123.59</v>
      </c>
      <c r="K199" s="18"/>
      <c r="L199" s="19">
        <f t="shared" si="0"/>
        <v>1048767.1600000001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521878.61</v>
      </c>
      <c r="I200" s="18"/>
      <c r="J200" s="18"/>
      <c r="K200" s="18"/>
      <c r="L200" s="19">
        <f t="shared" si="0"/>
        <v>521878.61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1194.69</f>
        <v>1194.69</v>
      </c>
      <c r="I201" s="18"/>
      <c r="J201" s="18"/>
      <c r="K201" s="18"/>
      <c r="L201" s="19">
        <f>SUM(F201:K201)</f>
        <v>1194.69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6759867.3500000006</v>
      </c>
      <c r="G203" s="41">
        <f t="shared" si="1"/>
        <v>2787153.6300000008</v>
      </c>
      <c r="H203" s="41">
        <f t="shared" si="1"/>
        <v>1510738.1199999996</v>
      </c>
      <c r="I203" s="41">
        <f t="shared" si="1"/>
        <v>528999.8899999999</v>
      </c>
      <c r="J203" s="41">
        <f t="shared" si="1"/>
        <v>161916.46000000002</v>
      </c>
      <c r="K203" s="41">
        <f t="shared" si="1"/>
        <v>5840.98</v>
      </c>
      <c r="L203" s="41">
        <f t="shared" si="1"/>
        <v>11754516.429999996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1503863.24+1475.73+79247.77+1402.5+50527.6+2849.79</f>
        <v>1639366.6300000001</v>
      </c>
      <c r="G225" s="18">
        <f>454045.72+39953.77+117002.84+7259.3+119607.71+40242.16+3212.86+25319.96</f>
        <v>806644.32</v>
      </c>
      <c r="H225" s="18">
        <f>4500+1172.95+4673.36</f>
        <v>10346.31</v>
      </c>
      <c r="I225" s="18">
        <f>51043.46+5829.93+37917.84+9272.06+28.39</f>
        <v>104091.68</v>
      </c>
      <c r="J225" s="18">
        <f>9679.96+1079+10788+25952+22948.94</f>
        <v>70447.899999999994</v>
      </c>
      <c r="K225" s="18">
        <f>6222.27</f>
        <v>6222.27</v>
      </c>
      <c r="L225" s="19">
        <f>SUM(F225:K225)</f>
        <v>2637119.1100000003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177703.85+172308.63+167084.69</f>
        <v>517097.17</v>
      </c>
      <c r="G226" s="18">
        <f>148731.09+9979.9+25563.61+13853.46+13917.05+52356.67</f>
        <v>264401.77999999997</v>
      </c>
      <c r="H226" s="18">
        <f>9154.71+123512.95+530987+79280.85</f>
        <v>742935.51</v>
      </c>
      <c r="I226" s="18">
        <f>380.12+111.28+5429.03</f>
        <v>5920.4299999999994</v>
      </c>
      <c r="J226" s="18">
        <f>197.12</f>
        <v>197.12</v>
      </c>
      <c r="K226" s="18">
        <f>68.16</f>
        <v>68.16</v>
      </c>
      <c r="L226" s="19">
        <f>SUM(F226:K226)</f>
        <v>1530620.17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446869.75</v>
      </c>
      <c r="I227" s="18"/>
      <c r="J227" s="18"/>
      <c r="K227" s="18"/>
      <c r="L227" s="19">
        <f>SUM(F227:K227)</f>
        <v>446869.75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53779.98</f>
        <v>53779.98</v>
      </c>
      <c r="G228" s="18">
        <f>4114.14+877.25</f>
        <v>4991.3900000000003</v>
      </c>
      <c r="H228" s="18">
        <f>19737+10000</f>
        <v>29737</v>
      </c>
      <c r="I228" s="18">
        <f>11540.91</f>
        <v>11540.91</v>
      </c>
      <c r="J228" s="18">
        <f>2914.88</f>
        <v>2914.88</v>
      </c>
      <c r="K228" s="18">
        <v>4590</v>
      </c>
      <c r="L228" s="19">
        <f>SUM(F228:K228)</f>
        <v>107554.16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166709.56+54999.88</f>
        <v>221709.44</v>
      </c>
      <c r="G230" s="18">
        <f>13663.68+3283.5+12678.77+13472+18447+1501.06+3977.67+4410.91</f>
        <v>71434.59</v>
      </c>
      <c r="H230" s="18">
        <f>308+5355.25+1599.01+116217.9</f>
        <v>123480.15999999999</v>
      </c>
      <c r="I230" s="18">
        <f>236.69+294.97+1209.71</f>
        <v>1741.3700000000001</v>
      </c>
      <c r="J230" s="18">
        <f>790+1448.99</f>
        <v>2238.9899999999998</v>
      </c>
      <c r="K230" s="18">
        <v>40</v>
      </c>
      <c r="L230" s="19">
        <f t="shared" ref="L230:L236" si="4">SUM(F230:K230)</f>
        <v>420644.55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55323.22+13509.49</f>
        <v>68832.710000000006</v>
      </c>
      <c r="G231" s="18">
        <f>891.22+5284.84+4457.03</f>
        <v>10633.09</v>
      </c>
      <c r="H231" s="18">
        <f>14048.08</f>
        <v>14048.08</v>
      </c>
      <c r="I231" s="18">
        <f>1882.25+12989.56+6021.7</f>
        <v>20893.509999999998</v>
      </c>
      <c r="J231" s="18">
        <f>2842.74+2252.2</f>
        <v>5094.9399999999996</v>
      </c>
      <c r="K231" s="18"/>
      <c r="L231" s="19">
        <f t="shared" si="4"/>
        <v>119502.33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155643.84</f>
        <v>155643.84</v>
      </c>
      <c r="G232" s="18">
        <f>72166.08</f>
        <v>72166.080000000002</v>
      </c>
      <c r="H232" s="18">
        <f>67862.48</f>
        <v>67862.48</v>
      </c>
      <c r="I232" s="18">
        <f>28188.07</f>
        <v>28188.07</v>
      </c>
      <c r="J232" s="18">
        <f>320</f>
        <v>320</v>
      </c>
      <c r="K232" s="18">
        <f>1707.51</f>
        <v>1707.51</v>
      </c>
      <c r="L232" s="19">
        <f t="shared" si="4"/>
        <v>325887.98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95229.48+84687.36+62154.68+87631.86</f>
        <v>329703.38</v>
      </c>
      <c r="G233" s="18">
        <f>79277.51+7201.03+24910.9+17131.61+11576.37+6883.1+2813.33</f>
        <v>149793.85</v>
      </c>
      <c r="H233" s="18">
        <f>9958.01+3354.99+2720.7+639.62+6360.46</f>
        <v>23033.78</v>
      </c>
      <c r="I233" s="18"/>
      <c r="J233" s="18"/>
      <c r="K233" s="18"/>
      <c r="L233" s="19">
        <f t="shared" si="4"/>
        <v>502531.01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108695.3+30527.65</f>
        <v>139222.95000000001</v>
      </c>
      <c r="G235" s="18">
        <f>34167.09+2631.31+8105.74+7172.5+10624.16</f>
        <v>62700.799999999988</v>
      </c>
      <c r="H235" s="18">
        <f>423.87+197666.9+27335.81+3375+17128.54+713.84+22197.36+19659.79+1137.6</f>
        <v>289638.70999999996</v>
      </c>
      <c r="I235" s="18">
        <f>15775.35+37398.9+3364.8+47548.59+3080.07+330+12488.54</f>
        <v>119986.25</v>
      </c>
      <c r="J235" s="18">
        <f>3739.82+24217.88+8042.67+7562.32</f>
        <v>43562.69</v>
      </c>
      <c r="K235" s="18"/>
      <c r="L235" s="19">
        <f t="shared" si="4"/>
        <v>655111.39999999991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68670.6+29619.11+5823.55+234891.45+999.7</f>
        <v>340004.41000000003</v>
      </c>
      <c r="I236" s="18"/>
      <c r="J236" s="18"/>
      <c r="K236" s="18"/>
      <c r="L236" s="19">
        <f t="shared" si="4"/>
        <v>340004.41000000003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f>562.2</f>
        <v>562.20000000000005</v>
      </c>
      <c r="I237" s="18"/>
      <c r="J237" s="18"/>
      <c r="K237" s="18"/>
      <c r="L237" s="19">
        <f>SUM(F237:K237)</f>
        <v>562.20000000000005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3125356.1</v>
      </c>
      <c r="G239" s="41">
        <f>SUM(G225:G238)</f>
        <v>1442765.9000000001</v>
      </c>
      <c r="H239" s="41">
        <f t="shared" si="5"/>
        <v>2088518.39</v>
      </c>
      <c r="I239" s="41">
        <f t="shared" si="5"/>
        <v>292362.21999999997</v>
      </c>
      <c r="J239" s="41">
        <f t="shared" si="5"/>
        <v>124776.52</v>
      </c>
      <c r="K239" s="41">
        <f t="shared" si="5"/>
        <v>12627.94</v>
      </c>
      <c r="L239" s="41">
        <f t="shared" si="5"/>
        <v>7086407.0700000012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9885223.4500000011</v>
      </c>
      <c r="G249" s="41">
        <f t="shared" si="8"/>
        <v>4229919.5300000012</v>
      </c>
      <c r="H249" s="41">
        <f t="shared" si="8"/>
        <v>3599256.51</v>
      </c>
      <c r="I249" s="41">
        <f t="shared" si="8"/>
        <v>821362.10999999987</v>
      </c>
      <c r="J249" s="41">
        <f t="shared" si="8"/>
        <v>286692.98000000004</v>
      </c>
      <c r="K249" s="41">
        <f t="shared" si="8"/>
        <v>18468.919999999998</v>
      </c>
      <c r="L249" s="41">
        <f t="shared" si="8"/>
        <v>18840923.499999996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 t="s">
        <v>310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60000</v>
      </c>
      <c r="L258" s="19">
        <f t="shared" si="9"/>
        <v>60000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60000</v>
      </c>
      <c r="L262" s="41">
        <f t="shared" si="9"/>
        <v>60000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9885223.4500000011</v>
      </c>
      <c r="G263" s="42">
        <f t="shared" si="11"/>
        <v>4229919.5300000012</v>
      </c>
      <c r="H263" s="42">
        <f t="shared" si="11"/>
        <v>3599256.51</v>
      </c>
      <c r="I263" s="42">
        <f t="shared" si="11"/>
        <v>821362.10999999987</v>
      </c>
      <c r="J263" s="42">
        <f t="shared" si="11"/>
        <v>286692.98000000004</v>
      </c>
      <c r="K263" s="42">
        <f t="shared" si="11"/>
        <v>78468.92</v>
      </c>
      <c r="L263" s="42">
        <f t="shared" si="11"/>
        <v>18900923.499999996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5047.18+1372+702.73+57759.82+2030.07</f>
        <v>66911.8</v>
      </c>
      <c r="G268" s="18">
        <f>531.68+111.12+4342.75+1861.82+296.75</f>
        <v>7144.12</v>
      </c>
      <c r="H268" s="18">
        <f>850+325+1609+7679.24+87999.5+16409.79+8300+596.52+85041.13+21330+15495+9439.08+27480+15854.29+227.25+328.25+8300</f>
        <v>307264.05</v>
      </c>
      <c r="I268" s="18">
        <f>1730.15+2452.76+1050+2221.23+4925.2+3998+30+7174.58+8840.34+1000+480+41.55+374+1699.68</f>
        <v>36017.49</v>
      </c>
      <c r="J268" s="18">
        <f>738+28807.06+5855.48+263</f>
        <v>35663.54</v>
      </c>
      <c r="K268" s="18">
        <f>571.68+5306.79+612+208.87</f>
        <v>6699.34</v>
      </c>
      <c r="L268" s="19">
        <f>SUM(F268:K268)</f>
        <v>459700.33999999997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94137.55</v>
      </c>
      <c r="G269" s="18">
        <f>16519.82+396.99</f>
        <v>16916.810000000001</v>
      </c>
      <c r="H269" s="18">
        <f>64468.31+2190.84</f>
        <v>66659.149999999994</v>
      </c>
      <c r="I269" s="18">
        <f>39.06</f>
        <v>39.06</v>
      </c>
      <c r="J269" s="18">
        <f>17912.94+3911.5</f>
        <v>21824.44</v>
      </c>
      <c r="K269" s="18"/>
      <c r="L269" s="19">
        <f>SUM(F269:K269)</f>
        <v>199577.01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24520.8</f>
        <v>24520.799999999999</v>
      </c>
      <c r="I273" s="18"/>
      <c r="J273" s="18"/>
      <c r="K273" s="18"/>
      <c r="L273" s="19">
        <f t="shared" ref="L273:L279" si="12">SUM(F273:K273)</f>
        <v>24520.799999999999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222.41</v>
      </c>
      <c r="I274" s="18"/>
      <c r="J274" s="18"/>
      <c r="K274" s="18"/>
      <c r="L274" s="19">
        <f t="shared" si="12"/>
        <v>222.41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 t="s">
        <v>310</v>
      </c>
      <c r="I278" s="18">
        <v>703.96</v>
      </c>
      <c r="J278" s="18"/>
      <c r="K278" s="18"/>
      <c r="L278" s="19">
        <f t="shared" si="12"/>
        <v>703.96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161049.35</v>
      </c>
      <c r="G282" s="42">
        <f t="shared" si="13"/>
        <v>24060.93</v>
      </c>
      <c r="H282" s="42">
        <f t="shared" si="13"/>
        <v>398666.40999999992</v>
      </c>
      <c r="I282" s="42">
        <f t="shared" si="13"/>
        <v>36760.509999999995</v>
      </c>
      <c r="J282" s="42">
        <f t="shared" si="13"/>
        <v>57487.979999999996</v>
      </c>
      <c r="K282" s="42">
        <f t="shared" si="13"/>
        <v>6699.34</v>
      </c>
      <c r="L282" s="41">
        <f t="shared" si="13"/>
        <v>684724.52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25149+12132.25+955.32</f>
        <v>38236.57</v>
      </c>
      <c r="G306" s="18">
        <f>2928.56+2395.26+973.03+139.64</f>
        <v>6436.49</v>
      </c>
      <c r="H306" s="18">
        <f>4383.8+1815.23+3653.86+40019.36</f>
        <v>49872.25</v>
      </c>
      <c r="I306" s="18">
        <f>3461.51+3376.27</f>
        <v>6837.7800000000007</v>
      </c>
      <c r="J306" s="18">
        <f>3009.47+1107+13556.27+2755.52</f>
        <v>20428.259999999998</v>
      </c>
      <c r="K306" s="18">
        <f>288</f>
        <v>288</v>
      </c>
      <c r="L306" s="19">
        <f>SUM(F306:K306)</f>
        <v>122099.34999999999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44300.02</v>
      </c>
      <c r="G307" s="18">
        <f>7774.04+186.82</f>
        <v>7960.86</v>
      </c>
      <c r="H307" s="18">
        <f>232.61+30338.03+1030.99</f>
        <v>31601.63</v>
      </c>
      <c r="I307" s="18">
        <f>255.27+18.38</f>
        <v>273.65000000000003</v>
      </c>
      <c r="J307" s="18">
        <f>8429.62</f>
        <v>8429.6200000000008</v>
      </c>
      <c r="K307" s="18"/>
      <c r="L307" s="19">
        <f>SUM(F307:K307)</f>
        <v>92565.779999999984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11539.2</f>
        <v>11539.2</v>
      </c>
      <c r="I311" s="18"/>
      <c r="J311" s="18"/>
      <c r="K311" s="18"/>
      <c r="L311" s="19">
        <f t="shared" ref="L311:L317" si="16">SUM(F311:K311)</f>
        <v>11539.2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f>104.67</f>
        <v>104.67</v>
      </c>
      <c r="I312" s="18"/>
      <c r="J312" s="18"/>
      <c r="K312" s="18"/>
      <c r="L312" s="19">
        <f t="shared" si="16"/>
        <v>104.67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 t="s">
        <v>310</v>
      </c>
      <c r="I316" s="18">
        <v>331.27</v>
      </c>
      <c r="J316" s="18">
        <v>39650</v>
      </c>
      <c r="K316" s="18"/>
      <c r="L316" s="19">
        <f t="shared" si="16"/>
        <v>39981.269999999997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82536.59</v>
      </c>
      <c r="G320" s="42">
        <f t="shared" si="17"/>
        <v>14397.349999999999</v>
      </c>
      <c r="H320" s="42">
        <f t="shared" si="17"/>
        <v>93117.75</v>
      </c>
      <c r="I320" s="42">
        <f t="shared" si="17"/>
        <v>7442.7000000000007</v>
      </c>
      <c r="J320" s="42">
        <f t="shared" si="17"/>
        <v>68507.88</v>
      </c>
      <c r="K320" s="42">
        <f t="shared" si="17"/>
        <v>288</v>
      </c>
      <c r="L320" s="41">
        <f t="shared" si="17"/>
        <v>266290.27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243585.94</v>
      </c>
      <c r="G330" s="41">
        <f t="shared" si="20"/>
        <v>38458.28</v>
      </c>
      <c r="H330" s="41">
        <f t="shared" si="20"/>
        <v>491784.15999999992</v>
      </c>
      <c r="I330" s="41">
        <f t="shared" si="20"/>
        <v>44203.209999999992</v>
      </c>
      <c r="J330" s="41">
        <f t="shared" si="20"/>
        <v>125995.86</v>
      </c>
      <c r="K330" s="41">
        <f t="shared" si="20"/>
        <v>6987.34</v>
      </c>
      <c r="L330" s="41">
        <f t="shared" si="20"/>
        <v>951014.79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243585.94</v>
      </c>
      <c r="G344" s="41">
        <f>G330</f>
        <v>38458.28</v>
      </c>
      <c r="H344" s="41">
        <f>H330</f>
        <v>491784.15999999992</v>
      </c>
      <c r="I344" s="41">
        <f>I330</f>
        <v>44203.209999999992</v>
      </c>
      <c r="J344" s="41">
        <f>J330</f>
        <v>125995.86</v>
      </c>
      <c r="K344" s="47">
        <f>K330+K343</f>
        <v>6987.34</v>
      </c>
      <c r="L344" s="41">
        <f>L330+L343</f>
        <v>951014.79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434565.94*0.68</f>
        <v>295504.83920000005</v>
      </c>
      <c r="I350" s="18"/>
      <c r="J350" s="18"/>
      <c r="K350" s="18"/>
      <c r="L350" s="13">
        <f>SUM(F350:K350)</f>
        <v>295504.83920000005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434565.94*0.32</f>
        <v>139061.10080000001</v>
      </c>
      <c r="I352" s="18"/>
      <c r="J352" s="18"/>
      <c r="K352" s="18"/>
      <c r="L352" s="19">
        <f>SUM(F352:K352)</f>
        <v>139061.10080000001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434565.94000000006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434565.94000000006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>
        <v>39650</v>
      </c>
      <c r="K370" s="18"/>
      <c r="L370" s="13">
        <f t="shared" si="23"/>
        <v>39650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>
        <v>8611</v>
      </c>
      <c r="K372" s="18"/>
      <c r="L372" s="13">
        <f t="shared" si="23"/>
        <v>8611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48261</v>
      </c>
      <c r="K374" s="47">
        <f t="shared" si="24"/>
        <v>0</v>
      </c>
      <c r="L374" s="47">
        <f t="shared" si="24"/>
        <v>48261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 t="s">
        <v>310</v>
      </c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 t="s">
        <v>310</v>
      </c>
      <c r="H384" s="18">
        <f>931.05</f>
        <v>931.05</v>
      </c>
      <c r="I384" s="18"/>
      <c r="J384" s="24" t="s">
        <v>312</v>
      </c>
      <c r="K384" s="24" t="s">
        <v>312</v>
      </c>
      <c r="L384" s="56">
        <f t="shared" si="25"/>
        <v>931.05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931.05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931.05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60000</v>
      </c>
      <c r="H392" s="18"/>
      <c r="I392" s="18"/>
      <c r="J392" s="24" t="s">
        <v>312</v>
      </c>
      <c r="K392" s="24" t="s">
        <v>312</v>
      </c>
      <c r="L392" s="56">
        <f t="shared" si="26"/>
        <v>60000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60000</v>
      </c>
      <c r="H400" s="47">
        <f>H385+H393+H399</f>
        <v>931.05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60931.05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 t="s">
        <v>310</v>
      </c>
      <c r="K407" s="18">
        <v>39650</v>
      </c>
      <c r="L407" s="56">
        <f t="shared" si="27"/>
        <v>39650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 t="s">
        <v>310</v>
      </c>
      <c r="K410" s="18">
        <v>8611</v>
      </c>
      <c r="L410" s="56">
        <f t="shared" si="27"/>
        <v>8611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48261</v>
      </c>
      <c r="L411" s="47">
        <f t="shared" si="28"/>
        <v>48261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48261</v>
      </c>
      <c r="L426" s="47">
        <f t="shared" si="32"/>
        <v>48261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604158.57999999996</v>
      </c>
      <c r="G433" s="18"/>
      <c r="H433" s="18"/>
      <c r="I433" s="56">
        <f t="shared" si="33"/>
        <v>604158.57999999996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604158.57999999996</v>
      </c>
      <c r="G438" s="13">
        <f>SUM(G431:G437)</f>
        <v>0</v>
      </c>
      <c r="H438" s="13">
        <f>SUM(H431:H437)</f>
        <v>0</v>
      </c>
      <c r="I438" s="13">
        <f>SUM(I431:I437)</f>
        <v>604158.57999999996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604158.57999999996</v>
      </c>
      <c r="G449" s="18"/>
      <c r="H449" s="18"/>
      <c r="I449" s="56">
        <f>SUM(F449:H449)</f>
        <v>604158.57999999996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604158.57999999996</v>
      </c>
      <c r="G450" s="83">
        <f>SUM(G446:G449)</f>
        <v>0</v>
      </c>
      <c r="H450" s="83">
        <f>SUM(H446:H449)</f>
        <v>0</v>
      </c>
      <c r="I450" s="83">
        <f>SUM(I446:I449)</f>
        <v>604158.57999999996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604158.57999999996</v>
      </c>
      <c r="G451" s="42">
        <f>G444+G450</f>
        <v>0</v>
      </c>
      <c r="H451" s="42">
        <f>H444+H450</f>
        <v>0</v>
      </c>
      <c r="I451" s="42">
        <f>I444+I450</f>
        <v>604158.57999999996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871905.81</v>
      </c>
      <c r="G455" s="18">
        <v>-109.59</v>
      </c>
      <c r="H455" s="18">
        <v>120404.92</v>
      </c>
      <c r="I455" s="18">
        <v>0</v>
      </c>
      <c r="J455" s="18">
        <v>591488.53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19266187.559999999</v>
      </c>
      <c r="G458" s="18">
        <v>435051.49</v>
      </c>
      <c r="H458" s="18">
        <f>780506.36+50620+60604.5+81026.55</f>
        <v>972757.41</v>
      </c>
      <c r="I458" s="18">
        <v>48261</v>
      </c>
      <c r="J458" s="18">
        <v>60931.05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 t="s">
        <v>310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19266187.559999999</v>
      </c>
      <c r="G460" s="53">
        <f>SUM(G458:G459)</f>
        <v>435051.49</v>
      </c>
      <c r="H460" s="53">
        <f>SUM(H458:H459)</f>
        <v>972757.41</v>
      </c>
      <c r="I460" s="53">
        <f>SUM(I458:I459)</f>
        <v>48261</v>
      </c>
      <c r="J460" s="53">
        <f>SUM(J458:J459)</f>
        <v>60931.05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18900923.5</v>
      </c>
      <c r="G462" s="18">
        <v>434565.94</v>
      </c>
      <c r="H462" s="18">
        <f>780506.36+63994.39+52508.7+54005.34</f>
        <v>951014.78999999992</v>
      </c>
      <c r="I462" s="18">
        <v>48261</v>
      </c>
      <c r="J462" s="18">
        <v>48261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18900923.5</v>
      </c>
      <c r="G464" s="53">
        <f>SUM(G462:G463)</f>
        <v>434565.94</v>
      </c>
      <c r="H464" s="53">
        <f>SUM(H462:H463)</f>
        <v>951014.78999999992</v>
      </c>
      <c r="I464" s="53">
        <f>SUM(I462:I463)</f>
        <v>48261</v>
      </c>
      <c r="J464" s="53">
        <f>SUM(J462:J463)</f>
        <v>48261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1237169.8699999973</v>
      </c>
      <c r="G466" s="53">
        <f>(G455+G460)- G464</f>
        <v>375.95999999996275</v>
      </c>
      <c r="H466" s="53">
        <f>(H455+H460)- H464</f>
        <v>142147.54000000015</v>
      </c>
      <c r="I466" s="53">
        <f>(I455+I460)- I464</f>
        <v>0</v>
      </c>
      <c r="J466" s="53">
        <f>(J455+J460)- J464</f>
        <v>604158.58000000007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310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1216585.8</v>
      </c>
      <c r="G511" s="18">
        <v>477812.69</v>
      </c>
      <c r="H511" s="18">
        <v>134662.59</v>
      </c>
      <c r="I511" s="18">
        <v>1649.1</v>
      </c>
      <c r="J511" s="18">
        <v>166.49</v>
      </c>
      <c r="K511" s="18"/>
      <c r="L511" s="88">
        <f>SUM(F511:K511)</f>
        <v>1830876.6700000002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350012.48</v>
      </c>
      <c r="G513" s="18">
        <v>212045.11</v>
      </c>
      <c r="H513" s="18">
        <v>663654.66</v>
      </c>
      <c r="I513" s="18">
        <v>491.4</v>
      </c>
      <c r="J513" s="18"/>
      <c r="K513" s="18"/>
      <c r="L513" s="88">
        <f>SUM(F513:K513)</f>
        <v>1226203.6499999999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1566598.28</v>
      </c>
      <c r="G514" s="108">
        <f t="shared" ref="G514:L514" si="35">SUM(G511:G513)</f>
        <v>689857.8</v>
      </c>
      <c r="H514" s="108">
        <f t="shared" si="35"/>
        <v>798317.25</v>
      </c>
      <c r="I514" s="108">
        <f t="shared" si="35"/>
        <v>2140.5</v>
      </c>
      <c r="J514" s="108">
        <f t="shared" si="35"/>
        <v>166.49</v>
      </c>
      <c r="K514" s="108">
        <f t="shared" si="35"/>
        <v>0</v>
      </c>
      <c r="L514" s="89">
        <f t="shared" si="35"/>
        <v>3057080.3200000003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269159.09999999998</v>
      </c>
      <c r="G516" s="18">
        <v>76852.600000000006</v>
      </c>
      <c r="H516" s="18">
        <v>547541.1</v>
      </c>
      <c r="I516" s="18">
        <v>10796.31</v>
      </c>
      <c r="J516" s="18">
        <v>563.71</v>
      </c>
      <c r="K516" s="18"/>
      <c r="L516" s="88">
        <f>SUM(F516:K516)</f>
        <v>904912.82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126663.1</v>
      </c>
      <c r="G518" s="18">
        <v>36165.93</v>
      </c>
      <c r="H518" s="18">
        <v>257666.4</v>
      </c>
      <c r="I518" s="18">
        <v>5080.6099999999997</v>
      </c>
      <c r="J518" s="18">
        <v>265.27999999999997</v>
      </c>
      <c r="K518" s="18"/>
      <c r="L518" s="88">
        <f>SUM(F518:K518)</f>
        <v>425841.32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395822.19999999995</v>
      </c>
      <c r="G519" s="89">
        <f t="shared" ref="G519:L519" si="36">SUM(G516:G518)</f>
        <v>113018.53</v>
      </c>
      <c r="H519" s="89">
        <f t="shared" si="36"/>
        <v>805207.5</v>
      </c>
      <c r="I519" s="89">
        <f t="shared" si="36"/>
        <v>15876.919999999998</v>
      </c>
      <c r="J519" s="89">
        <f t="shared" si="36"/>
        <v>828.99</v>
      </c>
      <c r="K519" s="89">
        <f t="shared" si="36"/>
        <v>0</v>
      </c>
      <c r="L519" s="89">
        <f t="shared" si="36"/>
        <v>1330754.1399999999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85734.6</v>
      </c>
      <c r="G521" s="18">
        <v>32447.23</v>
      </c>
      <c r="H521" s="18">
        <v>5973.86</v>
      </c>
      <c r="I521" s="18">
        <v>740.38</v>
      </c>
      <c r="J521" s="18"/>
      <c r="K521" s="18"/>
      <c r="L521" s="88">
        <f>SUM(F521:K521)</f>
        <v>124896.07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40345.699999999997</v>
      </c>
      <c r="G523" s="18">
        <v>15269.28</v>
      </c>
      <c r="H523" s="18">
        <v>2811.23</v>
      </c>
      <c r="I523" s="18">
        <v>348.42</v>
      </c>
      <c r="J523" s="18"/>
      <c r="K523" s="18"/>
      <c r="L523" s="88">
        <f>SUM(F523:K523)</f>
        <v>58774.63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126080.3</v>
      </c>
      <c r="G524" s="89">
        <f t="shared" ref="G524:L524" si="37">SUM(G521:G523)</f>
        <v>47716.51</v>
      </c>
      <c r="H524" s="89">
        <f t="shared" si="37"/>
        <v>8785.09</v>
      </c>
      <c r="I524" s="89">
        <f t="shared" si="37"/>
        <v>1088.8</v>
      </c>
      <c r="J524" s="89">
        <f t="shared" si="37"/>
        <v>0</v>
      </c>
      <c r="K524" s="89">
        <f t="shared" si="37"/>
        <v>0</v>
      </c>
      <c r="L524" s="89">
        <f t="shared" si="37"/>
        <v>183670.7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3653.91</v>
      </c>
      <c r="I526" s="18"/>
      <c r="J526" s="18"/>
      <c r="K526" s="18"/>
      <c r="L526" s="88">
        <f>SUM(F526:K526)</f>
        <v>3653.91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1719.49</v>
      </c>
      <c r="I528" s="18"/>
      <c r="J528" s="18"/>
      <c r="K528" s="18"/>
      <c r="L528" s="88">
        <f>SUM(F528:K528)</f>
        <v>1719.49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5373.4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5373.4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208432.39*0.68</f>
        <v>141734.02520000003</v>
      </c>
      <c r="I531" s="18"/>
      <c r="J531" s="18"/>
      <c r="K531" s="18"/>
      <c r="L531" s="88">
        <f>SUM(F531:K531)</f>
        <v>141734.02520000003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208432.39*0.32</f>
        <v>66698.36480000001</v>
      </c>
      <c r="I533" s="18"/>
      <c r="J533" s="18"/>
      <c r="K533" s="18"/>
      <c r="L533" s="88">
        <f>SUM(F533:K533)</f>
        <v>66698.36480000001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208432.39000000004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208432.39000000004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2088500.78</v>
      </c>
      <c r="G535" s="89">
        <f t="shared" ref="G535:L535" si="40">G514+G519+G524+G529+G534</f>
        <v>850592.84000000008</v>
      </c>
      <c r="H535" s="89">
        <f t="shared" si="40"/>
        <v>1826115.6300000001</v>
      </c>
      <c r="I535" s="89">
        <f t="shared" si="40"/>
        <v>19106.219999999998</v>
      </c>
      <c r="J535" s="89">
        <f t="shared" si="40"/>
        <v>995.48</v>
      </c>
      <c r="K535" s="89">
        <f t="shared" si="40"/>
        <v>0</v>
      </c>
      <c r="L535" s="89">
        <f t="shared" si="40"/>
        <v>4785310.95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1830876.6700000002</v>
      </c>
      <c r="G539" s="87">
        <f>L516</f>
        <v>904912.82</v>
      </c>
      <c r="H539" s="87">
        <f>L521</f>
        <v>124896.07</v>
      </c>
      <c r="I539" s="87">
        <f>L526</f>
        <v>3653.91</v>
      </c>
      <c r="J539" s="87">
        <f>L531</f>
        <v>141734.02520000003</v>
      </c>
      <c r="K539" s="87">
        <f>SUM(F539:J539)</f>
        <v>3006073.4952000002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1226203.6499999999</v>
      </c>
      <c r="G541" s="87">
        <f>L518</f>
        <v>425841.32</v>
      </c>
      <c r="H541" s="87">
        <f>L523</f>
        <v>58774.63</v>
      </c>
      <c r="I541" s="87">
        <f>L528</f>
        <v>1719.49</v>
      </c>
      <c r="J541" s="87">
        <f>L533</f>
        <v>66698.36480000001</v>
      </c>
      <c r="K541" s="87">
        <f>SUM(F541:J541)</f>
        <v>1779237.4547999999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3057080.3200000003</v>
      </c>
      <c r="G542" s="89">
        <f t="shared" si="41"/>
        <v>1330754.1399999999</v>
      </c>
      <c r="H542" s="89">
        <f t="shared" si="41"/>
        <v>183670.7</v>
      </c>
      <c r="I542" s="89">
        <f t="shared" si="41"/>
        <v>5373.4</v>
      </c>
      <c r="J542" s="89">
        <f t="shared" si="41"/>
        <v>208432.39000000004</v>
      </c>
      <c r="K542" s="89">
        <f t="shared" si="41"/>
        <v>4785310.95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 t="s">
        <v>310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 t="s">
        <v>310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9154.7099999999991</v>
      </c>
      <c r="I569" s="87">
        <f t="shared" si="46"/>
        <v>9154.7099999999991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123512.95</v>
      </c>
      <c r="I570" s="87">
        <f t="shared" si="46"/>
        <v>123512.95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191947.1*0.68</f>
        <v>130524.02800000002</v>
      </c>
      <c r="G572" s="18"/>
      <c r="H572" s="18">
        <f>191947.1*0.32+530987</f>
        <v>592410.07200000004</v>
      </c>
      <c r="I572" s="87">
        <f t="shared" si="46"/>
        <v>722934.10000000009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4138.5600000000004</v>
      </c>
      <c r="G573" s="18"/>
      <c r="H573" s="18"/>
      <c r="I573" s="87">
        <f t="shared" si="46"/>
        <v>4138.5600000000004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f>446869.75</f>
        <v>446869.75</v>
      </c>
      <c r="I575" s="87">
        <f t="shared" si="46"/>
        <v>446869.75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 t="s">
        <v>310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528728.4*0.68</f>
        <v>359535.31200000003</v>
      </c>
      <c r="I581" s="18"/>
      <c r="J581" s="18">
        <f>528728.4*0.32</f>
        <v>169193.08800000002</v>
      </c>
      <c r="K581" s="104">
        <f t="shared" ref="K581:K587" si="47">SUM(H581:J581)</f>
        <v>528728.4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208432.39*0.68</f>
        <v>141734.02520000003</v>
      </c>
      <c r="I582" s="18"/>
      <c r="J582" s="18">
        <f>208432.39*0.32</f>
        <v>66698.36480000001</v>
      </c>
      <c r="K582" s="104">
        <f t="shared" si="47"/>
        <v>208432.39000000004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68670.3</f>
        <v>68670.3</v>
      </c>
      <c r="K583" s="104">
        <f t="shared" si="47"/>
        <v>68670.3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4211.4</f>
        <v>4211.3999999999996</v>
      </c>
      <c r="I584" s="18"/>
      <c r="J584" s="18">
        <f>29619.11</f>
        <v>29619.11</v>
      </c>
      <c r="K584" s="104">
        <f t="shared" si="47"/>
        <v>33830.51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4424.95+3464.94+8507.98</f>
        <v>16397.87</v>
      </c>
      <c r="I585" s="18"/>
      <c r="J585" s="18">
        <f>5823.55</f>
        <v>5823.55</v>
      </c>
      <c r="K585" s="104">
        <f t="shared" si="47"/>
        <v>22221.42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521878.60720000009</v>
      </c>
      <c r="I588" s="108">
        <f>SUM(I581:I587)</f>
        <v>0</v>
      </c>
      <c r="J588" s="108">
        <f>SUM(J581:J587)</f>
        <v>340004.41279999999</v>
      </c>
      <c r="K588" s="108">
        <f>SUM(K581:K587)</f>
        <v>861883.02000000014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>
        <v>39650</v>
      </c>
      <c r="K593" s="104">
        <f>SUM(H593:J593)</f>
        <v>39650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29539.43+36620.83+29820.89+738+263+3911.5+118510.79</f>
        <v>219404.44</v>
      </c>
      <c r="I594" s="18"/>
      <c r="J594" s="18">
        <f>97864.61+55769.79</f>
        <v>153634.4</v>
      </c>
      <c r="K594" s="104">
        <f>SUM(H594:J594)</f>
        <v>373038.83999999997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219404.44</v>
      </c>
      <c r="I595" s="108">
        <f>SUM(I592:I594)</f>
        <v>0</v>
      </c>
      <c r="J595" s="108">
        <f>SUM(J592:J594)</f>
        <v>193284.4</v>
      </c>
      <c r="K595" s="108">
        <f>SUM(K592:K594)</f>
        <v>412688.83999999997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22441.18</v>
      </c>
      <c r="G601" s="18">
        <v>3012.87</v>
      </c>
      <c r="H601" s="18">
        <v>16621.61</v>
      </c>
      <c r="I601" s="18">
        <v>43.22</v>
      </c>
      <c r="J601" s="18"/>
      <c r="K601" s="18"/>
      <c r="L601" s="88">
        <f>SUM(F601:K601)</f>
        <v>42118.880000000005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10560.55</v>
      </c>
      <c r="G603" s="18">
        <v>1417.82</v>
      </c>
      <c r="H603" s="18">
        <v>7821.93</v>
      </c>
      <c r="I603" s="18">
        <v>20.34</v>
      </c>
      <c r="J603" s="18"/>
      <c r="K603" s="18"/>
      <c r="L603" s="88">
        <f>SUM(F603:K603)</f>
        <v>19820.64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33001.729999999996</v>
      </c>
      <c r="G604" s="108">
        <f t="shared" si="48"/>
        <v>4430.6899999999996</v>
      </c>
      <c r="H604" s="108">
        <f t="shared" si="48"/>
        <v>24443.54</v>
      </c>
      <c r="I604" s="108">
        <f t="shared" si="48"/>
        <v>63.56</v>
      </c>
      <c r="J604" s="108">
        <f t="shared" si="48"/>
        <v>0</v>
      </c>
      <c r="K604" s="108">
        <f t="shared" si="48"/>
        <v>0</v>
      </c>
      <c r="L604" s="89">
        <f t="shared" si="48"/>
        <v>61939.520000000004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1466713.98</v>
      </c>
      <c r="H607" s="109">
        <f>SUM(F44)</f>
        <v>1466713.98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526.89</v>
      </c>
      <c r="H608" s="109">
        <f>SUM(G44)</f>
        <v>526.88999999999942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273889.83999999997</v>
      </c>
      <c r="H609" s="109">
        <f>SUM(H44)</f>
        <v>273889.83999999997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604158.57999999996</v>
      </c>
      <c r="H611" s="109">
        <f>SUM(J44)</f>
        <v>604158.57999999996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1237169.8700000001</v>
      </c>
      <c r="H612" s="109">
        <f>F466</f>
        <v>1237169.8699999973</v>
      </c>
      <c r="I612" s="121" t="s">
        <v>106</v>
      </c>
      <c r="J612" s="109">
        <f t="shared" ref="J612:J645" si="49">G612-H612</f>
        <v>2.7939677238464355E-9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375.96000000000004</v>
      </c>
      <c r="H613" s="109">
        <f>G466</f>
        <v>375.95999999996275</v>
      </c>
      <c r="I613" s="121" t="s">
        <v>108</v>
      </c>
      <c r="J613" s="109">
        <f t="shared" si="49"/>
        <v>3.7289282772690058E-11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142147.54</v>
      </c>
      <c r="H614" s="109">
        <f>H466</f>
        <v>142147.54000000015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604158.57999999996</v>
      </c>
      <c r="H616" s="109">
        <f>J466</f>
        <v>604158.58000000007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19266187.560000002</v>
      </c>
      <c r="H617" s="104">
        <f>SUM(F458)</f>
        <v>19266187.559999999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435051.49</v>
      </c>
      <c r="H618" s="104">
        <f>SUM(G458)</f>
        <v>435051.49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972757.41000000015</v>
      </c>
      <c r="H619" s="104">
        <f>SUM(H458)</f>
        <v>972757.41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48261</v>
      </c>
      <c r="H620" s="104">
        <f>SUM(I458)</f>
        <v>48261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60931.05</v>
      </c>
      <c r="H621" s="104">
        <f>SUM(J458)</f>
        <v>60931.05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18900923.499999996</v>
      </c>
      <c r="H622" s="104">
        <f>SUM(F462)</f>
        <v>18900923.5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951014.79</v>
      </c>
      <c r="H623" s="104">
        <f>SUM(H462)</f>
        <v>951014.78999999992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434565.94000000006</v>
      </c>
      <c r="H625" s="104">
        <f>SUM(G462)</f>
        <v>434565.94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48261</v>
      </c>
      <c r="H626" s="104">
        <f>SUM(I462)</f>
        <v>48261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60931.05</v>
      </c>
      <c r="H627" s="164">
        <f>SUM(J458)</f>
        <v>60931.05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48261</v>
      </c>
      <c r="H628" s="164">
        <f>SUM(J462)</f>
        <v>48261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604158.57999999996</v>
      </c>
      <c r="H629" s="104">
        <f>SUM(F451)</f>
        <v>604158.57999999996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604158.57999999996</v>
      </c>
      <c r="H632" s="104">
        <f>SUM(I451)</f>
        <v>604158.57999999996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931.05</v>
      </c>
      <c r="H634" s="104">
        <f>H400</f>
        <v>931.05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60000</v>
      </c>
      <c r="H635" s="104">
        <f>G400</f>
        <v>60000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60931.05</v>
      </c>
      <c r="H636" s="104">
        <f>L400</f>
        <v>60931.05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861883.02000000014</v>
      </c>
      <c r="H637" s="104">
        <f>L200+L218+L236</f>
        <v>861883.02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412688.83999999997</v>
      </c>
      <c r="H638" s="104">
        <f>(J249+J330)-(J247+J328)</f>
        <v>412688.84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521878.61</v>
      </c>
      <c r="H639" s="104">
        <f>H588</f>
        <v>521878.60720000009</v>
      </c>
      <c r="I639" s="140" t="s">
        <v>412</v>
      </c>
      <c r="J639" s="109">
        <f t="shared" si="49"/>
        <v>2.79999990016222E-3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340004.41000000003</v>
      </c>
      <c r="H641" s="104">
        <f>J588</f>
        <v>340004.41279999999</v>
      </c>
      <c r="I641" s="140" t="s">
        <v>414</v>
      </c>
      <c r="J641" s="109">
        <f t="shared" si="49"/>
        <v>-2.7999999583698809E-3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60000</v>
      </c>
      <c r="H645" s="104">
        <f>K258+K339</f>
        <v>60000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12734745.789199995</v>
      </c>
      <c r="G650" s="19">
        <f>(L221+L301+L351)</f>
        <v>0</v>
      </c>
      <c r="H650" s="19">
        <f>(L239+L320+L352)</f>
        <v>7491758.4408000018</v>
      </c>
      <c r="I650" s="19">
        <f>SUM(F650:H650)</f>
        <v>20226504.229999997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167543.84000000003</v>
      </c>
      <c r="G651" s="19">
        <f>(L351/IF(SUM(L350:L352)=0,1,SUM(L350:L352))*(SUM(G89:G102)))</f>
        <v>0</v>
      </c>
      <c r="H651" s="19">
        <f>(L352/IF(SUM(L350:L352)=0,1,SUM(L350:L352))*(SUM(G89:G102)))</f>
        <v>78844.160000000003</v>
      </c>
      <c r="I651" s="19">
        <f>SUM(F651:H651)</f>
        <v>246388.00000000003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521878.61</v>
      </c>
      <c r="G652" s="19">
        <f>(L218+L298)-(J218+J298)</f>
        <v>0</v>
      </c>
      <c r="H652" s="19">
        <f>(L236+L317)-(J236+J317)</f>
        <v>340004.41000000003</v>
      </c>
      <c r="I652" s="19">
        <f>SUM(F652:H652)</f>
        <v>861883.02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396185.90800000005</v>
      </c>
      <c r="G653" s="200">
        <f>SUM(G565:G577)+SUM(I592:I594)+L602</f>
        <v>0</v>
      </c>
      <c r="H653" s="200">
        <f>SUM(H565:H577)+SUM(J592:J594)+L603</f>
        <v>1385052.5219999999</v>
      </c>
      <c r="I653" s="19">
        <f>SUM(F653:H653)</f>
        <v>1781238.43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11649137.431199994</v>
      </c>
      <c r="G654" s="19">
        <f>G650-SUM(G651:G653)</f>
        <v>0</v>
      </c>
      <c r="H654" s="19">
        <f>H650-SUM(H651:H653)</f>
        <v>5687857.3488000017</v>
      </c>
      <c r="I654" s="19">
        <f>I650-SUM(I651:I653)</f>
        <v>17336994.779999997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902.99</v>
      </c>
      <c r="G655" s="249"/>
      <c r="H655" s="249">
        <v>432.05</v>
      </c>
      <c r="I655" s="19">
        <f>SUM(F655:H655)</f>
        <v>1335.04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12900.63</v>
      </c>
      <c r="G657" s="19" t="e">
        <f>ROUND(G654/G655,2)</f>
        <v>#DIV/0!</v>
      </c>
      <c r="H657" s="19">
        <f>ROUND(H654/H655,2)</f>
        <v>13164.81</v>
      </c>
      <c r="I657" s="19">
        <f>ROUND(I654/I655,2)</f>
        <v>12986.12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-33.299999999999997</v>
      </c>
      <c r="I660" s="19">
        <f>SUM(F660:H660)</f>
        <v>-33.299999999999997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12900.63</v>
      </c>
      <c r="G662" s="19" t="e">
        <f>ROUND((G654+G659)/(G655+G660),2)</f>
        <v>#DIV/0!</v>
      </c>
      <c r="H662" s="19">
        <f>ROUND((H654+H659)/(H655+H660),2)</f>
        <v>14264.22</v>
      </c>
      <c r="I662" s="19">
        <f>ROUND((I654+I659)/(I655+I660),2)</f>
        <v>13318.32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D984-DD7F-41E3-A3AC-904A791044A0}">
  <sheetPr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Mascoma Valley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5313601.17</v>
      </c>
      <c r="C9" s="230">
        <f>'DOE25'!G189+'DOE25'!G207+'DOE25'!G225+'DOE25'!G268+'DOE25'!G287+'DOE25'!G306</f>
        <v>2351436.5200000005</v>
      </c>
    </row>
    <row r="10" spans="1:3" x14ac:dyDescent="0.2">
      <c r="A10" t="s">
        <v>810</v>
      </c>
      <c r="B10" s="241">
        <v>4874424.84</v>
      </c>
      <c r="C10" s="241">
        <v>2124681.4700000002</v>
      </c>
    </row>
    <row r="11" spans="1:3" x14ac:dyDescent="0.2">
      <c r="A11" t="s">
        <v>811</v>
      </c>
      <c r="B11" s="241">
        <v>349222.59</v>
      </c>
      <c r="C11" s="241">
        <v>128226.08</v>
      </c>
    </row>
    <row r="12" spans="1:3" x14ac:dyDescent="0.2">
      <c r="A12" t="s">
        <v>812</v>
      </c>
      <c r="B12" s="241">
        <v>89953.74</v>
      </c>
      <c r="C12" s="241">
        <v>98528.97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5313601.17</v>
      </c>
      <c r="C13" s="232">
        <f>SUM(C10:C12)</f>
        <v>2351436.5200000005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2227175.52</v>
      </c>
      <c r="C18" s="230">
        <f>'DOE25'!G190+'DOE25'!G208+'DOE25'!G226+'DOE25'!G269+'DOE25'!G288+'DOE25'!G307</f>
        <v>878350.05000000016</v>
      </c>
    </row>
    <row r="19" spans="1:3" x14ac:dyDescent="0.2">
      <c r="A19" t="s">
        <v>810</v>
      </c>
      <c r="B19" s="241">
        <f>912275.08</f>
        <v>912275.08</v>
      </c>
      <c r="C19" s="241">
        <f>25880.85+24546.06+34912.46+64891.9+42843.48+6666.44+1194.32+1979.02+3893.34+5262.52+2870.24+1423+468.92+52.81+496+17470.79+8238.37+8265.74+11810.93+12534.64+10098.5+2524.63+8922.92+7546.43+8906.29+12962.49+13917.05+4922+1045.27+715+35</f>
        <v>347297.41</v>
      </c>
    </row>
    <row r="20" spans="1:3" x14ac:dyDescent="0.2">
      <c r="A20" t="s">
        <v>811</v>
      </c>
      <c r="B20" s="241">
        <v>1143978.54</v>
      </c>
      <c r="C20" s="241">
        <f>35037.18+72590.67+20318.58+81596.16+105887.61+3002.12+5872.36+2870.24+7458.22+7109.66+2295.87+5137.06+2374.24+26384.61+17347.51+19741.42+13028.97+6416.76+894.92+9228.27+5752.34+15436.76+13853.46+860.79</f>
        <v>480495.77999999991</v>
      </c>
    </row>
    <row r="21" spans="1:3" x14ac:dyDescent="0.2">
      <c r="A21" t="s">
        <v>812</v>
      </c>
      <c r="B21" s="241">
        <f>85036.9+41043.4+16047.17+28794.43</f>
        <v>170921.9</v>
      </c>
      <c r="C21" s="241">
        <f>24663.68+1979.02+9485.62+11549+2879.54</f>
        <v>50556.86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2227175.52</v>
      </c>
      <c r="C22" s="232">
        <f>SUM(C19:C21)</f>
        <v>878350.04999999993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69397.95</v>
      </c>
      <c r="C36" s="236">
        <f>'DOE25'!G192+'DOE25'!G210+'DOE25'!G228+'DOE25'!G271+'DOE25'!G290+'DOE25'!G309</f>
        <v>6835.01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69397.95</f>
        <v>69397.95</v>
      </c>
      <c r="C39" s="241">
        <f>5308.94+1526.07</f>
        <v>6835.0099999999993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69397.95</v>
      </c>
      <c r="C40" s="232">
        <f>SUM(C37:C39)</f>
        <v>6835.0099999999993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BCD4-BD82-49E3-8EF7-7309FE5481F7}">
  <sheetPr>
    <tabColor indexed="11"/>
  </sheetPr>
  <dimension ref="A1:I51"/>
  <sheetViews>
    <sheetView workbookViewId="0">
      <pane ySplit="4" topLeftCell="A14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Mascoma Valley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12481520.17</v>
      </c>
      <c r="D5" s="20">
        <f>SUM('DOE25'!L189:L192)+SUM('DOE25'!L207:L210)+SUM('DOE25'!L225:L228)-F5-G5</f>
        <v>12291030.92</v>
      </c>
      <c r="E5" s="244"/>
      <c r="F5" s="256">
        <f>SUM('DOE25'!J189:J192)+SUM('DOE25'!J207:J210)+SUM('DOE25'!J225:J228)</f>
        <v>177396.3</v>
      </c>
      <c r="G5" s="53">
        <f>SUM('DOE25'!K189:K192)+SUM('DOE25'!K207:K210)+SUM('DOE25'!K225:K228)</f>
        <v>13092.95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1139511.71</v>
      </c>
      <c r="D6" s="20">
        <f>'DOE25'!L194+'DOE25'!L212+'DOE25'!L230-F6-G6</f>
        <v>1137232.72</v>
      </c>
      <c r="E6" s="244"/>
      <c r="F6" s="256">
        <f>'DOE25'!J194+'DOE25'!J212+'DOE25'!J230</f>
        <v>2238.9899999999998</v>
      </c>
      <c r="G6" s="53">
        <f>'DOE25'!K194+'DOE25'!K212+'DOE25'!K230</f>
        <v>40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426882.79</v>
      </c>
      <c r="D7" s="20">
        <f>'DOE25'!L195+'DOE25'!L213+'DOE25'!L231-F7-G7</f>
        <v>416511.38</v>
      </c>
      <c r="E7" s="244"/>
      <c r="F7" s="256">
        <f>'DOE25'!J195+'DOE25'!J213+'DOE25'!J231</f>
        <v>10371.41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675271.28</v>
      </c>
      <c r="D8" s="244"/>
      <c r="E8" s="20">
        <f>'DOE25'!L196+'DOE25'!L214+'DOE25'!L232-F8-G8-D9-D11</f>
        <v>668935.31000000006</v>
      </c>
      <c r="F8" s="256">
        <f>'DOE25'!J196+'DOE25'!J214+'DOE25'!J232</f>
        <v>1000</v>
      </c>
      <c r="G8" s="53">
        <f>'DOE25'!K196+'DOE25'!K214+'DOE25'!K232</f>
        <v>5335.97</v>
      </c>
      <c r="H8" s="260"/>
    </row>
    <row r="9" spans="1:9" x14ac:dyDescent="0.2">
      <c r="A9" s="32">
        <v>2310</v>
      </c>
      <c r="B9" t="s">
        <v>849</v>
      </c>
      <c r="C9" s="246">
        <f t="shared" si="0"/>
        <v>45395.7</v>
      </c>
      <c r="D9" s="245">
        <v>45395.7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23800</v>
      </c>
      <c r="D10" s="244"/>
      <c r="E10" s="245">
        <v>23800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297732.95</v>
      </c>
      <c r="D11" s="245">
        <v>297732.95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1207090.4300000002</v>
      </c>
      <c r="D12" s="20">
        <f>'DOE25'!L197+'DOE25'!L215+'DOE25'!L233-F12-G12</f>
        <v>1207090.4300000002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1703878.56</v>
      </c>
      <c r="D14" s="20">
        <f>'DOE25'!L199+'DOE25'!L217+'DOE25'!L235-F14-G14</f>
        <v>1608192.28</v>
      </c>
      <c r="E14" s="244"/>
      <c r="F14" s="256">
        <f>'DOE25'!J199+'DOE25'!J217+'DOE25'!J235</f>
        <v>95686.28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861883.02</v>
      </c>
      <c r="D15" s="20">
        <f>'DOE25'!L200+'DOE25'!L218+'DOE25'!L236-F15-G15</f>
        <v>861883.02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1756.89</v>
      </c>
      <c r="D16" s="244"/>
      <c r="E16" s="20">
        <f>'DOE25'!L201+'DOE25'!L219+'DOE25'!L237-F16-G16</f>
        <v>1756.89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434565.94000000006</v>
      </c>
      <c r="D29" s="20">
        <f>'DOE25'!L350+'DOE25'!L351+'DOE25'!L352-'DOE25'!I359-F29-G29</f>
        <v>434565.94000000006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951014.79</v>
      </c>
      <c r="D31" s="20">
        <f>'DOE25'!L282+'DOE25'!L301+'DOE25'!L320+'DOE25'!L325+'DOE25'!L326+'DOE25'!L327-F31-G31</f>
        <v>818031.59000000008</v>
      </c>
      <c r="E31" s="244"/>
      <c r="F31" s="256">
        <f>'DOE25'!J282+'DOE25'!J301+'DOE25'!J320+'DOE25'!J325+'DOE25'!J326+'DOE25'!J327</f>
        <v>125995.86</v>
      </c>
      <c r="G31" s="53">
        <f>'DOE25'!K282+'DOE25'!K301+'DOE25'!K320+'DOE25'!K325+'DOE25'!K326+'DOE25'!K327</f>
        <v>6987.34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19117666.93</v>
      </c>
      <c r="E33" s="247">
        <f>SUM(E5:E31)</f>
        <v>694492.20000000007</v>
      </c>
      <c r="F33" s="247">
        <f>SUM(F5:F31)</f>
        <v>412688.83999999997</v>
      </c>
      <c r="G33" s="247">
        <f>SUM(G5:G31)</f>
        <v>25456.260000000002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694492.20000000007</v>
      </c>
      <c r="E35" s="250"/>
    </row>
    <row r="36" spans="2:8" ht="12" thickTop="1" x14ac:dyDescent="0.2">
      <c r="B36" t="s">
        <v>846</v>
      </c>
      <c r="D36" s="20">
        <f>D33</f>
        <v>19117666.93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A72D-6CD1-4F7F-9B75-D5DCF85C1E4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 Valley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1378958.2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87755.78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604158.57999999996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 t="str">
        <f>'DOE25'!G13</f>
        <v xml:space="preserve"> </v>
      </c>
      <c r="E13" s="95">
        <f>'DOE25'!H13</f>
        <v>273925.23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526.89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 t="str">
        <f>'DOE25'!G17</f>
        <v xml:space="preserve"> </v>
      </c>
      <c r="E17" s="95">
        <f>'DOE25'!H17</f>
        <v>-35.39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1466713.98</v>
      </c>
      <c r="D19" s="41">
        <f>SUM(D9:D18)</f>
        <v>526.89</v>
      </c>
      <c r="E19" s="41">
        <f>SUM(E9:E18)</f>
        <v>273889.83999999997</v>
      </c>
      <c r="F19" s="41">
        <f>SUM(F9:F18)</f>
        <v>0</v>
      </c>
      <c r="G19" s="41">
        <f>SUM(G9:G18)</f>
        <v>604158.57999999996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-43986.53</v>
      </c>
      <c r="E22" s="95">
        <f>'DOE25'!H23</f>
        <v>131742.29999999999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31733.03</v>
      </c>
      <c r="D24" s="95">
        <f>'DOE25'!G25</f>
        <v>37066.6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197811.08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7070.86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229544.11</v>
      </c>
      <c r="D32" s="41">
        <f>SUM(D22:D31)</f>
        <v>150.92999999999938</v>
      </c>
      <c r="E32" s="41">
        <f>SUM(E22:E31)</f>
        <v>131742.29999999999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600732.14</v>
      </c>
      <c r="D40" s="95">
        <f>'DOE25'!G41</f>
        <v>375.96000000000004</v>
      </c>
      <c r="E40" s="95">
        <f>'DOE25'!H41</f>
        <v>142147.54</v>
      </c>
      <c r="F40" s="95">
        <f>'DOE25'!I41</f>
        <v>0</v>
      </c>
      <c r="G40" s="95">
        <f>'DOE25'!J41</f>
        <v>604158.57999999996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611437.73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1237169.8700000001</v>
      </c>
      <c r="D42" s="41">
        <f>SUM(D34:D41)</f>
        <v>375.96000000000004</v>
      </c>
      <c r="E42" s="41">
        <f>SUM(E34:E41)</f>
        <v>142147.54</v>
      </c>
      <c r="F42" s="41">
        <f>SUM(F34:F41)</f>
        <v>0</v>
      </c>
      <c r="G42" s="41">
        <f>SUM(G34:G41)</f>
        <v>604158.57999999996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1466713.98</v>
      </c>
      <c r="D43" s="41">
        <f>D42+D32</f>
        <v>526.88999999999942</v>
      </c>
      <c r="E43" s="41">
        <f>E42+E32</f>
        <v>273889.83999999997</v>
      </c>
      <c r="F43" s="41">
        <f>F42+F32</f>
        <v>0</v>
      </c>
      <c r="G43" s="41">
        <f>G42+G32</f>
        <v>604158.57999999996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11697235.07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816.64</v>
      </c>
      <c r="D49" s="24" t="s">
        <v>312</v>
      </c>
      <c r="E49" s="95">
        <f>'DOE25'!H71</f>
        <v>97874.5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12720.25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931.05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246388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4959.47</v>
      </c>
      <c r="D53" s="95">
        <f>SUM('DOE25'!G90:G102)</f>
        <v>0</v>
      </c>
      <c r="E53" s="95">
        <f>SUM('DOE25'!H90:H102)</f>
        <v>81026.55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18496.36</v>
      </c>
      <c r="D54" s="130">
        <f>SUM(D49:D53)</f>
        <v>246388</v>
      </c>
      <c r="E54" s="130">
        <f>SUM(E49:E53)</f>
        <v>178901.05</v>
      </c>
      <c r="F54" s="130">
        <f>SUM(F49:F53)</f>
        <v>0</v>
      </c>
      <c r="G54" s="130">
        <f>SUM(G49:G53)</f>
        <v>931.05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11715731.43</v>
      </c>
      <c r="D55" s="22">
        <f>D48+D54</f>
        <v>246388</v>
      </c>
      <c r="E55" s="22">
        <f>E48+E54</f>
        <v>178901.05</v>
      </c>
      <c r="F55" s="22">
        <f>F48+F54</f>
        <v>0</v>
      </c>
      <c r="G55" s="22">
        <f>G48+G54</f>
        <v>931.05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4326969.0599999996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2467045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156937.94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6950952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176196.34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86528.18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231690.74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4536.32</v>
      </c>
      <c r="E69" s="95">
        <f>SUM('DOE25'!H123:H127)</f>
        <v>13350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494415.26</v>
      </c>
      <c r="D70" s="130">
        <f>SUM(D64:D69)</f>
        <v>4536.32</v>
      </c>
      <c r="E70" s="130">
        <f>SUM(E64:E69)</f>
        <v>13350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7445367.2599999998</v>
      </c>
      <c r="D73" s="130">
        <f>SUM(D71:D72)+D70+D62</f>
        <v>4536.32</v>
      </c>
      <c r="E73" s="130">
        <f>SUM(E71:E72)+E70+E62</f>
        <v>13350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101580.46</v>
      </c>
      <c r="D80" s="95">
        <f>SUM('DOE25'!G145:G153)</f>
        <v>184127.17</v>
      </c>
      <c r="E80" s="95">
        <f>SUM('DOE25'!H145:H153)</f>
        <v>780506.3600000001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3508.41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105088.87000000001</v>
      </c>
      <c r="D83" s="131">
        <f>SUM(D77:D82)</f>
        <v>184127.17</v>
      </c>
      <c r="E83" s="131">
        <f>SUM(E77:E82)</f>
        <v>780506.3600000001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60000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48261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48261</v>
      </c>
      <c r="G95" s="86">
        <f>SUM(G85:G94)</f>
        <v>60000</v>
      </c>
    </row>
    <row r="96" spans="1:7" ht="12.75" thickTop="1" thickBot="1" x14ac:dyDescent="0.25">
      <c r="A96" s="33" t="s">
        <v>796</v>
      </c>
      <c r="C96" s="86">
        <f>C55+C73+C83+C95</f>
        <v>19266187.559999999</v>
      </c>
      <c r="D96" s="86">
        <f>D55+D73+D83+D95</f>
        <v>435051.49</v>
      </c>
      <c r="E96" s="86">
        <f>E55+E73+E83+E95</f>
        <v>972757.41000000015</v>
      </c>
      <c r="F96" s="86">
        <f>F55+F73+F83+F95</f>
        <v>48261</v>
      </c>
      <c r="G96" s="86">
        <f>G55+G73+G95</f>
        <v>60931.05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8025933.9500000002</v>
      </c>
      <c r="D101" s="24" t="s">
        <v>312</v>
      </c>
      <c r="E101" s="95">
        <f>('DOE25'!L268)+('DOE25'!L287)+('DOE25'!L306)</f>
        <v>581799.68999999994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3878092.3599999994</v>
      </c>
      <c r="D102" s="24" t="s">
        <v>312</v>
      </c>
      <c r="E102" s="95">
        <f>('DOE25'!L269)+('DOE25'!L288)+('DOE25'!L307)</f>
        <v>292142.78999999998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446869.75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130624.11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12481520.169999998</v>
      </c>
      <c r="D107" s="86">
        <f>SUM(D101:D106)</f>
        <v>0</v>
      </c>
      <c r="E107" s="86">
        <f>SUM(E101:E106)</f>
        <v>873942.48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1139511.71</v>
      </c>
      <c r="D110" s="24" t="s">
        <v>312</v>
      </c>
      <c r="E110" s="95">
        <f>+('DOE25'!L273)+('DOE25'!L292)+('DOE25'!L311)</f>
        <v>36060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426882.79</v>
      </c>
      <c r="D111" s="24" t="s">
        <v>312</v>
      </c>
      <c r="E111" s="95">
        <f>+('DOE25'!L274)+('DOE25'!L293)+('DOE25'!L312)</f>
        <v>327.08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1018399.93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1207090.4300000002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1703878.56</v>
      </c>
      <c r="D115" s="24" t="s">
        <v>312</v>
      </c>
      <c r="E115" s="95">
        <f>+('DOE25'!L278)+('DOE25'!L297)+('DOE25'!L316)</f>
        <v>40685.229999999996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861883.02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1756.89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434565.94000000006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6359403.3299999991</v>
      </c>
      <c r="D120" s="86">
        <f>SUM(D110:D119)</f>
        <v>434565.94000000006</v>
      </c>
      <c r="E120" s="86">
        <f>SUM(E110:E119)</f>
        <v>77072.31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48261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48261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931.05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-931.05000000000291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60000</v>
      </c>
      <c r="D136" s="141">
        <f>SUM(D122:D135)</f>
        <v>0</v>
      </c>
      <c r="E136" s="141">
        <f>SUM(E122:E135)</f>
        <v>0</v>
      </c>
      <c r="F136" s="141">
        <f>SUM(F122:F135)</f>
        <v>48261</v>
      </c>
      <c r="G136" s="141">
        <f>SUM(G122:G135)</f>
        <v>48261</v>
      </c>
    </row>
    <row r="137" spans="1:9" ht="12.75" thickTop="1" thickBot="1" x14ac:dyDescent="0.25">
      <c r="A137" s="33" t="s">
        <v>267</v>
      </c>
      <c r="C137" s="86">
        <f>(C107+C120+C136)</f>
        <v>18900923.499999996</v>
      </c>
      <c r="D137" s="86">
        <f>(D107+D120+D136)</f>
        <v>434565.94000000006</v>
      </c>
      <c r="E137" s="86">
        <f>(E107+E120+E136)</f>
        <v>951014.79</v>
      </c>
      <c r="F137" s="86">
        <f>(F107+F120+F136)</f>
        <v>48261</v>
      </c>
      <c r="G137" s="86">
        <f>(G107+G120+G136)</f>
        <v>48261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AF54-8C7B-458C-9EF1-7D8CD47531A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Mascoma Valley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12901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14264</v>
      </c>
    </row>
    <row r="7" spans="1:4" x14ac:dyDescent="0.2">
      <c r="B7" t="s">
        <v>736</v>
      </c>
      <c r="C7" s="179">
        <f>IF('DOE25'!I655+'DOE25'!I660=0,0,ROUND('DOE25'!I662,0))</f>
        <v>13318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8607734</v>
      </c>
      <c r="D10" s="182">
        <f>ROUND((C10/$C$28)*100,1)</f>
        <v>43.1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4170235</v>
      </c>
      <c r="D11" s="182">
        <f>ROUND((C11/$C$28)*100,1)</f>
        <v>20.9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446870</v>
      </c>
      <c r="D12" s="182">
        <f>ROUND((C12/$C$28)*100,1)</f>
        <v>2.2000000000000002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130624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1175572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427210</v>
      </c>
      <c r="D16" s="182">
        <f t="shared" si="0"/>
        <v>2.1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1020157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1207090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1744564</v>
      </c>
      <c r="D20" s="182">
        <f t="shared" si="0"/>
        <v>8.6999999999999993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861883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188178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19980117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48261</v>
      </c>
    </row>
    <row r="30" spans="1:4" x14ac:dyDescent="0.2">
      <c r="B30" s="187" t="s">
        <v>760</v>
      </c>
      <c r="C30" s="180">
        <f>SUM(C28:C29)</f>
        <v>20028378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11697235</v>
      </c>
      <c r="D35" s="182">
        <f t="shared" ref="D35:D40" si="1">ROUND((C35/$C$41)*100,1)</f>
        <v>57.3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198328.53000000305</v>
      </c>
      <c r="D36" s="182">
        <f t="shared" si="1"/>
        <v>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6950952</v>
      </c>
      <c r="D37" s="182">
        <f t="shared" si="1"/>
        <v>34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512302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1069722</v>
      </c>
      <c r="D39" s="182">
        <f t="shared" si="1"/>
        <v>5.2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20428539.530000001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A40-D9E6-4670-B9FF-BCA8DA14AC4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Mascoma Valley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2011-10-19T15:04:27Z</cp:lastPrinted>
  <dcterms:created xsi:type="dcterms:W3CDTF">1997-12-04T19:04:30Z</dcterms:created>
  <dcterms:modified xsi:type="dcterms:W3CDTF">2025-01-10T20:05:57Z</dcterms:modified>
</cp:coreProperties>
</file>