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3FA7BE7-21AB-423D-B931-EA68078F45E2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A72210B7-A068-45A9-B7B1-A3C6937FB39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32" i="1" s="1"/>
  <c r="F128" i="1"/>
  <c r="G113" i="1"/>
  <c r="G132" i="1" s="1"/>
  <c r="G128" i="1"/>
  <c r="H113" i="1"/>
  <c r="H128" i="1"/>
  <c r="H132" i="1"/>
  <c r="I113" i="1"/>
  <c r="I132" i="1" s="1"/>
  <c r="I185" i="1" s="1"/>
  <c r="G620" i="1" s="1"/>
  <c r="J620" i="1" s="1"/>
  <c r="I128" i="1"/>
  <c r="J113" i="1"/>
  <c r="J132" i="1" s="1"/>
  <c r="J185" i="1" s="1"/>
  <c r="J128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E16" i="13" s="1"/>
  <c r="C16" i="13" s="1"/>
  <c r="L237" i="1"/>
  <c r="F5" i="13"/>
  <c r="D5" i="13" s="1"/>
  <c r="G5" i="13"/>
  <c r="L189" i="1"/>
  <c r="L190" i="1"/>
  <c r="L191" i="1"/>
  <c r="C103" i="2" s="1"/>
  <c r="L192" i="1"/>
  <c r="C104" i="2" s="1"/>
  <c r="L207" i="1"/>
  <c r="L208" i="1"/>
  <c r="C11" i="10" s="1"/>
  <c r="L209" i="1"/>
  <c r="L210" i="1"/>
  <c r="L225" i="1"/>
  <c r="L226" i="1"/>
  <c r="L227" i="1"/>
  <c r="L228" i="1"/>
  <c r="F6" i="13"/>
  <c r="G6" i="13"/>
  <c r="G33" i="13" s="1"/>
  <c r="L194" i="1"/>
  <c r="D6" i="13" s="1"/>
  <c r="C6" i="13" s="1"/>
  <c r="L212" i="1"/>
  <c r="L230" i="1"/>
  <c r="L239" i="1" s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L236" i="1"/>
  <c r="G641" i="1" s="1"/>
  <c r="J641" i="1" s="1"/>
  <c r="F17" i="13"/>
  <c r="G17" i="13"/>
  <c r="L243" i="1"/>
  <c r="D17" i="13"/>
  <c r="C17" i="13" s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30" i="1" s="1"/>
  <c r="J344" i="1" s="1"/>
  <c r="J320" i="1"/>
  <c r="K282" i="1"/>
  <c r="K301" i="1"/>
  <c r="K320" i="1"/>
  <c r="G31" i="13"/>
  <c r="L268" i="1"/>
  <c r="L269" i="1"/>
  <c r="L270" i="1"/>
  <c r="L271" i="1"/>
  <c r="L273" i="1"/>
  <c r="E110" i="2" s="1"/>
  <c r="E120" i="2" s="1"/>
  <c r="L274" i="1"/>
  <c r="E111" i="2" s="1"/>
  <c r="L275" i="1"/>
  <c r="L276" i="1"/>
  <c r="L277" i="1"/>
  <c r="L278" i="1"/>
  <c r="L279" i="1"/>
  <c r="L280" i="1"/>
  <c r="L287" i="1"/>
  <c r="L288" i="1"/>
  <c r="L289" i="1"/>
  <c r="L290" i="1"/>
  <c r="E104" i="2" s="1"/>
  <c r="L292" i="1"/>
  <c r="L293" i="1"/>
  <c r="L294" i="1"/>
  <c r="E112" i="2" s="1"/>
  <c r="L295" i="1"/>
  <c r="L296" i="1"/>
  <c r="L297" i="1"/>
  <c r="L298" i="1"/>
  <c r="L299" i="1"/>
  <c r="L306" i="1"/>
  <c r="L307" i="1"/>
  <c r="L308" i="1"/>
  <c r="E103" i="2" s="1"/>
  <c r="L309" i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L253" i="1"/>
  <c r="H25" i="13" s="1"/>
  <c r="L333" i="1"/>
  <c r="L334" i="1"/>
  <c r="L247" i="1"/>
  <c r="C29" i="10" s="1"/>
  <c r="L328" i="1"/>
  <c r="E122" i="2" s="1"/>
  <c r="C11" i="13"/>
  <c r="C10" i="13"/>
  <c r="C9" i="13"/>
  <c r="L353" i="1"/>
  <c r="L354" i="1"/>
  <c r="C27" i="10" s="1"/>
  <c r="B4" i="12"/>
  <c r="B36" i="12"/>
  <c r="C36" i="12"/>
  <c r="A40" i="12" s="1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A22" i="12" s="1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G48" i="2"/>
  <c r="G51" i="2"/>
  <c r="G54" i="2" s="1"/>
  <c r="G53" i="2"/>
  <c r="F2" i="11"/>
  <c r="L603" i="1"/>
  <c r="H653" i="1"/>
  <c r="L602" i="1"/>
  <c r="G653" i="1"/>
  <c r="L601" i="1"/>
  <c r="F653" i="1" s="1"/>
  <c r="I653" i="1" s="1"/>
  <c r="C40" i="10"/>
  <c r="F52" i="1"/>
  <c r="C35" i="10" s="1"/>
  <c r="G52" i="1"/>
  <c r="G104" i="1" s="1"/>
  <c r="H52" i="1"/>
  <c r="E48" i="2" s="1"/>
  <c r="I52" i="1"/>
  <c r="F71" i="1"/>
  <c r="F86" i="1"/>
  <c r="F103" i="1"/>
  <c r="G103" i="1"/>
  <c r="H71" i="1"/>
  <c r="E49" i="2" s="1"/>
  <c r="H86" i="1"/>
  <c r="E50" i="2" s="1"/>
  <c r="H103" i="1"/>
  <c r="I103" i="1"/>
  <c r="I104" i="1"/>
  <c r="J103" i="1"/>
  <c r="J104" i="1"/>
  <c r="F139" i="1"/>
  <c r="F161" i="1" s="1"/>
  <c r="F154" i="1"/>
  <c r="G139" i="1"/>
  <c r="D77" i="2" s="1"/>
  <c r="D83" i="2" s="1"/>
  <c r="G154" i="1"/>
  <c r="H139" i="1"/>
  <c r="H161" i="1" s="1"/>
  <c r="H154" i="1"/>
  <c r="I139" i="1"/>
  <c r="I154" i="1"/>
  <c r="I161" i="1"/>
  <c r="C10" i="10"/>
  <c r="C19" i="10"/>
  <c r="C20" i="10"/>
  <c r="L242" i="1"/>
  <c r="L324" i="1"/>
  <c r="C23" i="10" s="1"/>
  <c r="L246" i="1"/>
  <c r="C25" i="10"/>
  <c r="L260" i="1"/>
  <c r="L261" i="1"/>
  <c r="C26" i="10" s="1"/>
  <c r="L341" i="1"/>
  <c r="E134" i="2" s="1"/>
  <c r="L342" i="1"/>
  <c r="I655" i="1"/>
  <c r="I660" i="1"/>
  <c r="F651" i="1"/>
  <c r="G651" i="1"/>
  <c r="I651" i="1" s="1"/>
  <c r="H651" i="1"/>
  <c r="G652" i="1"/>
  <c r="H652" i="1"/>
  <c r="I659" i="1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/>
  <c r="K539" i="1" s="1"/>
  <c r="L512" i="1"/>
  <c r="F540" i="1"/>
  <c r="L513" i="1"/>
  <c r="L514" i="1" s="1"/>
  <c r="L516" i="1"/>
  <c r="G539" i="1"/>
  <c r="L517" i="1"/>
  <c r="G540" i="1"/>
  <c r="L518" i="1"/>
  <c r="G541" i="1" s="1"/>
  <c r="L521" i="1"/>
  <c r="H539" i="1"/>
  <c r="L522" i="1"/>
  <c r="L524" i="1" s="1"/>
  <c r="L523" i="1"/>
  <c r="H541" i="1"/>
  <c r="L526" i="1"/>
  <c r="I539" i="1"/>
  <c r="L527" i="1"/>
  <c r="I540" i="1" s="1"/>
  <c r="L528" i="1"/>
  <c r="I541" i="1" s="1"/>
  <c r="L531" i="1"/>
  <c r="J539" i="1" s="1"/>
  <c r="L532" i="1"/>
  <c r="J540" i="1"/>
  <c r="L533" i="1"/>
  <c r="L534" i="1" s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D19" i="2" s="1"/>
  <c r="E9" i="2"/>
  <c r="F9" i="2"/>
  <c r="I431" i="1"/>
  <c r="I438" i="1" s="1"/>
  <c r="G632" i="1" s="1"/>
  <c r="J9" i="1"/>
  <c r="C10" i="2"/>
  <c r="D10" i="2"/>
  <c r="E10" i="2"/>
  <c r="F10" i="2"/>
  <c r="I432" i="1"/>
  <c r="J10" i="1"/>
  <c r="G10" i="2"/>
  <c r="C11" i="2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F19" i="2" s="1"/>
  <c r="I434" i="1"/>
  <c r="J13" i="1"/>
  <c r="G13" i="2"/>
  <c r="C14" i="2"/>
  <c r="C19" i="2" s="1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I444" i="1" s="1"/>
  <c r="J23" i="1"/>
  <c r="G22" i="2" s="1"/>
  <c r="G32" i="2" s="1"/>
  <c r="C23" i="2"/>
  <c r="C32" i="2" s="1"/>
  <c r="D23" i="2"/>
  <c r="E23" i="2"/>
  <c r="F23" i="2"/>
  <c r="F32" i="2" s="1"/>
  <c r="I441" i="1"/>
  <c r="J24" i="1"/>
  <c r="G23" i="2"/>
  <c r="C24" i="2"/>
  <c r="D24" i="2"/>
  <c r="E24" i="2"/>
  <c r="E32" i="2" s="1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D32" i="2"/>
  <c r="C34" i="2"/>
  <c r="C42" i="2" s="1"/>
  <c r="C43" i="2" s="1"/>
  <c r="D34" i="2"/>
  <c r="E34" i="2"/>
  <c r="E42" i="2" s="1"/>
  <c r="E43" i="2" s="1"/>
  <c r="F34" i="2"/>
  <c r="C35" i="2"/>
  <c r="D35" i="2"/>
  <c r="E35" i="2"/>
  <c r="F35" i="2"/>
  <c r="C36" i="2"/>
  <c r="D36" i="2"/>
  <c r="E36" i="2"/>
  <c r="F36" i="2"/>
  <c r="F42" i="2" s="1"/>
  <c r="F43" i="2" s="1"/>
  <c r="I446" i="1"/>
  <c r="J37" i="1" s="1"/>
  <c r="C37" i="2"/>
  <c r="D37" i="2"/>
  <c r="E37" i="2"/>
  <c r="F37" i="2"/>
  <c r="I447" i="1"/>
  <c r="J38" i="1"/>
  <c r="G37" i="2" s="1"/>
  <c r="C38" i="2"/>
  <c r="D38" i="2"/>
  <c r="D42" i="2" s="1"/>
  <c r="D43" i="2" s="1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D48" i="2"/>
  <c r="F48" i="2"/>
  <c r="C49" i="2"/>
  <c r="C50" i="2"/>
  <c r="C54" i="2" s="1"/>
  <c r="C51" i="2"/>
  <c r="D51" i="2"/>
  <c r="D54" i="2" s="1"/>
  <c r="D55" i="2" s="1"/>
  <c r="E51" i="2"/>
  <c r="F51" i="2"/>
  <c r="F54" i="2" s="1"/>
  <c r="F55" i="2" s="1"/>
  <c r="D52" i="2"/>
  <c r="C53" i="2"/>
  <c r="D53" i="2"/>
  <c r="E53" i="2"/>
  <c r="F53" i="2"/>
  <c r="C58" i="2"/>
  <c r="C62" i="2" s="1"/>
  <c r="C59" i="2"/>
  <c r="C61" i="2"/>
  <c r="D61" i="2"/>
  <c r="E61" i="2"/>
  <c r="F61" i="2"/>
  <c r="F62" i="2" s="1"/>
  <c r="G61" i="2"/>
  <c r="D62" i="2"/>
  <c r="E62" i="2"/>
  <c r="G62" i="2"/>
  <c r="C64" i="2"/>
  <c r="F64" i="2"/>
  <c r="C65" i="2"/>
  <c r="F65" i="2"/>
  <c r="C66" i="2"/>
  <c r="C70" i="2" s="1"/>
  <c r="C73" i="2" s="1"/>
  <c r="C67" i="2"/>
  <c r="C68" i="2"/>
  <c r="E68" i="2"/>
  <c r="F68" i="2"/>
  <c r="F70" i="2" s="1"/>
  <c r="F73" i="2" s="1"/>
  <c r="C69" i="2"/>
  <c r="D69" i="2"/>
  <c r="E69" i="2"/>
  <c r="E70" i="2" s="1"/>
  <c r="E73" i="2" s="1"/>
  <c r="F69" i="2"/>
  <c r="G69" i="2"/>
  <c r="G70" i="2" s="1"/>
  <c r="G73" i="2" s="1"/>
  <c r="D70" i="2"/>
  <c r="D73" i="2" s="1"/>
  <c r="C71" i="2"/>
  <c r="D71" i="2"/>
  <c r="E71" i="2"/>
  <c r="C72" i="2"/>
  <c r="E72" i="2"/>
  <c r="C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F95" i="2" s="1"/>
  <c r="C86" i="2"/>
  <c r="C95" i="2" s="1"/>
  <c r="F86" i="2"/>
  <c r="D88" i="2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C101" i="2"/>
  <c r="E101" i="2"/>
  <c r="E107" i="2" s="1"/>
  <c r="E102" i="2"/>
  <c r="C105" i="2"/>
  <c r="E105" i="2"/>
  <c r="D107" i="2"/>
  <c r="F107" i="2"/>
  <c r="F137" i="2" s="1"/>
  <c r="G107" i="2"/>
  <c r="C111" i="2"/>
  <c r="E113" i="2"/>
  <c r="C114" i="2"/>
  <c r="E114" i="2"/>
  <c r="C115" i="2"/>
  <c r="E115" i="2"/>
  <c r="E116" i="2"/>
  <c r="E117" i="2"/>
  <c r="D119" i="2"/>
  <c r="D120" i="2" s="1"/>
  <c r="F120" i="2"/>
  <c r="G120" i="2"/>
  <c r="D126" i="2"/>
  <c r="E126" i="2"/>
  <c r="F126" i="2"/>
  <c r="K411" i="1"/>
  <c r="K419" i="1"/>
  <c r="K425" i="1"/>
  <c r="K426" i="1"/>
  <c r="G126" i="2"/>
  <c r="G136" i="2" s="1"/>
  <c r="G137" i="2" s="1"/>
  <c r="L255" i="1"/>
  <c r="C127" i="2"/>
  <c r="L256" i="1"/>
  <c r="C128" i="2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156" i="2" s="1"/>
  <c r="G493" i="1"/>
  <c r="K493" i="1" s="1"/>
  <c r="C156" i="2"/>
  <c r="H493" i="1"/>
  <c r="D156" i="2"/>
  <c r="I493" i="1"/>
  <c r="E156" i="2"/>
  <c r="J493" i="1"/>
  <c r="F156" i="2"/>
  <c r="F19" i="1"/>
  <c r="G19" i="1"/>
  <c r="H19" i="1"/>
  <c r="I19" i="1"/>
  <c r="G610" i="1" s="1"/>
  <c r="F33" i="1"/>
  <c r="G33" i="1"/>
  <c r="H33" i="1"/>
  <c r="I33" i="1"/>
  <c r="I44" i="1" s="1"/>
  <c r="H610" i="1" s="1"/>
  <c r="F43" i="1"/>
  <c r="F44" i="1" s="1"/>
  <c r="H607" i="1" s="1"/>
  <c r="G43" i="1"/>
  <c r="H43" i="1"/>
  <c r="H44" i="1" s="1"/>
  <c r="H609" i="1" s="1"/>
  <c r="J609" i="1" s="1"/>
  <c r="I43" i="1"/>
  <c r="G44" i="1"/>
  <c r="F169" i="1"/>
  <c r="F184" i="1" s="1"/>
  <c r="I169" i="1"/>
  <c r="F175" i="1"/>
  <c r="G175" i="1"/>
  <c r="H175" i="1"/>
  <c r="H184" i="1" s="1"/>
  <c r="I175" i="1"/>
  <c r="J175" i="1"/>
  <c r="F180" i="1"/>
  <c r="G180" i="1"/>
  <c r="H180" i="1"/>
  <c r="I180" i="1"/>
  <c r="G184" i="1"/>
  <c r="I184" i="1"/>
  <c r="J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49" i="1"/>
  <c r="F263" i="1" s="1"/>
  <c r="G249" i="1"/>
  <c r="G263" i="1" s="1"/>
  <c r="H249" i="1"/>
  <c r="H263" i="1" s="1"/>
  <c r="J249" i="1"/>
  <c r="H638" i="1" s="1"/>
  <c r="F282" i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G329" i="1"/>
  <c r="L329" i="1" s="1"/>
  <c r="H329" i="1"/>
  <c r="I329" i="1"/>
  <c r="J329" i="1"/>
  <c r="K329" i="1"/>
  <c r="K330" i="1" s="1"/>
  <c r="K344" i="1" s="1"/>
  <c r="F330" i="1"/>
  <c r="F344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I393" i="1"/>
  <c r="I400" i="1" s="1"/>
  <c r="F399" i="1"/>
  <c r="G399" i="1"/>
  <c r="H399" i="1"/>
  <c r="I399" i="1"/>
  <c r="F400" i="1"/>
  <c r="L405" i="1"/>
  <c r="L411" i="1" s="1"/>
  <c r="L406" i="1"/>
  <c r="L407" i="1"/>
  <c r="L408" i="1"/>
  <c r="L409" i="1"/>
  <c r="L410" i="1"/>
  <c r="F411" i="1"/>
  <c r="G411" i="1"/>
  <c r="G426" i="1" s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F426" i="1" s="1"/>
  <c r="G425" i="1"/>
  <c r="H425" i="1"/>
  <c r="I425" i="1"/>
  <c r="J425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H444" i="1"/>
  <c r="H451" i="1" s="1"/>
  <c r="H631" i="1" s="1"/>
  <c r="F450" i="1"/>
  <c r="G450" i="1"/>
  <c r="H450" i="1"/>
  <c r="F451" i="1"/>
  <c r="F460" i="1"/>
  <c r="G460" i="1"/>
  <c r="G466" i="1" s="1"/>
  <c r="H613" i="1" s="1"/>
  <c r="J613" i="1" s="1"/>
  <c r="H460" i="1"/>
  <c r="H466" i="1" s="1"/>
  <c r="H614" i="1" s="1"/>
  <c r="I460" i="1"/>
  <c r="J460" i="1"/>
  <c r="F464" i="1"/>
  <c r="F466" i="1" s="1"/>
  <c r="H612" i="1" s="1"/>
  <c r="G464" i="1"/>
  <c r="H464" i="1"/>
  <c r="I464" i="1"/>
  <c r="I466" i="1" s="1"/>
  <c r="H615" i="1" s="1"/>
  <c r="J464" i="1"/>
  <c r="J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J535" i="1" s="1"/>
  <c r="K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35" i="1" s="1"/>
  <c r="L529" i="1"/>
  <c r="F534" i="1"/>
  <c r="G534" i="1"/>
  <c r="H534" i="1"/>
  <c r="I534" i="1"/>
  <c r="J534" i="1"/>
  <c r="K534" i="1"/>
  <c r="I535" i="1"/>
  <c r="L547" i="1"/>
  <c r="L550" i="1" s="1"/>
  <c r="L561" i="1" s="1"/>
  <c r="L548" i="1"/>
  <c r="L549" i="1"/>
  <c r="F550" i="1"/>
  <c r="F561" i="1" s="1"/>
  <c r="G550" i="1"/>
  <c r="H550" i="1"/>
  <c r="I550" i="1"/>
  <c r="I561" i="1" s="1"/>
  <c r="J550" i="1"/>
  <c r="J561" i="1" s="1"/>
  <c r="K550" i="1"/>
  <c r="K561" i="1" s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I588" i="1"/>
  <c r="J588" i="1"/>
  <c r="K592" i="1"/>
  <c r="K593" i="1"/>
  <c r="K594" i="1"/>
  <c r="H595" i="1"/>
  <c r="I595" i="1"/>
  <c r="J595" i="1"/>
  <c r="K595" i="1"/>
  <c r="G638" i="1" s="1"/>
  <c r="J638" i="1" s="1"/>
  <c r="F604" i="1"/>
  <c r="G604" i="1"/>
  <c r="H604" i="1"/>
  <c r="I604" i="1"/>
  <c r="J604" i="1"/>
  <c r="K604" i="1"/>
  <c r="L604" i="1"/>
  <c r="G607" i="1"/>
  <c r="G608" i="1"/>
  <c r="H608" i="1"/>
  <c r="J608" i="1"/>
  <c r="G609" i="1"/>
  <c r="G613" i="1"/>
  <c r="G614" i="1"/>
  <c r="J614" i="1" s="1"/>
  <c r="G615" i="1"/>
  <c r="H616" i="1"/>
  <c r="H617" i="1"/>
  <c r="H618" i="1"/>
  <c r="H619" i="1"/>
  <c r="H620" i="1"/>
  <c r="H621" i="1"/>
  <c r="H622" i="1"/>
  <c r="H623" i="1"/>
  <c r="G624" i="1"/>
  <c r="H624" i="1"/>
  <c r="J624" i="1"/>
  <c r="H625" i="1"/>
  <c r="H626" i="1"/>
  <c r="H627" i="1"/>
  <c r="H628" i="1"/>
  <c r="H629" i="1"/>
  <c r="G630" i="1"/>
  <c r="G631" i="1"/>
  <c r="G633" i="1"/>
  <c r="H633" i="1"/>
  <c r="J633" i="1" s="1"/>
  <c r="G634" i="1"/>
  <c r="J634" i="1" s="1"/>
  <c r="G635" i="1"/>
  <c r="J635" i="1" s="1"/>
  <c r="H639" i="1"/>
  <c r="G640" i="1"/>
  <c r="H640" i="1"/>
  <c r="J640" i="1"/>
  <c r="H641" i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 s="1"/>
  <c r="J615" i="1" l="1"/>
  <c r="D96" i="2"/>
  <c r="C36" i="10"/>
  <c r="C133" i="2"/>
  <c r="G636" i="1"/>
  <c r="G621" i="1"/>
  <c r="J621" i="1" s="1"/>
  <c r="G153" i="2"/>
  <c r="L426" i="1"/>
  <c r="G628" i="1" s="1"/>
  <c r="J628" i="1" s="1"/>
  <c r="D137" i="2"/>
  <c r="J43" i="1"/>
  <c r="G36" i="2"/>
  <c r="G42" i="2" s="1"/>
  <c r="G43" i="2" s="1"/>
  <c r="E54" i="2"/>
  <c r="E55" i="2" s="1"/>
  <c r="E96" i="2" s="1"/>
  <c r="C5" i="13"/>
  <c r="J631" i="1"/>
  <c r="C130" i="2"/>
  <c r="L400" i="1"/>
  <c r="E136" i="2"/>
  <c r="J630" i="1"/>
  <c r="E33" i="13"/>
  <c r="D35" i="13" s="1"/>
  <c r="C8" i="13"/>
  <c r="E137" i="2"/>
  <c r="G542" i="1"/>
  <c r="C25" i="13"/>
  <c r="H33" i="13"/>
  <c r="J610" i="1"/>
  <c r="F96" i="2"/>
  <c r="I451" i="1"/>
  <c r="H632" i="1" s="1"/>
  <c r="J632" i="1" s="1"/>
  <c r="J19" i="1"/>
  <c r="G611" i="1" s="1"/>
  <c r="I542" i="1"/>
  <c r="L535" i="1"/>
  <c r="G55" i="2"/>
  <c r="G96" i="2" s="1"/>
  <c r="C38" i="10"/>
  <c r="H637" i="1"/>
  <c r="J637" i="1" s="1"/>
  <c r="K490" i="1"/>
  <c r="C122" i="2"/>
  <c r="C48" i="2"/>
  <c r="C55" i="2" s="1"/>
  <c r="C96" i="2" s="1"/>
  <c r="H104" i="1"/>
  <c r="H185" i="1" s="1"/>
  <c r="G619" i="1" s="1"/>
  <c r="J619" i="1" s="1"/>
  <c r="G625" i="1"/>
  <c r="J625" i="1" s="1"/>
  <c r="I450" i="1"/>
  <c r="J33" i="1"/>
  <c r="C102" i="2"/>
  <c r="C107" i="2" s="1"/>
  <c r="G9" i="2"/>
  <c r="G19" i="2" s="1"/>
  <c r="J541" i="1"/>
  <c r="J542" i="1" s="1"/>
  <c r="L221" i="1"/>
  <c r="G161" i="1"/>
  <c r="G185" i="1" s="1"/>
  <c r="G618" i="1" s="1"/>
  <c r="J618" i="1" s="1"/>
  <c r="F22" i="13"/>
  <c r="C22" i="13" s="1"/>
  <c r="G612" i="1"/>
  <c r="J612" i="1" s="1"/>
  <c r="J263" i="1"/>
  <c r="C113" i="2"/>
  <c r="E77" i="2"/>
  <c r="E83" i="2" s="1"/>
  <c r="F652" i="1"/>
  <c r="I652" i="1" s="1"/>
  <c r="C16" i="10"/>
  <c r="J607" i="1"/>
  <c r="C106" i="2"/>
  <c r="H540" i="1"/>
  <c r="H542" i="1" s="1"/>
  <c r="F541" i="1"/>
  <c r="K541" i="1" s="1"/>
  <c r="C15" i="10"/>
  <c r="L320" i="1"/>
  <c r="H650" i="1" s="1"/>
  <c r="H654" i="1" s="1"/>
  <c r="C18" i="10"/>
  <c r="L203" i="1"/>
  <c r="C17" i="10"/>
  <c r="C112" i="2"/>
  <c r="C24" i="10"/>
  <c r="C13" i="10"/>
  <c r="F104" i="1"/>
  <c r="F185" i="1" s="1"/>
  <c r="G617" i="1" s="1"/>
  <c r="J617" i="1" s="1"/>
  <c r="L301" i="1"/>
  <c r="G639" i="1"/>
  <c r="J639" i="1" s="1"/>
  <c r="C12" i="10"/>
  <c r="L282" i="1"/>
  <c r="C117" i="2"/>
  <c r="L374" i="1"/>
  <c r="G626" i="1" s="1"/>
  <c r="J626" i="1" s="1"/>
  <c r="C116" i="2"/>
  <c r="C110" i="2"/>
  <c r="C21" i="10"/>
  <c r="H657" i="1" l="1"/>
  <c r="H662" i="1"/>
  <c r="C6" i="10" s="1"/>
  <c r="C120" i="2"/>
  <c r="C137" i="2" s="1"/>
  <c r="D17" i="10"/>
  <c r="J636" i="1"/>
  <c r="L249" i="1"/>
  <c r="L263" i="1" s="1"/>
  <c r="G622" i="1" s="1"/>
  <c r="J622" i="1" s="1"/>
  <c r="F650" i="1"/>
  <c r="C136" i="2"/>
  <c r="D31" i="13"/>
  <c r="L330" i="1"/>
  <c r="L344" i="1" s="1"/>
  <c r="G623" i="1" s="1"/>
  <c r="J623" i="1" s="1"/>
  <c r="G650" i="1"/>
  <c r="G654" i="1" s="1"/>
  <c r="C28" i="10"/>
  <c r="J44" i="1"/>
  <c r="H611" i="1" s="1"/>
  <c r="J611" i="1" s="1"/>
  <c r="G616" i="1"/>
  <c r="J616" i="1" s="1"/>
  <c r="D18" i="10"/>
  <c r="C39" i="10"/>
  <c r="D13" i="10"/>
  <c r="H636" i="1"/>
  <c r="G627" i="1"/>
  <c r="J627" i="1" s="1"/>
  <c r="K540" i="1"/>
  <c r="K542" i="1" s="1"/>
  <c r="F33" i="13"/>
  <c r="D24" i="10"/>
  <c r="D21" i="10"/>
  <c r="F542" i="1"/>
  <c r="C31" i="13" l="1"/>
  <c r="D33" i="13"/>
  <c r="D36" i="13" s="1"/>
  <c r="H646" i="1"/>
  <c r="I650" i="1"/>
  <c r="I654" i="1" s="1"/>
  <c r="F654" i="1"/>
  <c r="C30" i="10"/>
  <c r="D20" i="10"/>
  <c r="D19" i="10"/>
  <c r="D10" i="10"/>
  <c r="D22" i="10"/>
  <c r="D23" i="10"/>
  <c r="D11" i="10"/>
  <c r="D26" i="10"/>
  <c r="D25" i="10"/>
  <c r="D27" i="10"/>
  <c r="D39" i="10"/>
  <c r="C41" i="10"/>
  <c r="D12" i="10"/>
  <c r="G662" i="1"/>
  <c r="C5" i="10" s="1"/>
  <c r="G657" i="1"/>
  <c r="D15" i="10"/>
  <c r="D16" i="10"/>
  <c r="D28" i="10" l="1"/>
  <c r="D37" i="10"/>
  <c r="D40" i="10"/>
  <c r="D35" i="10"/>
  <c r="D38" i="10"/>
  <c r="D36" i="10"/>
  <c r="F662" i="1"/>
  <c r="C4" i="10" s="1"/>
  <c r="F657" i="1"/>
  <c r="I662" i="1"/>
  <c r="C7" i="10" s="1"/>
  <c r="I657" i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55D2699-F5EC-4463-A4B3-A000EC27EEA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0493B2F-8209-4032-B6DA-832A6943FC3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88E5D06-0632-45FF-9801-A387AFD7F49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DB9026A-B952-4DDC-972A-8BB30FC19F6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9B7344A-BBBB-4188-807B-3CEEE5225BB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DA35638-8080-43B0-8A05-2FFFC696810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1CEB6DE6-E20A-4ACE-BCA7-391289A1658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88A75EC-8817-4609-B4F9-3BA43A58E45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A13BE78-B6FB-4F64-985D-B230573E7CD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C0BED57-065F-4EEF-8116-0AEC1B3453F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E37D138-C2E5-4C12-9573-B626FD12516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782E849-9366-428B-B429-89DFE45B2E9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<sst xmlns="http://schemas.openxmlformats.org/spreadsheetml/2006/main" count="3867" uniqueCount="904">
  <si>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</si>
  <si>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</si>
  <si>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</si>
  <si>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</si>
  <si>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</si>
  <si>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</si>
  <si>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</si>
  <si>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</si>
  <si>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</si>
  <si>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</si>
  <si>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</si>
  <si>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</si>
  <si>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</si>
  <si>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</si>
  <si>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</si>
  <si>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</si>
  <si>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</si>
  <si>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</si>
  <si>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</si>
  <si>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</si>
  <si>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</si>
  <si>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</si>
  <si>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</si>
  <si>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</si>
  <si>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</si>
  <si>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</si>
  <si>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</si>
  <si>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</si>
  <si>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</si>
  <si>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</si>
  <si>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</si>
  <si>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</si>
  <si>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</si>
  <si>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</si>
  <si>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</si>
  <si>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</si>
  <si>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</si>
  <si>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</si>
  <si>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</si>
  <si>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</si>
  <si>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</si>
  <si>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</si>
  <si>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</si>
  <si>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</si>
  <si>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</si>
  <si>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</si>
  <si>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</si>
  <si>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</si>
  <si>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</si>
  <si>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</si>
  <si>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</si>
  <si>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</si>
  <si>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</si>
  <si>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</si>
  <si>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</si>
  <si>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</si>
  <si>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</si>
  <si>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</si>
  <si>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</si>
  <si>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</si>
  <si>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</si>
  <si>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</si>
  <si>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</si>
  <si>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</si>
  <si>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</si>
  <si>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</si>
  <si>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</si>
  <si>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</si>
  <si>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</si>
  <si>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</si>
  <si>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</si>
  <si>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</si>
  <si>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</si>
  <si>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</si>
  <si>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</si>
  <si>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</si>
  <si>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</si>
  <si>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</si>
  <si>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</si>
  <si>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</si>
  <si>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</si>
  <si>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</si>
  <si>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</si>
  <si>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</si>
  <si>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</si>
  <si>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</si>
  <si>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</si>
  <si>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</si>
  <si>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</si>
  <si>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</si>
  <si>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</si>
  <si>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</si>
  <si>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</si>
  <si>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</si>
  <si>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</si>
  <si>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</si>
  <si>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</si>
  <si>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</si>
  <si>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</si>
  <si>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</si>
  <si>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</si>
  <si>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</si>
  <si>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</si>
  <si>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</si>
  <si>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</si>
  <si>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</si>
  <si>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</si>
  <si>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</si>
  <si>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</si>
  <si>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</si>
  <si>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</si>
  <si>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</si>
  <si>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</si>
  <si>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</si>
  <si>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</si>
  <si>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</si>
  <si>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</si>
  <si>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</si>
  <si>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</si>
  <si>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</si>
  <si>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</si>
  <si>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</si>
  <si>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</si>
  <si>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</si>
  <si>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</si>
  <si>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</si>
  <si>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</si>
  <si>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</si>
  <si>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</si>
  <si>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</si>
  <si>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</si>
  <si>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</si>
  <si>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</si>
  <si>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</si>
  <si>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</si>
  <si>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</si>
  <si>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</si>
  <si>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</si>
  <si>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</si>
  <si>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</si>
  <si>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</si>
  <si>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</si>
  <si>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</si>
  <si>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</si>
  <si>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</si>
  <si>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</si>
  <si>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</si>
  <si>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</si>
  <si>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</si>
  <si>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</si>
  <si>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</si>
  <si>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</si>
  <si>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</si>
  <si>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</si>
  <si>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</si>
  <si>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</si>
  <si>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</si>
  <si>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</si>
  <si>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</si>
  <si>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</si>
  <si>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</si>
  <si>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</si>
  <si>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</si>
  <si>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</si>
  <si>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</si>
  <si>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</si>
  <si>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</si>
  <si>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</si>
  <si>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</si>
  <si>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</si>
  <si>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</si>
  <si>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</si>
  <si>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</si>
  <si>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</si>
  <si>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</si>
  <si>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</si>
  <si>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</si>
  <si>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</si>
  <si>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</si>
  <si>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</si>
  <si>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</si>
  <si>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</si>
  <si>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</si>
  <si>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</si>
  <si>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</si>
  <si>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</si>
  <si>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</si>
  <si>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</si>
  <si>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</si>
  <si>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</si>
  <si>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</si>
  <si>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</si>
  <si>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</si>
  <si>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</si>
  <si>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</si>
  <si>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</si>
  <si>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</si>
  <si>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</si>
  <si>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</si>
  <si>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</si>
  <si>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</si>
  <si>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</si>
  <si>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</si>
  <si>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</si>
  <si>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</si>
  <si>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</si>
  <si>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</si>
  <si>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</si>
  <si>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</si>
  <si>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</si>
  <si>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</si>
  <si>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</si>
  <si>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</si>
  <si>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</si>
  <si>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</si>
  <si>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</si>
  <si>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</si>
  <si>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</si>
  <si>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</si>
  <si>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</si>
  <si>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</si>
  <si>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</si>
  <si>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</si>
  <si>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</si>
  <si>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</si>
  <si>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</si>
  <si>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</si>
  <si>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</si>
  <si>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</si>
  <si>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</si>
  <si>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</si>
  <si>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</si>
  <si>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</si>
  <si>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</si>
  <si>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</si>
  <si>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</si>
  <si>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</si>
  <si>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</si>
  <si>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</si>
  <si>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</si>
  <si>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</si>
  <si>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</si>
  <si>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</si>
  <si>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</si>
  <si>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</si>
  <si>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</si>
  <si>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</si>
  <si>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</si>
  <si>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</si>
  <si>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</si>
  <si>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</si>
  <si>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</si>
  <si>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</si>
  <si>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</si>
  <si>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</si>
  <si>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</si>
  <si>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</si>
  <si>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</si>
  <si>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</si>
  <si>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</si>
  <si>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</si>
  <si>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</si>
  <si>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</si>
  <si>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</si>
  <si>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</si>
  <si>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</si>
  <si>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</si>
  <si>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</si>
  <si>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</si>
  <si>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</si>
  <si>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</si>
  <si>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</si>
  <si>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</si>
  <si>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</si>
  <si>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</si>
  <si>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</si>
  <si>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</si>
  <si>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</si>
  <si>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</si>
  <si>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</si>
  <si>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</si>
  <si>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</si>
  <si>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</si>
  <si>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</si>
  <si>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</si>
  <si>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</si>
  <si>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</si>
  <si>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</si>
  <si>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</si>
  <si>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</si>
  <si>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</si>
  <si>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</si>
  <si>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</si>
  <si>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</si>
  <si>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</si>
  <si>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</si>
  <si>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</si>
  <si>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</si>
  <si>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</si>
  <si>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</si>
  <si>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</si>
  <si>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</si>
  <si>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</si>
  <si>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</si>
  <si>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</si>
  <si>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</si>
  <si>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</si>
  <si>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</si>
  <si>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</si>
  <si>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</si>
  <si>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</si>
  <si>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</si>
  <si>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</si>
  <si>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</si>
  <si>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</si>
  <si>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</si>
  <si>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</si>
  <si>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</si>
  <si>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</si>
  <si>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</si>
  <si>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</si>
  <si>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</si>
  <si>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</si>
  <si>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</si>
  <si>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</si>
  <si>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</si>
  <si>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</si>
  <si>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</si>
  <si>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</si>
  <si>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</si>
  <si>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</si>
  <si>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</si>
  <si>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</si>
  <si>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</si>
  <si>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</si>
  <si>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</si>
  <si>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</si>
  <si>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</si>
  <si>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</si>
  <si>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</si>
  <si>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</si>
  <si>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</si>
  <si>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</si>
  <si>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</si>
  <si>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</si>
  <si>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</si>
  <si>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</si>
  <si>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</si>
  <si>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</si>
  <si>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</si>
  <si>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</si>
  <si>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</si>
  <si>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</si>
  <si>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</si>
  <si>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</si>
  <si>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</si>
  <si>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</si>
  <si>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</si>
  <si>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</si>
  <si>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</si>
  <si>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</si>
  <si>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</si>
  <si>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</si>
  <si>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</si>
  <si>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</si>
  <si>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</si>
  <si>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</si>
  <si>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</si>
  <si>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</si>
  <si>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</si>
  <si>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</si>
  <si>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</si>
  <si>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</si>
  <si>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</si>
  <si>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</si>
  <si>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</si>
  <si>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</si>
  <si>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</si>
  <si>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</si>
  <si>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</si>
  <si>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</si>
  <si>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</si>
  <si>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</si>
  <si>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</si>
  <si>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</si>
  <si>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</si>
  <si>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</si>
  <si>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</si>
  <si>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</si>
  <si>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</si>
  <si>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</si>
  <si>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</si>
  <si>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</si>
  <si>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</si>
  <si>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</si>
  <si>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</si>
  <si>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</si>
  <si>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</si>
  <si>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</si>
  <si>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</si>
  <si>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</si>
  <si>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</si>
  <si>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</si>
  <si>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</si>
  <si>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</si>
  <si>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</si>
  <si>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</si>
  <si>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</si>
  <si>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</si>
  <si>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</si>
  <si>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</si>
  <si>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</si>
  <si>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</si>
  <si>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</si>
  <si>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</si>
  <si>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</si>
  <si>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</si>
  <si>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</si>
  <si>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</si>
  <si>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</si>
  <si>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</si>
  <si>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</si>
  <si>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</si>
  <si>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</si>
  <si>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</si>
  <si>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</si>
  <si>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</si>
  <si>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</si>
  <si>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</si>
  <si>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</si>
  <si>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</si>
  <si>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</si>
  <si>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</si>
  <si>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</si>
  <si>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</si>
  <si>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</si>
  <si>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</si>
  <si>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</si>
  <si>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</si>
  <si>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</si>
  <si>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</si>
  <si>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</si>
  <si>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</si>
  <si>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</si>
  <si>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</si>
  <si>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</si>
  <si>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</si>
  <si>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</si>
  <si>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</si>
  <si>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</si>
  <si>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</si>
  <si>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</si>
  <si>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</si>
  <si>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</si>
  <si>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</si>
  <si>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</si>
  <si>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</si>
  <si>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</si>
  <si>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</si>
  <si>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</si>
  <si>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</si>
  <si>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</si>
  <si>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</si>
  <si>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</si>
  <si>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</si>
  <si>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</si>
  <si>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</si>
  <si>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</si>
  <si>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</si>
  <si>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</si>
  <si>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</si>
  <si>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</si>
  <si>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</si>
  <si>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</si>
  <si>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</si>
  <si>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</si>
  <si>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</si>
  <si>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</si>
  <si>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</si>
  <si>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</si>
  <si>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</si>
  <si>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</si>
  <si>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</si>
  <si>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</si>
  <si>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</si>
  <si>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</si>
  <si>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</si>
  <si>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</si>
  <si>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</si>
  <si>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</si>
  <si>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</si>
  <si>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</si>
  <si>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</si>
  <si>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</si>
  <si>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</si>
  <si>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</si>
  <si>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</si>
  <si>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</si>
  <si>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</si>
  <si>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</si>
  <si>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</si>
  <si>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</si>
  <si>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</si>
  <si>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</si>
  <si>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</si>
  <si>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</si>
  <si>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</si>
  <si>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</si>
  <si>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</si>
  <si>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</si>
  <si>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</si>
  <si>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</si>
  <si>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</si>
  <si>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</si>
  <si>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</si>
  <si>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</si>
  <si>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</si>
  <si>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</si>
  <si>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</si>
  <si>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</si>
  <si>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</si>
  <si>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</si>
  <si>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</si>
  <si>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</si>
  <si>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</si>
  <si>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</si>
  <si>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</si>
  <si>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</si>
  <si>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</si>
  <si>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</si>
  <si>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</si>
  <si>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</si>
  <si>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</si>
  <si>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</si>
  <si>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</si>
  <si>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</si>
  <si>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</si>
  <si>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</si>
  <si>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</si>
  <si>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</si>
  <si>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</si>
  <si>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</si>
  <si>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</si>
  <si>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</si>
  <si>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</si>
  <si>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</si>
  <si>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</si>
  <si>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</si>
  <si>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</si>
  <si>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</si>
  <si>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</si>
  <si>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</si>
  <si>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</si>
  <si>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</si>
  <si>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</si>
  <si>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</si>
  <si>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</si>
  <si>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</si>
  <si>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</si>
  <si>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</si>
  <si>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</si>
  <si>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</si>
  <si>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</si>
  <si>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</si>
  <si>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</si>
  <si>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</si>
  <si>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</si>
  <si>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</si>
  <si>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</si>
  <si>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</si>
  <si>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</si>
  <si>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</si>
  <si>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</si>
  <si>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</si>
  <si>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</si>
  <si>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</si>
  <si>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</si>
  <si>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</si>
  <si>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</si>
  <si>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</si>
  <si>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</si>
  <si>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</si>
  <si>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</si>
  <si>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</si>
  <si>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</si>
  <si>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</si>
  <si>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</si>
  <si>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</si>
  <si>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</si>
  <si>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</si>
  <si>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</si>
  <si>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</si>
  <si>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</si>
  <si>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</si>
  <si>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</si>
  <si>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</si>
  <si>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</si>
  <si>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</si>
  <si>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</si>
  <si>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</si>
  <si>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</si>
  <si>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</si>
  <si>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</si>
  <si>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</si>
  <si>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</si>
  <si>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</si>
  <si>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</si>
  <si>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</si>
  <si>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</si>
  <si>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</si>
  <si>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</si>
  <si>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</si>
  <si>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</si>
  <si>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</si>
  <si>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</si>
  <si>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</si>
  <si>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</si>
  <si>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</si>
  <si>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</si>
  <si>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</si>
  <si>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</si>
  <si>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</si>
  <si>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</si>
  <si>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</si>
  <si>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</si>
  <si>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</si>
  <si>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</si>
  <si>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</si>
  <si>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</si>
  <si>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</si>
  <si>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</si>
  <si>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</si>
  <si>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</si>
  <si>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</si>
  <si>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</si>
  <si>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</si>
  <si>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</si>
  <si>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</si>
  <si>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</si>
  <si>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</si>
  <si>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</si>
  <si>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</si>
  <si>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</si>
  <si>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</si>
  <si>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</si>
  <si>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</si>
  <si>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</si>
  <si>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</si>
  <si>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</si>
  <si>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</si>
  <si>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</si>
  <si>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</si>
  <si>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</si>
  <si>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</si>
  <si>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</si>
  <si>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</si>
  <si>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</si>
  <si>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</si>
  <si>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</si>
  <si>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</si>
  <si>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</si>
  <si>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</si>
  <si>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</si>
  <si>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</si>
  <si>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</si>
  <si>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</si>
  <si>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</si>
  <si>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</si>
  <si>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</si>
  <si>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</si>
  <si>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</si>
  <si>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</si>
  <si>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</si>
  <si>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</si>
  <si>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</si>
  <si>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</si>
  <si>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</si>
  <si>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</si>
  <si>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</si>
  <si>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</si>
  <si>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</si>
  <si>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</si>
  <si>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</si>
  <si>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</si>
  <si>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</si>
  <si>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</si>
  <si>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</si>
  <si>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</si>
  <si>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</si>
  <si>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</si>
  <si>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</si>
  <si>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</si>
  <si>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</si>
  <si>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</si>
  <si>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</si>
  <si>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</si>
  <si>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</si>
  <si>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</si>
  <si>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</si>
  <si>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</si>
  <si>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</si>
  <si>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</si>
  <si>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</si>
  <si>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</si>
  <si>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</si>
  <si>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</si>
  <si>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</si>
  <si>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</si>
  <si>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</si>
  <si>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</si>
  <si>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</si>
  <si>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</si>
  <si>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</si>
  <si>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</si>
  <si>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</si>
  <si>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</si>
  <si>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</si>
  <si>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</si>
  <si>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</si>
  <si>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</si>
  <si>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</si>
  <si>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</si>
  <si>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</si>
  <si>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</si>
  <si>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</si>
  <si>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</si>
  <si>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</si>
  <si>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</si>
  <si>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</si>
  <si>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</si>
  <si>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</si>
  <si>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</si>
  <si>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</si>
  <si>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</si>
  <si>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</si>
  <si>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</si>
  <si>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</si>
  <si>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</si>
  <si>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</si>
  <si>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</si>
  <si>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</si>
  <si>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</si>
  <si>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</si>
  <si>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</si>
  <si>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</si>
  <si>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</si>
  <si>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</si>
  <si>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</si>
  <si>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</si>
  <si>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</si>
  <si>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</si>
  <si>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</si>
  <si>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</si>
  <si>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</si>
  <si>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</si>
  <si>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</si>
  <si>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</si>
  <si>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</si>
  <si>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</si>
  <si>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</si>
  <si>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</si>
  <si>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</si>
  <si>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</si>
  <si>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</si>
  <si>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</si>
  <si>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</si>
  <si>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</si>
  <si>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</si>
  <si>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</si>
  <si>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</si>
  <si>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</si>
  <si>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</si>
  <si>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</si>
  <si>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</si>
  <si>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</si>
  <si>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</si>
  <si>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</si>
  <si>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</si>
  <si>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</si>
  <si>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</si>
  <si>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</si>
  <si>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</si>
  <si>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</si>
  <si>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</si>
  <si>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</si>
  <si>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</si>
  <si>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</si>
  <si>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</si>
  <si>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</si>
  <si>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</si>
  <si>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</si>
  <si>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</si>
  <si>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</si>
  <si>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</si>
  <si>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</si>
  <si>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</si>
  <si>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</si>
  <si>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</si>
  <si>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</si>
  <si>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</si>
  <si>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</si>
  <si>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</si>
  <si>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</si>
  <si>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</si>
  <si>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</si>
  <si>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</si>
  <si>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</si>
  <si>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</si>
  <si>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</si>
  <si>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</si>
  <si>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</si>
  <si>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</si>
  <si>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</si>
  <si>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</si>
  <si>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</si>
  <si>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</si>
  <si>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</si>
  <si>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</si>
  <si>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</si>
  <si>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</si>
  <si>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</si>
  <si>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</si>
  <si>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</si>
  <si>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</si>
  <si>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</si>
  <si>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</si>
  <si>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</si>
  <si>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</si>
  <si>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</si>
  <si>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</si>
  <si>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</si>
  <si>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</si>
  <si>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</si>
  <si>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</si>
  <si>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</si>
  <si>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</si>
  <si>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</si>
  <si>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</si>
  <si>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</si>
  <si>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</si>
  <si>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</si>
  <si>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</si>
  <si>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</si>
  <si>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</si>
  <si>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</si>
  <si>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</si>
  <si>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</si>
  <si>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</si>
  <si>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</si>
  <si>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</si>
  <si>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</si>
  <si>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</si>
  <si>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</si>
  <si>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</si>
  <si>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</si>
  <si>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</si>
  <si>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</si>
  <si>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</si>
  <si>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</si>
  <si>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</si>
  <si>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</si>
  <si>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</si>
  <si>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</si>
  <si>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</si>
  <si>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</si>
  <si>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</si>
  <si>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</si>
  <si>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</si>
  <si>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</si>
  <si>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</si>
  <si>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</si>
  <si>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</si>
  <si>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</si>
  <si>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</si>
  <si>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</si>
  <si>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</si>
  <si>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</si>
  <si>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</si>
  <si>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</si>
  <si>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</si>
  <si>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</si>
  <si>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</si>
  <si>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</si>
  <si>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</si>
  <si>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</si>
  <si>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</si>
  <si>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</si>
  <si>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</si>
  <si>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</si>
  <si>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</si>
  <si>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</si>
  <si>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</si>
  <si>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</si>
  <si>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</si>
  <si>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2/97</t>
  </si>
  <si>
    <t>2/01</t>
  </si>
  <si>
    <t>2/04</t>
  </si>
  <si>
    <t>07/07</t>
  </si>
  <si>
    <t>8/11</t>
  </si>
  <si>
    <t>8/20</t>
  </si>
  <si>
    <t>8/23</t>
  </si>
  <si>
    <t>07/20</t>
  </si>
  <si>
    <t>Library Fund</t>
  </si>
  <si>
    <t>Merrimack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</si>
</sst>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43" fontId="0" fillId="0" borderId="0" xfId="1" applyFont="1" applyProtection="1">
      <protection locked="0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2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</cellXfs>
  <cellStyles count="2">
    <cellStyle name="Comma" xfId="1" builtinId="3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Documents%20and%20Settings\Matthew.Shevenell\Local%20Settings\Temporary%20Internet%20Files\OLK8A\merimack.xl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5A7C-479F-48C5-9092-1922A11C049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903</v>
      </c>
      <c r="B2" s="21">
        <v>351</v>
      </c>
      <c r="C2" s="21">
        <v>351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1012486.55</v>
      </c>
      <c r="G9" s="18"/>
      <c r="H9" s="18"/>
      <c r="I9" s="18"/>
      <c r="J9" s="67">
        <f>SUM(I431)</f>
        <v>1041302.1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1937.26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1096454.29</v>
      </c>
      <c r="G12" s="18">
        <v>44401.11</v>
      </c>
      <c r="H12" s="18">
        <v>30056.5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161465.82</v>
      </c>
      <c r="G14" s="18">
        <v>48708.18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2272343.92</v>
      </c>
      <c r="G19" s="41">
        <f>SUM(G9:G18)</f>
        <v>93109.290000000008</v>
      </c>
      <c r="H19" s="41">
        <f>SUM(H9:H18)</f>
        <v>30056.5</v>
      </c>
      <c r="I19" s="41">
        <f>SUM(I9:I18)</f>
        <v>0</v>
      </c>
      <c r="J19" s="41">
        <f>SUM(J9:J18)</f>
        <v>1041302.1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260000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172644.41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6999.3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179643.71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260000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93109.29</v>
      </c>
      <c r="H41" s="18">
        <v>30056.5</v>
      </c>
      <c r="I41" s="18"/>
      <c r="J41" s="13">
        <f>SUM(I449)</f>
        <v>781302.1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2092700.21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2092700.21</v>
      </c>
      <c r="G43" s="41">
        <f>SUM(G35:G42)</f>
        <v>93109.29</v>
      </c>
      <c r="H43" s="41">
        <f>SUM(H35:H42)</f>
        <v>30056.5</v>
      </c>
      <c r="I43" s="41">
        <f>SUM(I35:I42)</f>
        <v>0</v>
      </c>
      <c r="J43" s="41">
        <f>SUM(J35:J42)</f>
        <v>781302.1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2272343.92</v>
      </c>
      <c r="G44" s="41">
        <f>G43+G33</f>
        <v>93109.29</v>
      </c>
      <c r="H44" s="41">
        <f>H43+H33</f>
        <v>30056.5</v>
      </c>
      <c r="I44" s="41">
        <f>I43+I33</f>
        <v>0</v>
      </c>
      <c r="J44" s="41">
        <f>J43+J33</f>
        <v>1041302.1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38943385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38943385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16050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46975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25336.57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58397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134335.54999999999</v>
      </c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281094.12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12202.91</v>
      </c>
      <c r="G88" s="18">
        <v>1356</v>
      </c>
      <c r="H88" s="18"/>
      <c r="I88" s="18"/>
      <c r="J88" s="18">
        <v>3405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1162980.49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18734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41570.300000000003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19087.63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91594.840000000011</v>
      </c>
      <c r="G103" s="41">
        <f>SUM(G88:G102)</f>
        <v>1164336.49</v>
      </c>
      <c r="H103" s="41">
        <f>SUM(H88:H102)</f>
        <v>0</v>
      </c>
      <c r="I103" s="41">
        <f>SUM(I88:I102)</f>
        <v>0</v>
      </c>
      <c r="J103" s="41">
        <f>SUM(J88:J102)</f>
        <v>3405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39316073.960000001</v>
      </c>
      <c r="G104" s="41">
        <f>G52+G103</f>
        <v>1164336.49</v>
      </c>
      <c r="H104" s="41">
        <f>H52+H71+H86+H103</f>
        <v>0</v>
      </c>
      <c r="I104" s="41">
        <f>I52+I103</f>
        <v>0</v>
      </c>
      <c r="J104" s="41">
        <f>J52+J103</f>
        <v>3405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10079790.84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6714124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365591.16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17159506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511918.7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1251191.32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7184.39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17261.57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1770294.41</v>
      </c>
      <c r="G128" s="41">
        <f>SUM(G115:G127)</f>
        <v>17261.57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18929800.41</v>
      </c>
      <c r="G132" s="41">
        <f>G113+SUM(G128:G129)</f>
        <v>17261.57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40051.35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40051.35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33898.699999999997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152244.21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196175.66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223521.92000000001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1738926.03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564609.52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564609.52</v>
      </c>
      <c r="G154" s="41">
        <f>SUM(G142:G153)</f>
        <v>223521.92000000001</v>
      </c>
      <c r="H154" s="41">
        <f>SUM(H142:H153)</f>
        <v>2121244.6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604660.87</v>
      </c>
      <c r="G161" s="41">
        <f>G139+G154+SUM(G155:G160)</f>
        <v>223521.92000000001</v>
      </c>
      <c r="H161" s="41">
        <f>H139+H154+SUM(H155:H160)</f>
        <v>2121244.6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260000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260000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260000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59110535.240000002</v>
      </c>
      <c r="G185" s="47">
        <f>G104+G132+G161+G184</f>
        <v>1405119.98</v>
      </c>
      <c r="H185" s="47">
        <f>H104+H132+H161+H184</f>
        <v>2121244.6</v>
      </c>
      <c r="I185" s="47">
        <f>I104+I132+I161+I184</f>
        <v>0</v>
      </c>
      <c r="J185" s="47">
        <f>J104+J132+J184</f>
        <v>3405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7060654.0300000003</v>
      </c>
      <c r="G189" s="18">
        <v>3391195.95</v>
      </c>
      <c r="H189" s="18">
        <v>56429.84</v>
      </c>
      <c r="I189" s="18">
        <v>308373.78000000003</v>
      </c>
      <c r="J189" s="18">
        <v>86645.27</v>
      </c>
      <c r="K189" s="18"/>
      <c r="L189" s="19">
        <f>SUM(F189:K189)</f>
        <v>10903298.869999999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3930460.33</v>
      </c>
      <c r="G190" s="18">
        <v>1893530.04</v>
      </c>
      <c r="H190" s="18">
        <v>631184.25</v>
      </c>
      <c r="I190" s="18">
        <v>24307.27</v>
      </c>
      <c r="J190" s="18"/>
      <c r="K190" s="18"/>
      <c r="L190" s="19">
        <f>SUM(F190:K190)</f>
        <v>6479481.8899999997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>
        <v>4500</v>
      </c>
      <c r="I192" s="18"/>
      <c r="J192" s="18"/>
      <c r="K192" s="18"/>
      <c r="L192" s="19">
        <f>SUM(F192:K192)</f>
        <v>4500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1538298.01</v>
      </c>
      <c r="G194" s="18">
        <v>741087.11</v>
      </c>
      <c r="H194" s="18">
        <v>532907.44999999995</v>
      </c>
      <c r="I194" s="18">
        <v>10837.96</v>
      </c>
      <c r="J194" s="18"/>
      <c r="K194" s="18"/>
      <c r="L194" s="19">
        <f t="shared" ref="L194:L200" si="0">SUM(F194:K194)</f>
        <v>2823130.5300000003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383092.17</v>
      </c>
      <c r="G195" s="18">
        <v>304626.99</v>
      </c>
      <c r="H195" s="18">
        <v>22800.01</v>
      </c>
      <c r="I195" s="18">
        <v>69668.63</v>
      </c>
      <c r="J195" s="18">
        <v>6742.29</v>
      </c>
      <c r="K195" s="18">
        <v>397.11</v>
      </c>
      <c r="L195" s="19">
        <f t="shared" si="0"/>
        <v>787327.2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343699.7</v>
      </c>
      <c r="G196" s="18">
        <v>165580.01999999999</v>
      </c>
      <c r="H196" s="18">
        <v>112131.38</v>
      </c>
      <c r="I196" s="18">
        <v>12432.14</v>
      </c>
      <c r="J196" s="18">
        <v>9704.9599999999991</v>
      </c>
      <c r="K196" s="18">
        <v>12410.97</v>
      </c>
      <c r="L196" s="19">
        <f t="shared" si="0"/>
        <v>655959.16999999993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1027827.52</v>
      </c>
      <c r="G197" s="18">
        <v>513291.9</v>
      </c>
      <c r="H197" s="18">
        <v>85204.72</v>
      </c>
      <c r="I197" s="18">
        <v>10840.69</v>
      </c>
      <c r="J197" s="18">
        <v>3616.96</v>
      </c>
      <c r="K197" s="18">
        <v>7529.57</v>
      </c>
      <c r="L197" s="19">
        <f t="shared" si="0"/>
        <v>1648311.3599999999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122188.79</v>
      </c>
      <c r="G198" s="18">
        <v>58865.41</v>
      </c>
      <c r="H198" s="18">
        <v>89537.22</v>
      </c>
      <c r="I198" s="18"/>
      <c r="J198" s="18"/>
      <c r="K198" s="18">
        <v>3686.04</v>
      </c>
      <c r="L198" s="19">
        <f t="shared" si="0"/>
        <v>274277.46000000002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823743.65</v>
      </c>
      <c r="G199" s="18">
        <v>396844.95</v>
      </c>
      <c r="H199" s="18">
        <v>336562.49</v>
      </c>
      <c r="I199" s="18">
        <v>508877.89</v>
      </c>
      <c r="J199" s="18">
        <v>3302.24</v>
      </c>
      <c r="K199" s="18"/>
      <c r="L199" s="19">
        <f t="shared" si="0"/>
        <v>2069331.22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21476.48</v>
      </c>
      <c r="G200" s="18">
        <v>10346.459999999999</v>
      </c>
      <c r="H200" s="18">
        <v>1076724.6399999999</v>
      </c>
      <c r="I200" s="18"/>
      <c r="J200" s="18"/>
      <c r="K200" s="18"/>
      <c r="L200" s="19">
        <f t="shared" si="0"/>
        <v>1108547.5799999998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41227.68</v>
      </c>
      <c r="G201" s="18">
        <v>19861.759999999998</v>
      </c>
      <c r="H201" s="18"/>
      <c r="I201" s="18"/>
      <c r="J201" s="18"/>
      <c r="K201" s="18"/>
      <c r="L201" s="19">
        <f>SUM(F201:K201)</f>
        <v>61089.440000000002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15292668.359999998</v>
      </c>
      <c r="G203" s="41">
        <f t="shared" si="1"/>
        <v>7495230.5900000008</v>
      </c>
      <c r="H203" s="41">
        <f t="shared" si="1"/>
        <v>2947982</v>
      </c>
      <c r="I203" s="41">
        <f t="shared" si="1"/>
        <v>945338.3600000001</v>
      </c>
      <c r="J203" s="41">
        <f t="shared" si="1"/>
        <v>110011.72</v>
      </c>
      <c r="K203" s="41">
        <f t="shared" si="1"/>
        <v>24023.690000000002</v>
      </c>
      <c r="L203" s="41">
        <f t="shared" si="1"/>
        <v>26815254.719999995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2644407.5499999998</v>
      </c>
      <c r="G207" s="18">
        <v>1303990.3400000001</v>
      </c>
      <c r="H207" s="18">
        <v>18028.23</v>
      </c>
      <c r="I207" s="18">
        <v>59644.19</v>
      </c>
      <c r="J207" s="18">
        <v>7567.94</v>
      </c>
      <c r="K207" s="18"/>
      <c r="L207" s="19">
        <f>SUM(F207:K207)</f>
        <v>4033638.2499999995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1124316.17</v>
      </c>
      <c r="G208" s="18">
        <v>554414.32999999996</v>
      </c>
      <c r="H208" s="18">
        <v>398655.29</v>
      </c>
      <c r="I208" s="18">
        <v>983.31</v>
      </c>
      <c r="J208" s="18"/>
      <c r="K208" s="18"/>
      <c r="L208" s="19">
        <f>SUM(F208:K208)</f>
        <v>2078369.1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38520</v>
      </c>
      <c r="G210" s="18">
        <v>18994.689999999999</v>
      </c>
      <c r="H210" s="18">
        <v>12140</v>
      </c>
      <c r="I210" s="18">
        <v>7857.34</v>
      </c>
      <c r="J210" s="18"/>
      <c r="K210" s="18"/>
      <c r="L210" s="19">
        <f>SUM(F210:K210)</f>
        <v>77512.03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335868</v>
      </c>
      <c r="G212" s="18">
        <v>165620.70000000001</v>
      </c>
      <c r="H212" s="18">
        <v>74004.149999999994</v>
      </c>
      <c r="I212" s="18">
        <v>585.30999999999995</v>
      </c>
      <c r="J212" s="18"/>
      <c r="K212" s="18"/>
      <c r="L212" s="19">
        <f t="shared" ref="L212:L218" si="2">SUM(F212:K212)</f>
        <v>576078.16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127697.39</v>
      </c>
      <c r="G213" s="18">
        <v>102992.3</v>
      </c>
      <c r="H213" s="18">
        <v>7600</v>
      </c>
      <c r="I213" s="18">
        <v>23222.880000000001</v>
      </c>
      <c r="J213" s="18">
        <v>2247.4299999999998</v>
      </c>
      <c r="K213" s="18">
        <v>132.37</v>
      </c>
      <c r="L213" s="19">
        <f t="shared" si="2"/>
        <v>263892.37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114566.57</v>
      </c>
      <c r="G214" s="18">
        <v>56494.2</v>
      </c>
      <c r="H214" s="18">
        <v>37377.129999999997</v>
      </c>
      <c r="I214" s="18">
        <v>4144.04</v>
      </c>
      <c r="J214" s="18">
        <v>3234.98</v>
      </c>
      <c r="K214" s="18">
        <v>4136.99</v>
      </c>
      <c r="L214" s="19">
        <f t="shared" si="2"/>
        <v>219953.91000000003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257244.59</v>
      </c>
      <c r="G215" s="18">
        <v>132893.16</v>
      </c>
      <c r="H215" s="18">
        <v>28192.23</v>
      </c>
      <c r="I215" s="18">
        <v>3519.73</v>
      </c>
      <c r="J215" s="18">
        <v>1701</v>
      </c>
      <c r="K215" s="18">
        <v>3607.4</v>
      </c>
      <c r="L215" s="19">
        <f t="shared" si="2"/>
        <v>427158.11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48717.599999999999</v>
      </c>
      <c r="G216" s="18">
        <v>24023.26</v>
      </c>
      <c r="H216" s="18">
        <v>29845.74</v>
      </c>
      <c r="I216" s="18"/>
      <c r="J216" s="18"/>
      <c r="K216" s="18">
        <v>1228.68</v>
      </c>
      <c r="L216" s="19">
        <f t="shared" si="2"/>
        <v>103815.28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260955.67</v>
      </c>
      <c r="G217" s="18">
        <v>128680.5</v>
      </c>
      <c r="H217" s="18">
        <v>110203.99</v>
      </c>
      <c r="I217" s="18">
        <v>237652.55</v>
      </c>
      <c r="J217" s="18">
        <v>1100.74</v>
      </c>
      <c r="K217" s="18"/>
      <c r="L217" s="19">
        <f t="shared" si="2"/>
        <v>738593.45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7158.82</v>
      </c>
      <c r="G218" s="18">
        <v>3530.1</v>
      </c>
      <c r="H218" s="18">
        <v>434167.64</v>
      </c>
      <c r="I218" s="18"/>
      <c r="J218" s="18"/>
      <c r="K218" s="18"/>
      <c r="L218" s="19">
        <f t="shared" si="2"/>
        <v>444856.56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13742.56</v>
      </c>
      <c r="G219" s="18">
        <v>6776.63</v>
      </c>
      <c r="H219" s="18"/>
      <c r="I219" s="18"/>
      <c r="J219" s="18"/>
      <c r="K219" s="18"/>
      <c r="L219" s="19">
        <f>SUM(F219:K219)</f>
        <v>20519.189999999999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4973194.919999999</v>
      </c>
      <c r="G221" s="41">
        <f>SUM(G207:G220)</f>
        <v>2498410.21</v>
      </c>
      <c r="H221" s="41">
        <f>SUM(H207:H220)</f>
        <v>1150214.3999999999</v>
      </c>
      <c r="I221" s="41">
        <f>SUM(I207:I220)</f>
        <v>337609.35</v>
      </c>
      <c r="J221" s="41">
        <f>SUM(J207:J220)</f>
        <v>15852.089999999998</v>
      </c>
      <c r="K221" s="41">
        <f t="shared" si="3"/>
        <v>9105.44</v>
      </c>
      <c r="L221" s="41">
        <f t="shared" si="3"/>
        <v>8984386.4100000001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5647561.9100000001</v>
      </c>
      <c r="G225" s="18">
        <v>3079391.08</v>
      </c>
      <c r="H225" s="18">
        <v>92753.14</v>
      </c>
      <c r="I225" s="18">
        <v>249581.39</v>
      </c>
      <c r="J225" s="18">
        <v>22443.34</v>
      </c>
      <c r="K225" s="18"/>
      <c r="L225" s="19">
        <f>SUM(F225:K225)</f>
        <v>9091730.8600000013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1897037.28</v>
      </c>
      <c r="G226" s="18">
        <v>1034379.05</v>
      </c>
      <c r="H226" s="18">
        <v>2852246.62</v>
      </c>
      <c r="I226" s="18">
        <v>2212.4499999999998</v>
      </c>
      <c r="J226" s="18"/>
      <c r="K226" s="18"/>
      <c r="L226" s="19">
        <f>SUM(F226:K226)</f>
        <v>5785875.4000000004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42377.18</v>
      </c>
      <c r="I227" s="18"/>
      <c r="J227" s="18"/>
      <c r="K227" s="18"/>
      <c r="L227" s="19">
        <f>SUM(F227:K227)</f>
        <v>42377.18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308733.40999999997</v>
      </c>
      <c r="G228" s="18">
        <v>168340.06</v>
      </c>
      <c r="H228" s="18">
        <v>67419.88</v>
      </c>
      <c r="I228" s="18">
        <v>72284.98</v>
      </c>
      <c r="J228" s="18"/>
      <c r="K228" s="18">
        <v>9813.0400000000009</v>
      </c>
      <c r="L228" s="19">
        <f>SUM(F228:K228)</f>
        <v>626591.37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544731.61</v>
      </c>
      <c r="G230" s="18">
        <v>297020.5</v>
      </c>
      <c r="H230" s="18">
        <v>153926.01</v>
      </c>
      <c r="I230" s="18">
        <v>4449.71</v>
      </c>
      <c r="J230" s="18"/>
      <c r="K230" s="18"/>
      <c r="L230" s="19">
        <f t="shared" ref="L230:L236" si="4">SUM(F230:K230)</f>
        <v>1000127.83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287319.12</v>
      </c>
      <c r="G231" s="18">
        <v>246715.71</v>
      </c>
      <c r="H231" s="18">
        <v>17100</v>
      </c>
      <c r="I231" s="18">
        <v>52251.47</v>
      </c>
      <c r="J231" s="18">
        <v>5056.71</v>
      </c>
      <c r="K231" s="18">
        <v>297.83</v>
      </c>
      <c r="L231" s="19">
        <f t="shared" si="4"/>
        <v>608740.83999999985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257774.77</v>
      </c>
      <c r="G232" s="18">
        <v>140554.34</v>
      </c>
      <c r="H232" s="18">
        <v>84098.54</v>
      </c>
      <c r="I232" s="18">
        <v>9324.1</v>
      </c>
      <c r="J232" s="18">
        <v>7278.71</v>
      </c>
      <c r="K232" s="18">
        <v>9308.23</v>
      </c>
      <c r="L232" s="19">
        <f t="shared" si="4"/>
        <v>508338.68999999994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545288.07999999996</v>
      </c>
      <c r="G233" s="18">
        <v>310919.87</v>
      </c>
      <c r="H233" s="18">
        <v>52778.71</v>
      </c>
      <c r="I233" s="18">
        <v>8663</v>
      </c>
      <c r="J233" s="18"/>
      <c r="K233" s="18">
        <v>36693.019999999997</v>
      </c>
      <c r="L233" s="19">
        <f t="shared" si="4"/>
        <v>954342.67999999993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113549.39</v>
      </c>
      <c r="G234" s="18">
        <v>61913.97</v>
      </c>
      <c r="H234" s="18">
        <v>67152.92</v>
      </c>
      <c r="I234" s="18"/>
      <c r="J234" s="18"/>
      <c r="K234" s="18">
        <v>2764.53</v>
      </c>
      <c r="L234" s="19">
        <f t="shared" si="4"/>
        <v>245380.80999999997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470501.55</v>
      </c>
      <c r="G235" s="18">
        <v>256545.8</v>
      </c>
      <c r="H235" s="18">
        <v>258795.12</v>
      </c>
      <c r="I235" s="18">
        <v>360087.67</v>
      </c>
      <c r="J235" s="18">
        <v>2476.67</v>
      </c>
      <c r="K235" s="18"/>
      <c r="L235" s="19">
        <f t="shared" si="4"/>
        <v>1348406.8099999998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16107.35</v>
      </c>
      <c r="G236" s="18">
        <v>8782.7000000000007</v>
      </c>
      <c r="H236" s="18">
        <v>1318937.8799999999</v>
      </c>
      <c r="I236" s="18"/>
      <c r="J236" s="18"/>
      <c r="K236" s="18"/>
      <c r="L236" s="19">
        <f t="shared" si="4"/>
        <v>1343827.93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30920.76</v>
      </c>
      <c r="G237" s="18">
        <v>16859.86</v>
      </c>
      <c r="H237" s="18"/>
      <c r="I237" s="18"/>
      <c r="J237" s="18"/>
      <c r="K237" s="18"/>
      <c r="L237" s="19">
        <f>SUM(F237:K237)</f>
        <v>47780.619999999995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10119525.23</v>
      </c>
      <c r="G239" s="41">
        <f t="shared" si="5"/>
        <v>5621422.9399999995</v>
      </c>
      <c r="H239" s="41">
        <f t="shared" si="5"/>
        <v>5007586</v>
      </c>
      <c r="I239" s="41">
        <f t="shared" si="5"/>
        <v>758854.77</v>
      </c>
      <c r="J239" s="41">
        <f t="shared" si="5"/>
        <v>37255.43</v>
      </c>
      <c r="K239" s="41">
        <f t="shared" si="5"/>
        <v>58876.649999999994</v>
      </c>
      <c r="L239" s="41">
        <f t="shared" si="5"/>
        <v>21603521.02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7811</v>
      </c>
      <c r="G243" s="18"/>
      <c r="H243" s="18"/>
      <c r="I243" s="18">
        <v>538.26</v>
      </c>
      <c r="J243" s="18"/>
      <c r="K243" s="18"/>
      <c r="L243" s="19">
        <f t="shared" si="6"/>
        <v>8349.26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1062092.21</v>
      </c>
      <c r="I247" s="18"/>
      <c r="J247" s="18"/>
      <c r="K247" s="18"/>
      <c r="L247" s="19">
        <f t="shared" si="6"/>
        <v>1062092.21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7811</v>
      </c>
      <c r="G248" s="41">
        <f t="shared" si="7"/>
        <v>0</v>
      </c>
      <c r="H248" s="41">
        <f t="shared" si="7"/>
        <v>1062092.21</v>
      </c>
      <c r="I248" s="41">
        <f t="shared" si="7"/>
        <v>538.26</v>
      </c>
      <c r="J248" s="41">
        <f t="shared" si="7"/>
        <v>0</v>
      </c>
      <c r="K248" s="41">
        <f t="shared" si="7"/>
        <v>0</v>
      </c>
      <c r="L248" s="41">
        <f>SUM(F248:K248)</f>
        <v>1070441.47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30393199.509999998</v>
      </c>
      <c r="G249" s="41">
        <f t="shared" si="8"/>
        <v>15615063.74</v>
      </c>
      <c r="H249" s="41">
        <f t="shared" si="8"/>
        <v>10167874.609999999</v>
      </c>
      <c r="I249" s="41">
        <f t="shared" si="8"/>
        <v>2042340.74</v>
      </c>
      <c r="J249" s="41">
        <f t="shared" si="8"/>
        <v>163119.24</v>
      </c>
      <c r="K249" s="41">
        <f t="shared" si="8"/>
        <v>92005.78</v>
      </c>
      <c r="L249" s="41">
        <f t="shared" si="8"/>
        <v>58473603.61999999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1385000</v>
      </c>
      <c r="L252" s="19">
        <f>SUM(F252:K252)</f>
        <v>1385000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676891.25</v>
      </c>
      <c r="L253" s="19">
        <f>SUM(F253:K253)</f>
        <v>676891.25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2061891.25</v>
      </c>
      <c r="L262" s="41">
        <f t="shared" si="9"/>
        <v>2061891.25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30393199.509999998</v>
      </c>
      <c r="G263" s="42">
        <f t="shared" si="11"/>
        <v>15615063.74</v>
      </c>
      <c r="H263" s="42">
        <f t="shared" si="11"/>
        <v>10167874.609999999</v>
      </c>
      <c r="I263" s="42">
        <f t="shared" si="11"/>
        <v>2042340.74</v>
      </c>
      <c r="J263" s="42">
        <f t="shared" si="11"/>
        <v>163119.24</v>
      </c>
      <c r="K263" s="42">
        <f t="shared" si="11"/>
        <v>2153897.0299999998</v>
      </c>
      <c r="L263" s="42">
        <f t="shared" si="11"/>
        <v>60535494.86999999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184047.78</v>
      </c>
      <c r="G269" s="18"/>
      <c r="H269" s="18">
        <v>55687.56</v>
      </c>
      <c r="I269" s="18">
        <v>85274.9</v>
      </c>
      <c r="J269" s="18">
        <v>179366.13</v>
      </c>
      <c r="K269" s="18">
        <v>19224.650000000001</v>
      </c>
      <c r="L269" s="19">
        <f>SUM(F269:K269)</f>
        <v>523601.02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440.4</v>
      </c>
      <c r="I271" s="18"/>
      <c r="J271" s="18"/>
      <c r="K271" s="18"/>
      <c r="L271" s="19">
        <f>SUM(F271:K271)</f>
        <v>440.4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24131.67</v>
      </c>
      <c r="G273" s="18"/>
      <c r="H273" s="18">
        <v>264188.65999999997</v>
      </c>
      <c r="I273" s="18">
        <v>511.27</v>
      </c>
      <c r="J273" s="18"/>
      <c r="K273" s="18"/>
      <c r="L273" s="19">
        <f t="shared" ref="L273:L279" si="12">SUM(F273:K273)</f>
        <v>288831.59999999998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33203.949999999997</v>
      </c>
      <c r="G274" s="18">
        <v>6837.81</v>
      </c>
      <c r="H274" s="18">
        <v>41660.43</v>
      </c>
      <c r="I274" s="18">
        <v>13329.13</v>
      </c>
      <c r="J274" s="18"/>
      <c r="K274" s="18"/>
      <c r="L274" s="19">
        <f t="shared" si="12"/>
        <v>95031.32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27127.72</v>
      </c>
      <c r="G278" s="18">
        <v>13902.8</v>
      </c>
      <c r="H278" s="18">
        <v>11338.34</v>
      </c>
      <c r="I278" s="18">
        <v>605.75</v>
      </c>
      <c r="J278" s="18"/>
      <c r="K278" s="18"/>
      <c r="L278" s="19">
        <f t="shared" si="12"/>
        <v>52974.61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268511.12</v>
      </c>
      <c r="G282" s="42">
        <f t="shared" si="13"/>
        <v>20740.61</v>
      </c>
      <c r="H282" s="42">
        <f t="shared" si="13"/>
        <v>373315.39</v>
      </c>
      <c r="I282" s="42">
        <f t="shared" si="13"/>
        <v>99721.05</v>
      </c>
      <c r="J282" s="42">
        <f t="shared" si="13"/>
        <v>179366.13</v>
      </c>
      <c r="K282" s="42">
        <f t="shared" si="13"/>
        <v>19224.650000000001</v>
      </c>
      <c r="L282" s="41">
        <f t="shared" si="13"/>
        <v>960878.95000000007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61349.26</v>
      </c>
      <c r="G288" s="18"/>
      <c r="H288" s="18">
        <v>18562.52</v>
      </c>
      <c r="I288" s="18">
        <v>28424.97</v>
      </c>
      <c r="J288" s="18">
        <v>59788.71</v>
      </c>
      <c r="K288" s="18">
        <v>6408.22</v>
      </c>
      <c r="L288" s="19">
        <f>SUM(F288:K288)</f>
        <v>174533.68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>
        <v>146.80000000000001</v>
      </c>
      <c r="I290" s="18"/>
      <c r="J290" s="18"/>
      <c r="K290" s="18"/>
      <c r="L290" s="19">
        <f>SUM(F290:K290)</f>
        <v>146.80000000000001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8043.89</v>
      </c>
      <c r="G292" s="18"/>
      <c r="H292" s="18">
        <v>88062.88</v>
      </c>
      <c r="I292" s="18">
        <v>170.43</v>
      </c>
      <c r="J292" s="18"/>
      <c r="K292" s="18"/>
      <c r="L292" s="19">
        <f t="shared" ref="L292:L298" si="14">SUM(F292:K292)</f>
        <v>96277.2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11067.99</v>
      </c>
      <c r="G293" s="18">
        <v>2279.27</v>
      </c>
      <c r="H293" s="18">
        <v>13886.81</v>
      </c>
      <c r="I293" s="18">
        <v>4443.04</v>
      </c>
      <c r="J293" s="18"/>
      <c r="K293" s="18"/>
      <c r="L293" s="19">
        <f t="shared" si="14"/>
        <v>31677.11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9042.57</v>
      </c>
      <c r="G297" s="18">
        <v>4634.26</v>
      </c>
      <c r="H297" s="18">
        <v>3779.44</v>
      </c>
      <c r="I297" s="18">
        <v>201.92</v>
      </c>
      <c r="J297" s="18"/>
      <c r="K297" s="18"/>
      <c r="L297" s="19">
        <f t="shared" si="14"/>
        <v>17658.189999999999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89503.710000000021</v>
      </c>
      <c r="G301" s="42">
        <f t="shared" si="15"/>
        <v>6913.5300000000007</v>
      </c>
      <c r="H301" s="42">
        <f t="shared" si="15"/>
        <v>124438.45000000001</v>
      </c>
      <c r="I301" s="42">
        <f t="shared" si="15"/>
        <v>33240.36</v>
      </c>
      <c r="J301" s="42">
        <f t="shared" si="15"/>
        <v>59788.71</v>
      </c>
      <c r="K301" s="42">
        <f t="shared" si="15"/>
        <v>6408.22</v>
      </c>
      <c r="L301" s="41">
        <f t="shared" si="15"/>
        <v>320292.98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138035.84</v>
      </c>
      <c r="G307" s="18"/>
      <c r="H307" s="18">
        <v>41765.67</v>
      </c>
      <c r="I307" s="18">
        <v>63956.17</v>
      </c>
      <c r="J307" s="18">
        <v>134524.59</v>
      </c>
      <c r="K307" s="18">
        <v>14418.48</v>
      </c>
      <c r="L307" s="19">
        <f>SUM(F307:K307)</f>
        <v>392700.75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330.3</v>
      </c>
      <c r="I309" s="18"/>
      <c r="J309" s="18"/>
      <c r="K309" s="18"/>
      <c r="L309" s="19">
        <f>SUM(F309:K309)</f>
        <v>330.3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18098.75</v>
      </c>
      <c r="G311" s="18"/>
      <c r="H311" s="18">
        <v>198141.49</v>
      </c>
      <c r="I311" s="18">
        <v>383.46</v>
      </c>
      <c r="J311" s="18"/>
      <c r="K311" s="18"/>
      <c r="L311" s="19">
        <f t="shared" ref="L311:L317" si="16">SUM(F311:K311)</f>
        <v>216623.69999999998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24902.97</v>
      </c>
      <c r="G312" s="18">
        <v>5128.3500000000004</v>
      </c>
      <c r="H312" s="18">
        <v>31245.33</v>
      </c>
      <c r="I312" s="18">
        <v>9996.85</v>
      </c>
      <c r="J312" s="18"/>
      <c r="K312" s="18"/>
      <c r="L312" s="19">
        <f t="shared" si="16"/>
        <v>71273.5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20345.79</v>
      </c>
      <c r="G316" s="18">
        <v>10427.09</v>
      </c>
      <c r="H316" s="18">
        <v>8503.75</v>
      </c>
      <c r="I316" s="18">
        <v>454.32</v>
      </c>
      <c r="J316" s="18"/>
      <c r="K316" s="18"/>
      <c r="L316" s="19">
        <f t="shared" si="16"/>
        <v>39730.950000000004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201383.35</v>
      </c>
      <c r="G320" s="42">
        <f t="shared" si="17"/>
        <v>15555.44</v>
      </c>
      <c r="H320" s="42">
        <f t="shared" si="17"/>
        <v>279986.53999999998</v>
      </c>
      <c r="I320" s="42">
        <f t="shared" si="17"/>
        <v>74790.8</v>
      </c>
      <c r="J320" s="42">
        <f t="shared" si="17"/>
        <v>134524.59</v>
      </c>
      <c r="K320" s="42">
        <f t="shared" si="17"/>
        <v>14418.48</v>
      </c>
      <c r="L320" s="41">
        <f t="shared" si="17"/>
        <v>720659.2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559398.18000000005</v>
      </c>
      <c r="G330" s="41">
        <f t="shared" si="20"/>
        <v>43209.58</v>
      </c>
      <c r="H330" s="41">
        <f t="shared" si="20"/>
        <v>777740.38</v>
      </c>
      <c r="I330" s="41">
        <f t="shared" si="20"/>
        <v>207752.21000000002</v>
      </c>
      <c r="J330" s="41">
        <f t="shared" si="20"/>
        <v>373679.43</v>
      </c>
      <c r="K330" s="41">
        <f t="shared" si="20"/>
        <v>40051.350000000006</v>
      </c>
      <c r="L330" s="41">
        <f t="shared" si="20"/>
        <v>2001831.1300000001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559398.18000000005</v>
      </c>
      <c r="G344" s="41">
        <f>G330</f>
        <v>43209.58</v>
      </c>
      <c r="H344" s="41">
        <f>H330</f>
        <v>777740.38</v>
      </c>
      <c r="I344" s="41">
        <f>I330</f>
        <v>207752.21000000002</v>
      </c>
      <c r="J344" s="41">
        <f>J330</f>
        <v>373679.43</v>
      </c>
      <c r="K344" s="47">
        <f>K330+K343</f>
        <v>40051.350000000006</v>
      </c>
      <c r="L344" s="41">
        <f>L330+L343</f>
        <v>2001831.1300000001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253035.18</v>
      </c>
      <c r="G350" s="18">
        <v>20418.73</v>
      </c>
      <c r="H350" s="18">
        <v>7568.54</v>
      </c>
      <c r="I350" s="18">
        <v>329971.53999999998</v>
      </c>
      <c r="J350" s="18"/>
      <c r="K350" s="18">
        <v>142.19999999999999</v>
      </c>
      <c r="L350" s="13">
        <f>SUM(F350:K350)</f>
        <v>611136.18999999994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108910.84</v>
      </c>
      <c r="G351" s="18">
        <v>6806.24</v>
      </c>
      <c r="H351" s="18">
        <v>2522.85</v>
      </c>
      <c r="I351" s="18">
        <v>109990.51</v>
      </c>
      <c r="J351" s="18"/>
      <c r="K351" s="18">
        <v>47.4</v>
      </c>
      <c r="L351" s="19">
        <f>SUM(F351:K351)</f>
        <v>228277.84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204020.91</v>
      </c>
      <c r="G352" s="18">
        <v>15314.04</v>
      </c>
      <c r="H352" s="18">
        <v>5676.4</v>
      </c>
      <c r="I352" s="18">
        <v>247478.66</v>
      </c>
      <c r="J352" s="18"/>
      <c r="K352" s="18">
        <v>106.65</v>
      </c>
      <c r="L352" s="19">
        <f>SUM(F352:K352)</f>
        <v>472596.66000000003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565966.93000000005</v>
      </c>
      <c r="G354" s="47">
        <f t="shared" si="22"/>
        <v>42539.01</v>
      </c>
      <c r="H354" s="47">
        <f t="shared" si="22"/>
        <v>15767.789999999999</v>
      </c>
      <c r="I354" s="47">
        <f t="shared" si="22"/>
        <v>687440.71</v>
      </c>
      <c r="J354" s="47">
        <f t="shared" si="22"/>
        <v>0</v>
      </c>
      <c r="K354" s="47">
        <f t="shared" si="22"/>
        <v>296.25</v>
      </c>
      <c r="L354" s="47">
        <f t="shared" si="22"/>
        <v>1312010.69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295974.94</v>
      </c>
      <c r="G359" s="18">
        <v>98658.31</v>
      </c>
      <c r="H359" s="18">
        <v>221981.21</v>
      </c>
      <c r="I359" s="56">
        <f>SUM(F359:H359)</f>
        <v>616614.46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33996.6</v>
      </c>
      <c r="G360" s="63">
        <v>11332.2</v>
      </c>
      <c r="H360" s="63">
        <v>25497.45</v>
      </c>
      <c r="I360" s="56">
        <f>SUM(F360:H360)</f>
        <v>70826.25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329971.53999999998</v>
      </c>
      <c r="G361" s="47">
        <f>SUM(G359:G360)</f>
        <v>109990.51</v>
      </c>
      <c r="H361" s="47">
        <f>SUM(H359:H360)</f>
        <v>247478.66</v>
      </c>
      <c r="I361" s="47">
        <f>SUM(I359:I360)</f>
        <v>687440.71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1000</v>
      </c>
      <c r="I381" s="18"/>
      <c r="J381" s="24" t="s">
        <v>312</v>
      </c>
      <c r="K381" s="24" t="s">
        <v>312</v>
      </c>
      <c r="L381" s="56">
        <f t="shared" si="25"/>
        <v>1000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1000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1000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2405</v>
      </c>
      <c r="I389" s="18"/>
      <c r="J389" s="24" t="s">
        <v>312</v>
      </c>
      <c r="K389" s="24" t="s">
        <v>312</v>
      </c>
      <c r="L389" s="56">
        <f t="shared" si="26"/>
        <v>2405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2405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2405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3405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3405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260000</v>
      </c>
      <c r="L407" s="56">
        <f t="shared" si="27"/>
        <v>260000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260000</v>
      </c>
      <c r="L411" s="47">
        <f t="shared" si="28"/>
        <v>260000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260000</v>
      </c>
      <c r="L426" s="47">
        <f t="shared" si="32"/>
        <v>260000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1041302.1</v>
      </c>
      <c r="G431" s="18"/>
      <c r="H431" s="18"/>
      <c r="I431" s="56">
        <f t="shared" ref="I431:I437" si="33">SUM(F431:H431)</f>
        <v>1041302.1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1041302.1</v>
      </c>
      <c r="G438" s="13">
        <f>SUM(G431:G437)</f>
        <v>0</v>
      </c>
      <c r="H438" s="13">
        <f>SUM(H431:H437)</f>
        <v>0</v>
      </c>
      <c r="I438" s="13">
        <f>SUM(I431:I437)</f>
        <v>1041302.1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260000</v>
      </c>
      <c r="G441" s="18"/>
      <c r="H441" s="18"/>
      <c r="I441" s="56">
        <f>SUM(F441:H441)</f>
        <v>260000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260000</v>
      </c>
      <c r="G444" s="72">
        <f>SUM(G440:G443)</f>
        <v>0</v>
      </c>
      <c r="H444" s="72">
        <f>SUM(H440:H443)</f>
        <v>0</v>
      </c>
      <c r="I444" s="72">
        <f>SUM(I440:I443)</f>
        <v>260000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781302.1</v>
      </c>
      <c r="G449" s="18"/>
      <c r="H449" s="18"/>
      <c r="I449" s="56">
        <f>SUM(F449:H449)</f>
        <v>781302.1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781302.1</v>
      </c>
      <c r="G450" s="83">
        <f>SUM(G446:G449)</f>
        <v>0</v>
      </c>
      <c r="H450" s="83">
        <f>SUM(H446:H449)</f>
        <v>0</v>
      </c>
      <c r="I450" s="83">
        <f>SUM(I446:I449)</f>
        <v>781302.1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1041302.1</v>
      </c>
      <c r="G451" s="42">
        <f>G444+G450</f>
        <v>0</v>
      </c>
      <c r="H451" s="42">
        <f>H444+H450</f>
        <v>0</v>
      </c>
      <c r="I451" s="42">
        <f>I444+I450</f>
        <v>1041302.1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3517659.84</v>
      </c>
      <c r="G455" s="18">
        <v>0</v>
      </c>
      <c r="H455" s="18">
        <v>-89356.97</v>
      </c>
      <c r="I455" s="18"/>
      <c r="J455" s="18">
        <v>1037897.1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59110535.239999995</v>
      </c>
      <c r="G458" s="18">
        <v>1405119.98</v>
      </c>
      <c r="H458" s="18">
        <v>2121244.6</v>
      </c>
      <c r="I458" s="18"/>
      <c r="J458" s="18">
        <v>3405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59110535.239999995</v>
      </c>
      <c r="G460" s="53">
        <f>SUM(G458:G459)</f>
        <v>1405119.98</v>
      </c>
      <c r="H460" s="53">
        <f>SUM(H458:H459)</f>
        <v>2121244.6</v>
      </c>
      <c r="I460" s="53">
        <f>SUM(I458:I459)</f>
        <v>0</v>
      </c>
      <c r="J460" s="53">
        <f>SUM(J458:J459)</f>
        <v>3405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60535494.869999997</v>
      </c>
      <c r="G462" s="18">
        <v>1312010.69</v>
      </c>
      <c r="H462" s="18">
        <v>2001831.13</v>
      </c>
      <c r="I462" s="18"/>
      <c r="J462" s="18">
        <v>260000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60535494.869999997</v>
      </c>
      <c r="G464" s="53">
        <f>SUM(G462:G463)</f>
        <v>1312010.69</v>
      </c>
      <c r="H464" s="53">
        <f>SUM(H462:H463)</f>
        <v>2001831.13</v>
      </c>
      <c r="I464" s="53">
        <f>SUM(I462:I463)</f>
        <v>0</v>
      </c>
      <c r="J464" s="53">
        <f>SUM(J462:J463)</f>
        <v>260000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2092700.2100000009</v>
      </c>
      <c r="G466" s="53">
        <f>(G455+G460)- G464</f>
        <v>93109.290000000037</v>
      </c>
      <c r="H466" s="53">
        <f>(H455+H460)- H464</f>
        <v>30056.500000000233</v>
      </c>
      <c r="I466" s="53">
        <f>(I455+I460)- I464</f>
        <v>0</v>
      </c>
      <c r="J466" s="53">
        <f>(J455+J460)- J464</f>
        <v>781302.1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902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20</v>
      </c>
      <c r="H480" s="154">
        <v>20</v>
      </c>
      <c r="I480" s="154">
        <v>12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 t="s">
        <v>900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4737447</v>
      </c>
      <c r="G483" s="18">
        <v>5915851</v>
      </c>
      <c r="H483" s="18">
        <v>15525000</v>
      </c>
      <c r="I483" s="18">
        <v>3675816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5.6</v>
      </c>
      <c r="G484" s="18">
        <v>5.31</v>
      </c>
      <c r="H484" s="18">
        <v>3.52</v>
      </c>
      <c r="I484" s="18">
        <v>4.4800000000000004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945000</v>
      </c>
      <c r="G485" s="18">
        <v>3245000</v>
      </c>
      <c r="H485" s="18">
        <v>10850000</v>
      </c>
      <c r="I485" s="18">
        <v>3147282.72</v>
      </c>
      <c r="J485" s="18"/>
      <c r="K485" s="53">
        <f>SUM(F485:J485)</f>
        <v>18187282.719999999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315000</v>
      </c>
      <c r="G487" s="18">
        <v>295000</v>
      </c>
      <c r="H487" s="18">
        <v>775000</v>
      </c>
      <c r="I487" s="18">
        <v>201903.98</v>
      </c>
      <c r="J487" s="18"/>
      <c r="K487" s="53">
        <f t="shared" si="34"/>
        <v>1586903.98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630000</v>
      </c>
      <c r="G488" s="205">
        <v>2950000</v>
      </c>
      <c r="H488" s="205">
        <v>10075000</v>
      </c>
      <c r="I488" s="205">
        <v>2945378.74</v>
      </c>
      <c r="J488" s="205"/>
      <c r="K488" s="206">
        <f t="shared" si="34"/>
        <v>16600378.74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36225</v>
      </c>
      <c r="G489" s="18">
        <v>711982.5</v>
      </c>
      <c r="H489" s="18">
        <v>2964375</v>
      </c>
      <c r="I489" s="18">
        <v>735454.91</v>
      </c>
      <c r="J489" s="18"/>
      <c r="K489" s="53">
        <f t="shared" si="34"/>
        <v>4448037.41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666225</v>
      </c>
      <c r="G490" s="42">
        <f>SUM(G488:G489)</f>
        <v>3661982.5</v>
      </c>
      <c r="H490" s="42">
        <f>SUM(H488:H489)</f>
        <v>13039375</v>
      </c>
      <c r="I490" s="42">
        <f>SUM(I488:I489)</f>
        <v>3680833.6500000004</v>
      </c>
      <c r="J490" s="42">
        <f>SUM(J488:J489)</f>
        <v>0</v>
      </c>
      <c r="K490" s="42">
        <f t="shared" si="34"/>
        <v>21048416.149999999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315000</v>
      </c>
      <c r="G491" s="205">
        <v>295000</v>
      </c>
      <c r="H491" s="205">
        <v>775000</v>
      </c>
      <c r="I491" s="205">
        <v>245382.58</v>
      </c>
      <c r="J491" s="205"/>
      <c r="K491" s="206">
        <f t="shared" si="34"/>
        <v>1630382.58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9056</v>
      </c>
      <c r="G492" s="18">
        <v>150008</v>
      </c>
      <c r="H492" s="18">
        <v>445625</v>
      </c>
      <c r="I492" s="18">
        <v>122054.17</v>
      </c>
      <c r="J492" s="18"/>
      <c r="K492" s="53">
        <f t="shared" si="34"/>
        <v>726743.17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324056</v>
      </c>
      <c r="G493" s="42">
        <f>SUM(G491:G492)</f>
        <v>445008</v>
      </c>
      <c r="H493" s="42">
        <f>SUM(H491:H492)</f>
        <v>1220625</v>
      </c>
      <c r="I493" s="42">
        <f>SUM(I491:I492)</f>
        <v>367436.75</v>
      </c>
      <c r="J493" s="42">
        <f>SUM(J491:J492)</f>
        <v>0</v>
      </c>
      <c r="K493" s="42">
        <f t="shared" si="34"/>
        <v>2357125.75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4114508.11</v>
      </c>
      <c r="G511" s="18">
        <v>1893730.04</v>
      </c>
      <c r="H511" s="18">
        <v>686871.81</v>
      </c>
      <c r="I511" s="18">
        <v>109582.17</v>
      </c>
      <c r="J511" s="18">
        <v>179366.13</v>
      </c>
      <c r="K511" s="18">
        <v>19224.650000000001</v>
      </c>
      <c r="L511" s="88">
        <f>SUM(F511:K511)</f>
        <v>7003282.9100000011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1185665.43</v>
      </c>
      <c r="G512" s="18">
        <v>554414.32999999996</v>
      </c>
      <c r="H512" s="18">
        <v>417217.81</v>
      </c>
      <c r="I512" s="18">
        <v>29408.28</v>
      </c>
      <c r="J512" s="18">
        <v>59788.71</v>
      </c>
      <c r="K512" s="18">
        <v>6408.22</v>
      </c>
      <c r="L512" s="88">
        <f>SUM(F512:K512)</f>
        <v>2252902.7799999998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2035073.12</v>
      </c>
      <c r="G513" s="18">
        <v>1034379.05</v>
      </c>
      <c r="H513" s="18">
        <v>2894012.29</v>
      </c>
      <c r="I513" s="18">
        <v>66168.62</v>
      </c>
      <c r="J513" s="18">
        <v>134524.59</v>
      </c>
      <c r="K513" s="18">
        <v>14418.48</v>
      </c>
      <c r="L513" s="88">
        <f>SUM(F513:K513)</f>
        <v>6178576.1500000004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7335246.6600000001</v>
      </c>
      <c r="G514" s="108">
        <f t="shared" ref="G514:L514" si="35">SUM(G511:G513)</f>
        <v>3482523.42</v>
      </c>
      <c r="H514" s="108">
        <f t="shared" si="35"/>
        <v>3998101.91</v>
      </c>
      <c r="I514" s="108">
        <f t="shared" si="35"/>
        <v>205159.07</v>
      </c>
      <c r="J514" s="108">
        <f t="shared" si="35"/>
        <v>373679.43</v>
      </c>
      <c r="K514" s="108">
        <f t="shared" si="35"/>
        <v>40051.350000000006</v>
      </c>
      <c r="L514" s="89">
        <f t="shared" si="35"/>
        <v>15434761.840000002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1030459.69</v>
      </c>
      <c r="G516" s="18">
        <v>75826</v>
      </c>
      <c r="H516" s="18">
        <v>486142.98</v>
      </c>
      <c r="I516" s="18">
        <v>5674.54</v>
      </c>
      <c r="J516" s="18"/>
      <c r="K516" s="18"/>
      <c r="L516" s="88">
        <f>SUM(F516:K516)</f>
        <v>1598103.21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174100</v>
      </c>
      <c r="G517" s="18">
        <v>15623</v>
      </c>
      <c r="H517" s="18">
        <v>28617.32</v>
      </c>
      <c r="I517" s="18"/>
      <c r="J517" s="18"/>
      <c r="K517" s="18"/>
      <c r="L517" s="88">
        <f>SUM(F517:K517)</f>
        <v>218340.32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83338.19</v>
      </c>
      <c r="G518" s="18">
        <v>20563</v>
      </c>
      <c r="H518" s="18">
        <v>88508.66</v>
      </c>
      <c r="I518" s="18"/>
      <c r="J518" s="18"/>
      <c r="K518" s="18"/>
      <c r="L518" s="88">
        <f>SUM(F518:K518)</f>
        <v>192409.85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1287897.8799999999</v>
      </c>
      <c r="G519" s="89">
        <f t="shared" ref="G519:L519" si="36">SUM(G516:G518)</f>
        <v>112012</v>
      </c>
      <c r="H519" s="89">
        <f t="shared" si="36"/>
        <v>603268.96</v>
      </c>
      <c r="I519" s="89">
        <f t="shared" si="36"/>
        <v>5674.54</v>
      </c>
      <c r="J519" s="89">
        <f t="shared" si="36"/>
        <v>0</v>
      </c>
      <c r="K519" s="89">
        <f t="shared" si="36"/>
        <v>0</v>
      </c>
      <c r="L519" s="89">
        <f t="shared" si="36"/>
        <v>2008853.3800000001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66449.119999999995</v>
      </c>
      <c r="G521" s="18">
        <v>12556</v>
      </c>
      <c r="H521" s="18"/>
      <c r="I521" s="18"/>
      <c r="J521" s="18"/>
      <c r="K521" s="18"/>
      <c r="L521" s="88">
        <f>SUM(F521:K521)</f>
        <v>79005.119999999995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41530.699999999997</v>
      </c>
      <c r="G522" s="18">
        <v>5620.03</v>
      </c>
      <c r="H522" s="18"/>
      <c r="I522" s="18"/>
      <c r="J522" s="18"/>
      <c r="K522" s="18"/>
      <c r="L522" s="88">
        <f>SUM(F522:K522)</f>
        <v>47150.729999999996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58142.98</v>
      </c>
      <c r="G523" s="18">
        <v>11452.23</v>
      </c>
      <c r="H523" s="18"/>
      <c r="I523" s="18"/>
      <c r="J523" s="18"/>
      <c r="K523" s="18"/>
      <c r="L523" s="88">
        <f>SUM(F523:K523)</f>
        <v>69595.210000000006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166122.79999999999</v>
      </c>
      <c r="G524" s="89">
        <f t="shared" ref="G524:L524" si="37">SUM(G521:G523)</f>
        <v>29628.26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195751.06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2362</v>
      </c>
      <c r="I526" s="18"/>
      <c r="J526" s="18"/>
      <c r="K526" s="18"/>
      <c r="L526" s="88">
        <f>SUM(F526:K526)</f>
        <v>2362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1575</v>
      </c>
      <c r="I527" s="18"/>
      <c r="J527" s="18"/>
      <c r="K527" s="18"/>
      <c r="L527" s="88">
        <f>SUM(F527:K527)</f>
        <v>1575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2640</v>
      </c>
      <c r="I528" s="18"/>
      <c r="J528" s="18"/>
      <c r="K528" s="18"/>
      <c r="L528" s="88">
        <f>SUM(F528:K528)</f>
        <v>2640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6577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6577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268259.71999999997</v>
      </c>
      <c r="I531" s="18"/>
      <c r="J531" s="18"/>
      <c r="K531" s="18"/>
      <c r="L531" s="88">
        <f>SUM(F531:K531)</f>
        <v>268259.71999999997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163490.75</v>
      </c>
      <c r="I532" s="18"/>
      <c r="J532" s="18"/>
      <c r="K532" s="18"/>
      <c r="L532" s="88">
        <f>SUM(F532:K532)</f>
        <v>163490.75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521756.14</v>
      </c>
      <c r="I533" s="18"/>
      <c r="J533" s="18"/>
      <c r="K533" s="18"/>
      <c r="L533" s="88">
        <f>SUM(F533:K533)</f>
        <v>521756.14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953506.61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953506.61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8789267.3399999999</v>
      </c>
      <c r="G535" s="89">
        <f t="shared" ref="G535:L535" si="40">G514+G519+G524+G529+G534</f>
        <v>3624163.6799999997</v>
      </c>
      <c r="H535" s="89">
        <f t="shared" si="40"/>
        <v>5561454.4800000004</v>
      </c>
      <c r="I535" s="89">
        <f t="shared" si="40"/>
        <v>210833.61000000002</v>
      </c>
      <c r="J535" s="89">
        <f t="shared" si="40"/>
        <v>373679.43</v>
      </c>
      <c r="K535" s="89">
        <f t="shared" si="40"/>
        <v>40051.350000000006</v>
      </c>
      <c r="L535" s="89">
        <f t="shared" si="40"/>
        <v>18599449.890000001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7003282.9100000011</v>
      </c>
      <c r="G539" s="87">
        <f>L516</f>
        <v>1598103.21</v>
      </c>
      <c r="H539" s="87">
        <f>L521</f>
        <v>79005.119999999995</v>
      </c>
      <c r="I539" s="87">
        <f>L526</f>
        <v>2362</v>
      </c>
      <c r="J539" s="87">
        <f>L531</f>
        <v>268259.71999999997</v>
      </c>
      <c r="K539" s="87">
        <f>SUM(F539:J539)</f>
        <v>8951012.9600000009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2252902.7799999998</v>
      </c>
      <c r="G540" s="87">
        <f>L517</f>
        <v>218340.32</v>
      </c>
      <c r="H540" s="87">
        <f>L522</f>
        <v>47150.729999999996</v>
      </c>
      <c r="I540" s="87">
        <f>L527</f>
        <v>1575</v>
      </c>
      <c r="J540" s="87">
        <f>L532</f>
        <v>163490.75</v>
      </c>
      <c r="K540" s="87">
        <f>SUM(F540:J540)</f>
        <v>2683459.5799999996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6178576.1500000004</v>
      </c>
      <c r="G541" s="87">
        <f>L518</f>
        <v>192409.85</v>
      </c>
      <c r="H541" s="87">
        <f>L523</f>
        <v>69595.210000000006</v>
      </c>
      <c r="I541" s="87">
        <f>L528</f>
        <v>2640</v>
      </c>
      <c r="J541" s="87">
        <f>L533</f>
        <v>521756.14</v>
      </c>
      <c r="K541" s="87">
        <f>SUM(F541:J541)</f>
        <v>6964977.3499999996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15434761.840000002</v>
      </c>
      <c r="G542" s="89">
        <f t="shared" si="41"/>
        <v>2008853.3800000001</v>
      </c>
      <c r="H542" s="89">
        <f t="shared" si="41"/>
        <v>195751.06</v>
      </c>
      <c r="I542" s="89">
        <f t="shared" si="41"/>
        <v>6577</v>
      </c>
      <c r="J542" s="89">
        <f t="shared" si="41"/>
        <v>953506.61</v>
      </c>
      <c r="K542" s="89">
        <f t="shared" si="41"/>
        <v>18599449.890000001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143155.51999999999</v>
      </c>
      <c r="G557" s="18">
        <v>29431</v>
      </c>
      <c r="H557" s="18">
        <v>5132.7299999999996</v>
      </c>
      <c r="I557" s="18"/>
      <c r="J557" s="18"/>
      <c r="K557" s="18"/>
      <c r="L557" s="88">
        <f>SUM(F557:K557)</f>
        <v>177719.25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49051.839999999997</v>
      </c>
      <c r="G558" s="18">
        <v>8610</v>
      </c>
      <c r="H558" s="18">
        <v>3204.67</v>
      </c>
      <c r="I558" s="18"/>
      <c r="J558" s="18"/>
      <c r="K558" s="18"/>
      <c r="L558" s="88">
        <f>SUM(F558:K558)</f>
        <v>60866.509999999995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110366.64</v>
      </c>
      <c r="G559" s="18">
        <v>21073.200000000001</v>
      </c>
      <c r="H559" s="18">
        <v>13421.12</v>
      </c>
      <c r="I559" s="18"/>
      <c r="J559" s="18"/>
      <c r="K559" s="18"/>
      <c r="L559" s="88">
        <f>SUM(F559:K559)</f>
        <v>144860.96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302574</v>
      </c>
      <c r="G560" s="194">
        <f t="shared" ref="G560:L560" si="44">SUM(G557:G559)</f>
        <v>59114.2</v>
      </c>
      <c r="H560" s="194">
        <f t="shared" si="44"/>
        <v>21758.52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383446.72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302574</v>
      </c>
      <c r="G561" s="89">
        <f t="shared" ref="G561:L561" si="45">G550+G555+G560</f>
        <v>59114.2</v>
      </c>
      <c r="H561" s="89">
        <f t="shared" si="45"/>
        <v>21758.52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383446.72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68102.179999999993</v>
      </c>
      <c r="I565" s="87">
        <f>SUM(F565:H565)</f>
        <v>68102.179999999993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100758.73</v>
      </c>
      <c r="G570" s="18">
        <v>71824.850000000006</v>
      </c>
      <c r="H570" s="18">
        <v>828149.49</v>
      </c>
      <c r="I570" s="87">
        <f t="shared" si="46"/>
        <v>1000733.0700000001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158973.26999999999</v>
      </c>
      <c r="G572" s="18">
        <v>201801.15</v>
      </c>
      <c r="H572" s="18">
        <v>1666537.61</v>
      </c>
      <c r="I572" s="87">
        <f t="shared" si="46"/>
        <v>2027312.03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42377.18</v>
      </c>
      <c r="I574" s="87">
        <f t="shared" si="46"/>
        <v>42377.18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45">
        <v>805367.92</v>
      </c>
      <c r="I581" s="18">
        <v>268537.25</v>
      </c>
      <c r="J581" s="18">
        <v>605048.73</v>
      </c>
      <c r="K581" s="104">
        <f t="shared" ref="K581:K587" si="47">SUM(H581:J581)</f>
        <v>1678953.9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268259.71999999997</v>
      </c>
      <c r="I582" s="18">
        <v>163490.75</v>
      </c>
      <c r="J582" s="18">
        <v>521756.14</v>
      </c>
      <c r="K582" s="104">
        <f t="shared" si="47"/>
        <v>953506.61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133904.6</v>
      </c>
      <c r="K583" s="104">
        <f t="shared" si="47"/>
        <v>133904.6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11479.81</v>
      </c>
      <c r="J584" s="18">
        <v>67630.05</v>
      </c>
      <c r="K584" s="104">
        <f t="shared" si="47"/>
        <v>79109.86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34919.94</v>
      </c>
      <c r="I585" s="18">
        <v>1348.75</v>
      </c>
      <c r="J585" s="18">
        <v>15488.41</v>
      </c>
      <c r="K585" s="104">
        <f t="shared" si="47"/>
        <v>51757.100000000006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1108547.58</v>
      </c>
      <c r="I588" s="108">
        <f>SUM(I581:I587)</f>
        <v>444856.56</v>
      </c>
      <c r="J588" s="108">
        <f>SUM(J581:J587)</f>
        <v>1343827.9300000002</v>
      </c>
      <c r="K588" s="108">
        <f>SUM(K581:K587)</f>
        <v>2897232.07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289377.84999999998</v>
      </c>
      <c r="I594" s="18">
        <v>75640.800000000003</v>
      </c>
      <c r="J594" s="18">
        <v>171780.02</v>
      </c>
      <c r="K594" s="104">
        <f>SUM(H594:J594)</f>
        <v>536798.66999999993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289377.84999999998</v>
      </c>
      <c r="I595" s="108">
        <f>SUM(I592:I594)</f>
        <v>75640.800000000003</v>
      </c>
      <c r="J595" s="108">
        <f>SUM(J592:J594)</f>
        <v>171780.02</v>
      </c>
      <c r="K595" s="108">
        <f>SUM(K592:K594)</f>
        <v>536798.66999999993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44652</v>
      </c>
      <c r="G603" s="18">
        <v>8750.25</v>
      </c>
      <c r="H603" s="18"/>
      <c r="I603" s="18">
        <v>856.35</v>
      </c>
      <c r="J603" s="18"/>
      <c r="K603" s="18"/>
      <c r="L603" s="88">
        <f>SUM(F603:K603)</f>
        <v>54258.6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44652</v>
      </c>
      <c r="G604" s="108">
        <f t="shared" si="48"/>
        <v>8750.25</v>
      </c>
      <c r="H604" s="108">
        <f t="shared" si="48"/>
        <v>0</v>
      </c>
      <c r="I604" s="108">
        <f t="shared" si="48"/>
        <v>856.35</v>
      </c>
      <c r="J604" s="108">
        <f t="shared" si="48"/>
        <v>0</v>
      </c>
      <c r="K604" s="108">
        <f t="shared" si="48"/>
        <v>0</v>
      </c>
      <c r="L604" s="89">
        <f t="shared" si="48"/>
        <v>54258.6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2272343.92</v>
      </c>
      <c r="H607" s="109">
        <f>SUM(F44)</f>
        <v>2272343.92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93109.290000000008</v>
      </c>
      <c r="H608" s="109">
        <f>SUM(G44)</f>
        <v>93109.29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30056.5</v>
      </c>
      <c r="H609" s="109">
        <f>SUM(H44)</f>
        <v>30056.5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1041302.1</v>
      </c>
      <c r="H611" s="109">
        <f>SUM(J44)</f>
        <v>1041302.1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2092700.21</v>
      </c>
      <c r="H612" s="109">
        <f>F466</f>
        <v>2092700.2100000009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93109.29</v>
      </c>
      <c r="H613" s="109">
        <f>G466</f>
        <v>93109.290000000037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30056.5</v>
      </c>
      <c r="H614" s="109">
        <f>H466</f>
        <v>30056.500000000233</v>
      </c>
      <c r="I614" s="121" t="s">
        <v>110</v>
      </c>
      <c r="J614" s="109">
        <f t="shared" si="49"/>
        <v>-2.3283064365386963E-10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781302.1</v>
      </c>
      <c r="H616" s="109">
        <f>J466</f>
        <v>781302.1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59110535.240000002</v>
      </c>
      <c r="H617" s="104">
        <f>SUM(F458)</f>
        <v>59110535.239999995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1405119.98</v>
      </c>
      <c r="H618" s="104">
        <f>SUM(G458)</f>
        <v>1405119.98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2121244.6</v>
      </c>
      <c r="H619" s="104">
        <f>SUM(H458)</f>
        <v>2121244.6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3405</v>
      </c>
      <c r="H621" s="104">
        <f>SUM(J458)</f>
        <v>3405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60535494.86999999</v>
      </c>
      <c r="H622" s="104">
        <f>SUM(F462)</f>
        <v>60535494.869999997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2001831.1300000001</v>
      </c>
      <c r="H623" s="104">
        <f>SUM(H462)</f>
        <v>2001831.13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687440.71</v>
      </c>
      <c r="H624" s="104">
        <f>I361</f>
        <v>687440.71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1312010.69</v>
      </c>
      <c r="H625" s="104">
        <f>SUM(G462)</f>
        <v>1312010.69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3405</v>
      </c>
      <c r="H627" s="164">
        <f>SUM(J458)</f>
        <v>3405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260000</v>
      </c>
      <c r="H628" s="164">
        <f>SUM(J462)</f>
        <v>260000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1041302.1</v>
      </c>
      <c r="H629" s="104">
        <f>SUM(F451)</f>
        <v>1041302.1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1041302.1</v>
      </c>
      <c r="H632" s="104">
        <f>SUM(I451)</f>
        <v>1041302.1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3405</v>
      </c>
      <c r="H634" s="104">
        <f>H400</f>
        <v>3405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3405</v>
      </c>
      <c r="H636" s="104">
        <f>L400</f>
        <v>3405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2897232.07</v>
      </c>
      <c r="H637" s="104">
        <f>L200+L218+L236</f>
        <v>2897232.07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536798.66999999993</v>
      </c>
      <c r="H638" s="104">
        <f>(J249+J330)-(J247+J328)</f>
        <v>536798.66999999993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1108547.5799999998</v>
      </c>
      <c r="H639" s="104">
        <f>H588</f>
        <v>1108547.58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444856.56</v>
      </c>
      <c r="H640" s="104">
        <f>I588</f>
        <v>444856.56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1343827.93</v>
      </c>
      <c r="H641" s="104">
        <f>J588</f>
        <v>1343827.9300000002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28387269.859999996</v>
      </c>
      <c r="G650" s="19">
        <f>(L221+L301+L351)</f>
        <v>9532957.2300000004</v>
      </c>
      <c r="H650" s="19">
        <f>(L239+L320+L352)</f>
        <v>22796776.879999999</v>
      </c>
      <c r="I650" s="19">
        <f>SUM(F650:H650)</f>
        <v>60717003.969999999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541717.73989351653</v>
      </c>
      <c r="G651" s="19">
        <f>(L351/IF(SUM(L350:L352)=0,1,SUM(L350:L352))*(SUM(G89:G102)))</f>
        <v>202347.9505485901</v>
      </c>
      <c r="H651" s="19">
        <f>(L352/IF(SUM(L350:L352)=0,1,SUM(L350:L352))*(SUM(G89:G102)))</f>
        <v>418914.79955789348</v>
      </c>
      <c r="I651" s="19">
        <f>SUM(F651:H651)</f>
        <v>1162980.4900000002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1108547.5799999998</v>
      </c>
      <c r="G652" s="19">
        <f>(L218+L298)-(J218+J298)</f>
        <v>444856.56</v>
      </c>
      <c r="H652" s="19">
        <f>(L236+L317)-(J236+J317)</f>
        <v>1343827.93</v>
      </c>
      <c r="I652" s="19">
        <f>SUM(F652:H652)</f>
        <v>2897232.07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549109.85</v>
      </c>
      <c r="G653" s="200">
        <f>SUM(G565:G577)+SUM(I592:I594)+L602</f>
        <v>349266.8</v>
      </c>
      <c r="H653" s="200">
        <f>SUM(H565:H577)+SUM(J592:J594)+L603</f>
        <v>2831205.0800000005</v>
      </c>
      <c r="I653" s="19">
        <f>SUM(F653:H653)</f>
        <v>3729581.7300000004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26187894.690106481</v>
      </c>
      <c r="G654" s="19">
        <f>G650-SUM(G651:G653)</f>
        <v>8536485.91945141</v>
      </c>
      <c r="H654" s="19">
        <f>H650-SUM(H651:H653)</f>
        <v>18202829.070442103</v>
      </c>
      <c r="I654" s="19">
        <f>I650-SUM(I651:I653)</f>
        <v>52927209.68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2001.31</v>
      </c>
      <c r="G655" s="249">
        <v>668.36</v>
      </c>
      <c r="H655" s="249">
        <v>1467.91</v>
      </c>
      <c r="I655" s="19">
        <f>SUM(F655:H655)</f>
        <v>4137.58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13085.38</v>
      </c>
      <c r="G657" s="19">
        <f>ROUND(G654/G655,2)</f>
        <v>12772.29</v>
      </c>
      <c r="H657" s="19">
        <f>ROUND(H654/H655,2)</f>
        <v>12400.51</v>
      </c>
      <c r="I657" s="19">
        <f>ROUND(I654/I655,2)</f>
        <v>12791.83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-17.62</v>
      </c>
      <c r="I660" s="19">
        <f>SUM(F660:H660)</f>
        <v>-17.62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13085.38</v>
      </c>
      <c r="G662" s="19">
        <f>ROUND((G654+G659)/(G655+G660),2)</f>
        <v>12772.29</v>
      </c>
      <c r="H662" s="19">
        <f>ROUND((H654+H659)/(H655+H660),2)</f>
        <v>12551.16</v>
      </c>
      <c r="I662" s="19">
        <f>ROUND((I654+I659)/(I655+I660),2)</f>
        <v>12846.53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>
    <dataRefs count="1">
      <dataRef ref="F9:L662" sheet="DOE25" r:id="rId1"/>
    </dataRefs>
  </dataConsolidate>
  <phoneticPr fontId="0" type="noConversion"/>
  <printOptions gridLines="1" gridLinesSet="0"/>
  <pageMargins left="0.3" right="0.3" top="0.75" bottom="0.75" header="0.5" footer="0.5"/>
  <pageSetup scale="90" orientation="landscape" r:id="rId2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255C-A43F-48CF-A621-357638678AF1}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Merrimack SD</v>
      </c>
      <c r="C1" s="239" t="s">
        <v>870</v>
      </c>
    </row>
    <row r="2" spans="1:3" x14ac:dyDescent="0.2">
      <c r="A2" s="234"/>
      <c r="B2" s="233"/>
    </row>
    <row r="3" spans="1:3" x14ac:dyDescent="0.2">
      <c r="A3" s="272" t="s">
        <v>815</v>
      </c>
      <c r="B3" s="272"/>
      <c r="C3" s="272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4" t="s">
        <v>813</v>
      </c>
      <c r="C7" s="275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15352623.49</v>
      </c>
      <c r="C9" s="230">
        <f>'DOE25'!G189+'DOE25'!G207+'DOE25'!G225+'DOE25'!G268+'DOE25'!G287+'DOE25'!G306</f>
        <v>7774577.3700000001</v>
      </c>
    </row>
    <row r="10" spans="1:3" x14ac:dyDescent="0.2">
      <c r="A10" t="s">
        <v>810</v>
      </c>
      <c r="B10" s="241">
        <v>14484475.390000001</v>
      </c>
      <c r="C10" s="241">
        <v>7119373.8600000003</v>
      </c>
    </row>
    <row r="11" spans="1:3" x14ac:dyDescent="0.2">
      <c r="A11" t="s">
        <v>811</v>
      </c>
      <c r="B11" s="241">
        <v>868148.1</v>
      </c>
      <c r="C11" s="241">
        <v>655203.51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15352623.49</v>
      </c>
      <c r="C13" s="232">
        <f>SUM(C10:C12)</f>
        <v>7774577.3700000001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4" t="s">
        <v>738</v>
      </c>
      <c r="C16" s="275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7335246.6600000001</v>
      </c>
      <c r="C18" s="230">
        <f>'DOE25'!G190+'DOE25'!G208+'DOE25'!G226+'DOE25'!G269+'DOE25'!G288+'DOE25'!G307</f>
        <v>3482323.42</v>
      </c>
    </row>
    <row r="19" spans="1:3" x14ac:dyDescent="0.2">
      <c r="A19" t="s">
        <v>810</v>
      </c>
      <c r="B19" s="241">
        <v>3477181.68</v>
      </c>
      <c r="C19" s="241">
        <v>1567045.54</v>
      </c>
    </row>
    <row r="20" spans="1:3" x14ac:dyDescent="0.2">
      <c r="A20" t="s">
        <v>811</v>
      </c>
      <c r="B20" s="241">
        <v>3858064.98</v>
      </c>
      <c r="C20" s="241">
        <v>1915277.88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7335246.6600000001</v>
      </c>
      <c r="C22" s="232">
        <f>SUM(C19:C21)</f>
        <v>3482323.42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4" t="s">
        <v>739</v>
      </c>
      <c r="C25" s="275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4" t="s">
        <v>740</v>
      </c>
      <c r="C34" s="275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347253.41</v>
      </c>
      <c r="C36" s="236">
        <f>'DOE25'!G192+'DOE25'!G210+'DOE25'!G228+'DOE25'!G271+'DOE25'!G290+'DOE25'!G309</f>
        <v>187334.75</v>
      </c>
    </row>
    <row r="37" spans="1:3" x14ac:dyDescent="0.2">
      <c r="A37" t="s">
        <v>810</v>
      </c>
      <c r="B37" s="271">
        <v>109818.55</v>
      </c>
      <c r="C37" s="241">
        <v>56203.42</v>
      </c>
    </row>
    <row r="38" spans="1:3" x14ac:dyDescent="0.2">
      <c r="A38" t="s">
        <v>811</v>
      </c>
      <c r="B38" s="241">
        <v>237434.86</v>
      </c>
      <c r="C38" s="241">
        <v>131131.32999999999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347253.41</v>
      </c>
      <c r="C40" s="232">
        <f>SUM(C37:C39)</f>
        <v>187334.75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0153-9C5A-4E47-922F-B87C1AB713FE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Merrimack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39123374.949999996</v>
      </c>
      <c r="D5" s="20">
        <f>SUM('DOE25'!L189:L192)+SUM('DOE25'!L207:L210)+SUM('DOE25'!L225:L228)-F5-G5</f>
        <v>38996905.359999999</v>
      </c>
      <c r="E5" s="244"/>
      <c r="F5" s="256">
        <f>SUM('DOE25'!J189:J192)+SUM('DOE25'!J207:J210)+SUM('DOE25'!J225:J228)</f>
        <v>116656.55</v>
      </c>
      <c r="G5" s="53">
        <f>SUM('DOE25'!K189:K192)+SUM('DOE25'!K207:K210)+SUM('DOE25'!K225:K228)</f>
        <v>9813.0400000000009</v>
      </c>
      <c r="H5" s="260"/>
    </row>
    <row r="6" spans="1:9" x14ac:dyDescent="0.2">
      <c r="A6" s="32">
        <v>2100</v>
      </c>
      <c r="B6" t="s">
        <v>832</v>
      </c>
      <c r="C6" s="246">
        <f t="shared" si="0"/>
        <v>4399336.5200000005</v>
      </c>
      <c r="D6" s="20">
        <f>'DOE25'!L194+'DOE25'!L212+'DOE25'!L230-F6-G6</f>
        <v>4399336.5200000005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1659960.4099999997</v>
      </c>
      <c r="D7" s="20">
        <f>'DOE25'!L195+'DOE25'!L213+'DOE25'!L231-F7-G7</f>
        <v>1645086.6699999997</v>
      </c>
      <c r="E7" s="244"/>
      <c r="F7" s="256">
        <f>'DOE25'!J195+'DOE25'!J213+'DOE25'!J231</f>
        <v>14046.43</v>
      </c>
      <c r="G7" s="53">
        <f>'DOE25'!K195+'DOE25'!K213+'DOE25'!K231</f>
        <v>827.31</v>
      </c>
      <c r="H7" s="260"/>
    </row>
    <row r="8" spans="1:9" x14ac:dyDescent="0.2">
      <c r="A8" s="32">
        <v>2300</v>
      </c>
      <c r="B8" t="s">
        <v>833</v>
      </c>
      <c r="C8" s="246">
        <f t="shared" si="0"/>
        <v>747231.12000000011</v>
      </c>
      <c r="D8" s="244"/>
      <c r="E8" s="20">
        <f>'DOE25'!L196+'DOE25'!L214+'DOE25'!L232-F8-G8-D9-D11</f>
        <v>701156.28000000014</v>
      </c>
      <c r="F8" s="256">
        <f>'DOE25'!J196+'DOE25'!J214+'DOE25'!J232</f>
        <v>20218.649999999998</v>
      </c>
      <c r="G8" s="53">
        <f>'DOE25'!K196+'DOE25'!K214+'DOE25'!K232</f>
        <v>25856.19</v>
      </c>
      <c r="H8" s="260"/>
    </row>
    <row r="9" spans="1:9" x14ac:dyDescent="0.2">
      <c r="A9" s="32">
        <v>2310</v>
      </c>
      <c r="B9" t="s">
        <v>849</v>
      </c>
      <c r="C9" s="246">
        <f t="shared" si="0"/>
        <v>48910.01</v>
      </c>
      <c r="D9" s="245">
        <v>48910.01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22000</v>
      </c>
      <c r="D10" s="244"/>
      <c r="E10" s="245">
        <v>22000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588110.64</v>
      </c>
      <c r="D11" s="245">
        <v>588110.64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3029812.1499999994</v>
      </c>
      <c r="D12" s="20">
        <f>'DOE25'!L197+'DOE25'!L215+'DOE25'!L233-F12-G12</f>
        <v>2976664.1999999993</v>
      </c>
      <c r="E12" s="244"/>
      <c r="F12" s="256">
        <f>'DOE25'!J197+'DOE25'!J215+'DOE25'!J233</f>
        <v>5317.96</v>
      </c>
      <c r="G12" s="53">
        <f>'DOE25'!K197+'DOE25'!K215+'DOE25'!K233</f>
        <v>47829.99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623473.54999999993</v>
      </c>
      <c r="D13" s="244"/>
      <c r="E13" s="20">
        <f>'DOE25'!L198+'DOE25'!L216+'DOE25'!L234-F13-G13</f>
        <v>615794.29999999993</v>
      </c>
      <c r="F13" s="256">
        <f>'DOE25'!J198+'DOE25'!J216+'DOE25'!J234</f>
        <v>0</v>
      </c>
      <c r="G13" s="53">
        <f>'DOE25'!K198+'DOE25'!K216+'DOE25'!K234</f>
        <v>7679.25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4156331.4799999995</v>
      </c>
      <c r="D14" s="20">
        <f>'DOE25'!L199+'DOE25'!L217+'DOE25'!L235-F14-G14</f>
        <v>4149451.8299999996</v>
      </c>
      <c r="E14" s="244"/>
      <c r="F14" s="256">
        <f>'DOE25'!J199+'DOE25'!J217+'DOE25'!J235</f>
        <v>6879.65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2897232.07</v>
      </c>
      <c r="D15" s="20">
        <f>'DOE25'!L200+'DOE25'!L218+'DOE25'!L236-F15-G15</f>
        <v>2897232.07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129389.25</v>
      </c>
      <c r="D16" s="244"/>
      <c r="E16" s="20">
        <f>'DOE25'!L201+'DOE25'!L219+'DOE25'!L237-F16-G16</f>
        <v>129389.25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8349.26</v>
      </c>
      <c r="D17" s="20">
        <f>'DOE25'!L243-F17-G17</f>
        <v>8349.26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1062092.21</v>
      </c>
      <c r="D22" s="244"/>
      <c r="E22" s="244"/>
      <c r="F22" s="256">
        <f>'DOE25'!L247+'DOE25'!L328</f>
        <v>1062092.21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2061891.25</v>
      </c>
      <c r="D25" s="244"/>
      <c r="E25" s="244"/>
      <c r="F25" s="259"/>
      <c r="G25" s="257"/>
      <c r="H25" s="258">
        <f>'DOE25'!L252+'DOE25'!L253+'DOE25'!L333+'DOE25'!L334</f>
        <v>2061891.25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695396.23</v>
      </c>
      <c r="D29" s="20">
        <f>'DOE25'!L350+'DOE25'!L351+'DOE25'!L352-'DOE25'!I359-F29-G29</f>
        <v>695099.98</v>
      </c>
      <c r="E29" s="244"/>
      <c r="F29" s="256">
        <f>'DOE25'!J350+'DOE25'!J351+'DOE25'!J352</f>
        <v>0</v>
      </c>
      <c r="G29" s="53">
        <f>'DOE25'!K350+'DOE25'!K351+'DOE25'!K352</f>
        <v>296.25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2001831.1300000001</v>
      </c>
      <c r="D31" s="20">
        <f>'DOE25'!L282+'DOE25'!L301+'DOE25'!L320+'DOE25'!L325+'DOE25'!L326+'DOE25'!L327-F31-G31</f>
        <v>1588100.35</v>
      </c>
      <c r="E31" s="244"/>
      <c r="F31" s="256">
        <f>'DOE25'!J282+'DOE25'!J301+'DOE25'!J320+'DOE25'!J325+'DOE25'!J326+'DOE25'!J327</f>
        <v>373679.43</v>
      </c>
      <c r="G31" s="53">
        <f>'DOE25'!K282+'DOE25'!K301+'DOE25'!K320+'DOE25'!K325+'DOE25'!K326+'DOE25'!K327</f>
        <v>40051.350000000006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57993246.890000001</v>
      </c>
      <c r="E33" s="247">
        <f>SUM(E5:E31)</f>
        <v>1468339.83</v>
      </c>
      <c r="F33" s="247">
        <f>SUM(F5:F31)</f>
        <v>1598890.88</v>
      </c>
      <c r="G33" s="247">
        <f>SUM(G5:G31)</f>
        <v>132353.38</v>
      </c>
      <c r="H33" s="247">
        <f>SUM(H5:H31)</f>
        <v>2061891.25</v>
      </c>
    </row>
    <row r="35" spans="2:8" ht="12" thickBot="1" x14ac:dyDescent="0.25">
      <c r="B35" s="254" t="s">
        <v>878</v>
      </c>
      <c r="D35" s="255">
        <f>E33</f>
        <v>1468339.83</v>
      </c>
      <c r="E35" s="250"/>
    </row>
    <row r="36" spans="2:8" ht="12" thickTop="1" x14ac:dyDescent="0.2">
      <c r="B36" t="s">
        <v>846</v>
      </c>
      <c r="D36" s="20">
        <f>D33</f>
        <v>57993246.890000001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5346-4BDD-47E7-8FF8-35926D04602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1012486.55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1041302.1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1937.26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1096454.29</v>
      </c>
      <c r="D12" s="95">
        <f>'DOE25'!G12</f>
        <v>44401.11</v>
      </c>
      <c r="E12" s="95">
        <f>'DOE25'!H12</f>
        <v>30056.5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161465.82</v>
      </c>
      <c r="D14" s="95">
        <f>'DOE25'!G14</f>
        <v>48708.18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2272343.92</v>
      </c>
      <c r="D19" s="41">
        <f>SUM(D9:D18)</f>
        <v>93109.290000000008</v>
      </c>
      <c r="E19" s="41">
        <f>SUM(E9:E18)</f>
        <v>30056.5</v>
      </c>
      <c r="F19" s="41">
        <f>SUM(F9:F18)</f>
        <v>0</v>
      </c>
      <c r="G19" s="41">
        <f>SUM(G9:G18)</f>
        <v>1041302.1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260000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172644.41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6999.3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179643.71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260000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93109.29</v>
      </c>
      <c r="E40" s="95">
        <f>'DOE25'!H41</f>
        <v>30056.5</v>
      </c>
      <c r="F40" s="95">
        <f>'DOE25'!I41</f>
        <v>0</v>
      </c>
      <c r="G40" s="95">
        <f>'DOE25'!J41</f>
        <v>781302.1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2092700.21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2092700.21</v>
      </c>
      <c r="D42" s="41">
        <f>SUM(D34:D41)</f>
        <v>93109.29</v>
      </c>
      <c r="E42" s="41">
        <f>SUM(E34:E41)</f>
        <v>30056.5</v>
      </c>
      <c r="F42" s="41">
        <f>SUM(F34:F41)</f>
        <v>0</v>
      </c>
      <c r="G42" s="41">
        <f>SUM(G34:G41)</f>
        <v>781302.1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2272343.92</v>
      </c>
      <c r="D43" s="41">
        <f>D42+D32</f>
        <v>93109.29</v>
      </c>
      <c r="E43" s="41">
        <f>E42+E32</f>
        <v>30056.5</v>
      </c>
      <c r="F43" s="41">
        <f>F42+F32</f>
        <v>0</v>
      </c>
      <c r="G43" s="41">
        <f>G42+G32</f>
        <v>1041302.1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38943385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281094.12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12202.91</v>
      </c>
      <c r="D51" s="95">
        <f>'DOE25'!G88</f>
        <v>1356</v>
      </c>
      <c r="E51" s="95">
        <f>'DOE25'!H88</f>
        <v>0</v>
      </c>
      <c r="F51" s="95">
        <f>'DOE25'!I88</f>
        <v>0</v>
      </c>
      <c r="G51" s="95">
        <f>'DOE25'!J88</f>
        <v>3405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1162980.49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79391.930000000008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372688.95999999996</v>
      </c>
      <c r="D54" s="130">
        <f>SUM(D49:D53)</f>
        <v>1164336.49</v>
      </c>
      <c r="E54" s="130">
        <f>SUM(E49:E53)</f>
        <v>0</v>
      </c>
      <c r="F54" s="130">
        <f>SUM(F49:F53)</f>
        <v>0</v>
      </c>
      <c r="G54" s="130">
        <f>SUM(G49:G53)</f>
        <v>3405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39316073.960000001</v>
      </c>
      <c r="D55" s="22">
        <f>D48+D54</f>
        <v>1164336.49</v>
      </c>
      <c r="E55" s="22">
        <f>E48+E54</f>
        <v>0</v>
      </c>
      <c r="F55" s="22">
        <f>F48+F54</f>
        <v>0</v>
      </c>
      <c r="G55" s="22">
        <f>G48+G54</f>
        <v>3405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10079790.84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6714124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365591.16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17159506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511918.7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1251191.32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7184.39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17261.57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1770294.41</v>
      </c>
      <c r="D70" s="130">
        <f>SUM(D64:D69)</f>
        <v>17261.57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18929800.41</v>
      </c>
      <c r="D73" s="130">
        <f>SUM(D71:D72)+D70+D62</f>
        <v>17261.57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40051.35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33898.699999999997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564609.52</v>
      </c>
      <c r="D80" s="95">
        <f>SUM('DOE25'!G145:G153)</f>
        <v>223521.92000000001</v>
      </c>
      <c r="E80" s="95">
        <f>SUM('DOE25'!H145:H153)</f>
        <v>2087345.9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604660.87</v>
      </c>
      <c r="D83" s="131">
        <f>SUM(D77:D82)</f>
        <v>223521.92000000001</v>
      </c>
      <c r="E83" s="131">
        <f>SUM(E77:E82)</f>
        <v>2121244.6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260000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260000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59110535.240000002</v>
      </c>
      <c r="D96" s="86">
        <f>D55+D73+D83+D95</f>
        <v>1405119.98</v>
      </c>
      <c r="E96" s="86">
        <f>E55+E73+E83+E95</f>
        <v>2121244.6</v>
      </c>
      <c r="F96" s="86">
        <f>F55+F73+F83+F95</f>
        <v>0</v>
      </c>
      <c r="G96" s="86">
        <f>G55+G73+G95</f>
        <v>3405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24028667.98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14343726.390000001</v>
      </c>
      <c r="D102" s="24" t="s">
        <v>312</v>
      </c>
      <c r="E102" s="95">
        <f>('DOE25'!L269)+('DOE25'!L288)+('DOE25'!L307)</f>
        <v>1090835.45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42377.18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708603.4</v>
      </c>
      <c r="D104" s="24" t="s">
        <v>312</v>
      </c>
      <c r="E104" s="95">
        <f>+('DOE25'!L271)+('DOE25'!L290)+('DOE25'!L309)</f>
        <v>917.5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8349.26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39131724.210000001</v>
      </c>
      <c r="D107" s="86">
        <f>SUM(D101:D106)</f>
        <v>0</v>
      </c>
      <c r="E107" s="86">
        <f>SUM(E101:E106)</f>
        <v>1091752.95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4399336.5200000005</v>
      </c>
      <c r="D110" s="24" t="s">
        <v>312</v>
      </c>
      <c r="E110" s="95">
        <f>+('DOE25'!L273)+('DOE25'!L292)+('DOE25'!L311)</f>
        <v>601732.5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1659960.4099999997</v>
      </c>
      <c r="D111" s="24" t="s">
        <v>312</v>
      </c>
      <c r="E111" s="95">
        <f>+('DOE25'!L274)+('DOE25'!L293)+('DOE25'!L312)</f>
        <v>197981.93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1384251.77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3029812.1499999994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623473.54999999993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4156331.4799999995</v>
      </c>
      <c r="D115" s="24" t="s">
        <v>312</v>
      </c>
      <c r="E115" s="95">
        <f>+('DOE25'!L278)+('DOE25'!L297)+('DOE25'!L316)</f>
        <v>110363.75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2897232.07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129389.25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1312010.69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18279787.199999999</v>
      </c>
      <c r="D120" s="86">
        <f>SUM(D110:D119)</f>
        <v>1312010.69</v>
      </c>
      <c r="E120" s="86">
        <f>SUM(E110:E119)</f>
        <v>910078.17999999993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1062092.21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1385000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676891.25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260000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1000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2405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-3405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3123983.46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260000</v>
      </c>
    </row>
    <row r="137" spans="1:9" ht="12.75" thickTop="1" thickBot="1" x14ac:dyDescent="0.25">
      <c r="A137" s="33" t="s">
        <v>267</v>
      </c>
      <c r="C137" s="86">
        <f>(C107+C120+C136)</f>
        <v>60535494.869999997</v>
      </c>
      <c r="D137" s="86">
        <f>(D107+D120+D136)</f>
        <v>1312010.69</v>
      </c>
      <c r="E137" s="86">
        <f>(E107+E120+E136)</f>
        <v>2001831.13</v>
      </c>
      <c r="F137" s="86">
        <f>(F107+F120+F136)</f>
        <v>0</v>
      </c>
      <c r="G137" s="86">
        <f>(G107+G120+G136)</f>
        <v>260000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20</v>
      </c>
      <c r="D143" s="153">
        <f>'DOE25'!H480</f>
        <v>20</v>
      </c>
      <c r="E143" s="153">
        <f>'DOE25'!I480</f>
        <v>12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2/97</v>
      </c>
      <c r="C144" s="152" t="str">
        <f>'DOE25'!G481</f>
        <v>2/01</v>
      </c>
      <c r="D144" s="152" t="str">
        <f>'DOE25'!H481</f>
        <v>2/04</v>
      </c>
      <c r="E144" s="152" t="str">
        <f>'DOE25'!I481</f>
        <v>07/07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8/11</v>
      </c>
      <c r="C145" s="152" t="str">
        <f>'DOE25'!G482</f>
        <v>8/20</v>
      </c>
      <c r="D145" s="152" t="str">
        <f>'DOE25'!H482</f>
        <v>8/23</v>
      </c>
      <c r="E145" s="152" t="str">
        <f>'DOE25'!I482</f>
        <v>07/20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4737447</v>
      </c>
      <c r="C146" s="137">
        <f>'DOE25'!G483</f>
        <v>5915851</v>
      </c>
      <c r="D146" s="137">
        <f>'DOE25'!H483</f>
        <v>15525000</v>
      </c>
      <c r="E146" s="137">
        <f>'DOE25'!I483</f>
        <v>3675816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5.6</v>
      </c>
      <c r="C147" s="137">
        <f>'DOE25'!G484</f>
        <v>5.31</v>
      </c>
      <c r="D147" s="137">
        <f>'DOE25'!H484</f>
        <v>3.52</v>
      </c>
      <c r="E147" s="137">
        <f>'DOE25'!I484</f>
        <v>4.4800000000000004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945000</v>
      </c>
      <c r="C148" s="137">
        <f>'DOE25'!G485</f>
        <v>3245000</v>
      </c>
      <c r="D148" s="137">
        <f>'DOE25'!H485</f>
        <v>10850000</v>
      </c>
      <c r="E148" s="137">
        <f>'DOE25'!I485</f>
        <v>3147282.72</v>
      </c>
      <c r="F148" s="137">
        <f>'DOE25'!J485</f>
        <v>0</v>
      </c>
      <c r="G148" s="138">
        <f>SUM(B148:F148)</f>
        <v>18187282.719999999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315000</v>
      </c>
      <c r="C150" s="137">
        <f>'DOE25'!G487</f>
        <v>295000</v>
      </c>
      <c r="D150" s="137">
        <f>'DOE25'!H487</f>
        <v>775000</v>
      </c>
      <c r="E150" s="137">
        <f>'DOE25'!I487</f>
        <v>201903.98</v>
      </c>
      <c r="F150" s="137">
        <f>'DOE25'!J487</f>
        <v>0</v>
      </c>
      <c r="G150" s="138">
        <f t="shared" si="0"/>
        <v>1586903.98</v>
      </c>
    </row>
    <row r="151" spans="1:7" x14ac:dyDescent="0.2">
      <c r="A151" s="22" t="s">
        <v>35</v>
      </c>
      <c r="B151" s="137">
        <f>'DOE25'!F488</f>
        <v>630000</v>
      </c>
      <c r="C151" s="137">
        <f>'DOE25'!G488</f>
        <v>2950000</v>
      </c>
      <c r="D151" s="137">
        <f>'DOE25'!H488</f>
        <v>10075000</v>
      </c>
      <c r="E151" s="137">
        <f>'DOE25'!I488</f>
        <v>2945378.74</v>
      </c>
      <c r="F151" s="137">
        <f>'DOE25'!J488</f>
        <v>0</v>
      </c>
      <c r="G151" s="138">
        <f t="shared" si="0"/>
        <v>16600378.74</v>
      </c>
    </row>
    <row r="152" spans="1:7" x14ac:dyDescent="0.2">
      <c r="A152" s="22" t="s">
        <v>36</v>
      </c>
      <c r="B152" s="137">
        <f>'DOE25'!F489</f>
        <v>36225</v>
      </c>
      <c r="C152" s="137">
        <f>'DOE25'!G489</f>
        <v>711982.5</v>
      </c>
      <c r="D152" s="137">
        <f>'DOE25'!H489</f>
        <v>2964375</v>
      </c>
      <c r="E152" s="137">
        <f>'DOE25'!I489</f>
        <v>735454.91</v>
      </c>
      <c r="F152" s="137">
        <f>'DOE25'!J489</f>
        <v>0</v>
      </c>
      <c r="G152" s="138">
        <f t="shared" si="0"/>
        <v>4448037.41</v>
      </c>
    </row>
    <row r="153" spans="1:7" x14ac:dyDescent="0.2">
      <c r="A153" s="22" t="s">
        <v>37</v>
      </c>
      <c r="B153" s="137">
        <f>'DOE25'!F490</f>
        <v>666225</v>
      </c>
      <c r="C153" s="137">
        <f>'DOE25'!G490</f>
        <v>3661982.5</v>
      </c>
      <c r="D153" s="137">
        <f>'DOE25'!H490</f>
        <v>13039375</v>
      </c>
      <c r="E153" s="137">
        <f>'DOE25'!I490</f>
        <v>3680833.6500000004</v>
      </c>
      <c r="F153" s="137">
        <f>'DOE25'!J490</f>
        <v>0</v>
      </c>
      <c r="G153" s="138">
        <f t="shared" si="0"/>
        <v>21048416.149999999</v>
      </c>
    </row>
    <row r="154" spans="1:7" x14ac:dyDescent="0.2">
      <c r="A154" s="22" t="s">
        <v>38</v>
      </c>
      <c r="B154" s="137">
        <f>'DOE25'!F491</f>
        <v>315000</v>
      </c>
      <c r="C154" s="137">
        <f>'DOE25'!G491</f>
        <v>295000</v>
      </c>
      <c r="D154" s="137">
        <f>'DOE25'!H491</f>
        <v>775000</v>
      </c>
      <c r="E154" s="137">
        <f>'DOE25'!I491</f>
        <v>245382.58</v>
      </c>
      <c r="F154" s="137">
        <f>'DOE25'!J491</f>
        <v>0</v>
      </c>
      <c r="G154" s="138">
        <f t="shared" si="0"/>
        <v>1630382.58</v>
      </c>
    </row>
    <row r="155" spans="1:7" x14ac:dyDescent="0.2">
      <c r="A155" s="22" t="s">
        <v>39</v>
      </c>
      <c r="B155" s="137">
        <f>'DOE25'!F492</f>
        <v>9056</v>
      </c>
      <c r="C155" s="137">
        <f>'DOE25'!G492</f>
        <v>150008</v>
      </c>
      <c r="D155" s="137">
        <f>'DOE25'!H492</f>
        <v>445625</v>
      </c>
      <c r="E155" s="137">
        <f>'DOE25'!I492</f>
        <v>122054.17</v>
      </c>
      <c r="F155" s="137">
        <f>'DOE25'!J492</f>
        <v>0</v>
      </c>
      <c r="G155" s="138">
        <f t="shared" si="0"/>
        <v>726743.17</v>
      </c>
    </row>
    <row r="156" spans="1:7" x14ac:dyDescent="0.2">
      <c r="A156" s="22" t="s">
        <v>269</v>
      </c>
      <c r="B156" s="137">
        <f>'DOE25'!F493</f>
        <v>324056</v>
      </c>
      <c r="C156" s="137">
        <f>'DOE25'!G493</f>
        <v>445008</v>
      </c>
      <c r="D156" s="137">
        <f>'DOE25'!H493</f>
        <v>1220625</v>
      </c>
      <c r="E156" s="137">
        <f>'DOE25'!I493</f>
        <v>367436.75</v>
      </c>
      <c r="F156" s="137">
        <f>'DOE25'!J493</f>
        <v>0</v>
      </c>
      <c r="G156" s="138">
        <f t="shared" si="0"/>
        <v>2357125.75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C950-072E-4063-AA42-1435AEB09C12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Merrimack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13085</v>
      </c>
    </row>
    <row r="5" spans="1:4" x14ac:dyDescent="0.2">
      <c r="B5" t="s">
        <v>735</v>
      </c>
      <c r="C5" s="179">
        <f>IF('DOE25'!G655+'DOE25'!G660=0,0,ROUND('DOE25'!G662,0))</f>
        <v>12772</v>
      </c>
    </row>
    <row r="6" spans="1:4" x14ac:dyDescent="0.2">
      <c r="B6" t="s">
        <v>62</v>
      </c>
      <c r="C6" s="179">
        <f>IF('DOE25'!H655+'DOE25'!H660=0,0,ROUND('DOE25'!H662,0))</f>
        <v>12551</v>
      </c>
    </row>
    <row r="7" spans="1:4" x14ac:dyDescent="0.2">
      <c r="B7" t="s">
        <v>736</v>
      </c>
      <c r="C7" s="179">
        <f>IF('DOE25'!I655+'DOE25'!I660=0,0,ROUND('DOE25'!I662,0))</f>
        <v>12847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24028668</v>
      </c>
      <c r="D10" s="182">
        <f>ROUND((C10/$C$28)*100,1)</f>
        <v>39.9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15434562</v>
      </c>
      <c r="D11" s="182">
        <f>ROUND((C11/$C$28)*100,1)</f>
        <v>25.6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42377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709521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5001069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1857942</v>
      </c>
      <c r="D16" s="182">
        <f t="shared" si="0"/>
        <v>3.1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1513641</v>
      </c>
      <c r="D17" s="182">
        <f t="shared" si="0"/>
        <v>2.5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3029812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623474</v>
      </c>
      <c r="D19" s="182">
        <f t="shared" si="0"/>
        <v>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4266695</v>
      </c>
      <c r="D20" s="182">
        <f t="shared" si="0"/>
        <v>7.1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2897232</v>
      </c>
      <c r="D21" s="182">
        <f t="shared" si="0"/>
        <v>4.8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8349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676891</v>
      </c>
      <c r="D25" s="182">
        <f t="shared" si="0"/>
        <v>1.1000000000000001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149030.51</v>
      </c>
      <c r="D27" s="182">
        <f t="shared" si="0"/>
        <v>0.2</v>
      </c>
    </row>
    <row r="28" spans="1:4" x14ac:dyDescent="0.2">
      <c r="B28" s="187" t="s">
        <v>754</v>
      </c>
      <c r="C28" s="180">
        <f>SUM(C10:C27)</f>
        <v>60239263.509999998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1062092</v>
      </c>
    </row>
    <row r="30" spans="1:4" x14ac:dyDescent="0.2">
      <c r="B30" s="187" t="s">
        <v>760</v>
      </c>
      <c r="C30" s="180">
        <f>SUM(C28:C29)</f>
        <v>61301355.509999998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1385000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38943385</v>
      </c>
      <c r="D35" s="182">
        <f t="shared" ref="D35:D40" si="1">ROUND((C35/$C$41)*100,1)</f>
        <v>63.6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377449.96000000089</v>
      </c>
      <c r="D36" s="182">
        <f t="shared" si="1"/>
        <v>0.6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17159506</v>
      </c>
      <c r="D37" s="182">
        <f t="shared" si="1"/>
        <v>28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1787556</v>
      </c>
      <c r="D38" s="182">
        <f t="shared" si="1"/>
        <v>2.9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2949427</v>
      </c>
      <c r="D39" s="182">
        <f t="shared" si="1"/>
        <v>4.8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61217323.960000001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9A07-9F25-4688-901D-599DA1884B5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Merrimack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879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2011-10-21T14:15:35Z</cp:lastPrinted>
  <dcterms:created xsi:type="dcterms:W3CDTF">1997-12-04T19:04:30Z</dcterms:created>
  <dcterms:modified xsi:type="dcterms:W3CDTF">2025-01-10T20:05:42Z</dcterms:modified>
</cp:coreProperties>
</file>