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3C324ED-65E5-49B8-B06F-864F9474654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A2B8AB9E-2942-4D65-9038-045B898908E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9" i="1" l="1"/>
  <c r="H41" i="1"/>
  <c r="H462" i="1"/>
  <c r="H464" i="1" s="1"/>
  <c r="H466" i="1" s="1"/>
  <c r="H614" i="1" s="1"/>
  <c r="I513" i="1"/>
  <c r="I512" i="1"/>
  <c r="I511" i="1"/>
  <c r="I514" i="1" s="1"/>
  <c r="I535" i="1" s="1"/>
  <c r="H518" i="1"/>
  <c r="H516" i="1"/>
  <c r="L516" i="1" s="1"/>
  <c r="H511" i="1"/>
  <c r="H514" i="1" s="1"/>
  <c r="H513" i="1"/>
  <c r="I307" i="1"/>
  <c r="I320" i="1" s="1"/>
  <c r="I330" i="1" s="1"/>
  <c r="I288" i="1"/>
  <c r="I269" i="1"/>
  <c r="H194" i="1"/>
  <c r="H230" i="1"/>
  <c r="I225" i="1"/>
  <c r="C19" i="12"/>
  <c r="B10" i="12"/>
  <c r="B13" i="12" s="1"/>
  <c r="C10" i="12"/>
  <c r="C13" i="12" s="1"/>
  <c r="F463" i="1"/>
  <c r="F464" i="1" s="1"/>
  <c r="F466" i="1" s="1"/>
  <c r="H612" i="1" s="1"/>
  <c r="G23" i="1"/>
  <c r="G13" i="1"/>
  <c r="H13" i="1"/>
  <c r="E13" i="2" s="1"/>
  <c r="H23" i="1"/>
  <c r="H102" i="1"/>
  <c r="H594" i="1"/>
  <c r="H218" i="1"/>
  <c r="J581" i="1"/>
  <c r="I581" i="1"/>
  <c r="H581" i="1"/>
  <c r="G200" i="1"/>
  <c r="G199" i="1"/>
  <c r="G203" i="1" s="1"/>
  <c r="G249" i="1" s="1"/>
  <c r="G263" i="1" s="1"/>
  <c r="G236" i="1"/>
  <c r="G239" i="1" s="1"/>
  <c r="G218" i="1"/>
  <c r="H352" i="1"/>
  <c r="H351" i="1"/>
  <c r="F655" i="1"/>
  <c r="H569" i="1"/>
  <c r="H523" i="1"/>
  <c r="H522" i="1"/>
  <c r="H512" i="1"/>
  <c r="L512" i="1" s="1"/>
  <c r="F540" i="1" s="1"/>
  <c r="H521" i="1"/>
  <c r="H524" i="1" s="1"/>
  <c r="G492" i="1"/>
  <c r="G489" i="1"/>
  <c r="C152" i="2" s="1"/>
  <c r="G488" i="1"/>
  <c r="G462" i="1"/>
  <c r="I350" i="1"/>
  <c r="L350" i="1" s="1"/>
  <c r="H350" i="1"/>
  <c r="G350" i="1"/>
  <c r="F350" i="1"/>
  <c r="H153" i="1"/>
  <c r="H312" i="1"/>
  <c r="H306" i="1"/>
  <c r="H320" i="1" s="1"/>
  <c r="H307" i="1"/>
  <c r="H293" i="1"/>
  <c r="L293" i="1" s="1"/>
  <c r="C16" i="10" s="1"/>
  <c r="H288" i="1"/>
  <c r="L288" i="1" s="1"/>
  <c r="H287" i="1"/>
  <c r="H274" i="1"/>
  <c r="H269" i="1"/>
  <c r="L269" i="1" s="1"/>
  <c r="H268" i="1"/>
  <c r="H236" i="1"/>
  <c r="H235" i="1"/>
  <c r="H233" i="1"/>
  <c r="H232" i="1"/>
  <c r="H231" i="1"/>
  <c r="H228" i="1"/>
  <c r="H226" i="1"/>
  <c r="L226" i="1"/>
  <c r="C102" i="2" s="1"/>
  <c r="H225" i="1"/>
  <c r="H217" i="1"/>
  <c r="H215" i="1"/>
  <c r="H214" i="1"/>
  <c r="L214" i="1"/>
  <c r="H213" i="1"/>
  <c r="H212" i="1"/>
  <c r="H208" i="1"/>
  <c r="H207" i="1"/>
  <c r="L207" i="1"/>
  <c r="H200" i="1"/>
  <c r="H199" i="1"/>
  <c r="L199" i="1"/>
  <c r="H197" i="1"/>
  <c r="H196" i="1"/>
  <c r="H195" i="1"/>
  <c r="H190" i="1"/>
  <c r="H189" i="1"/>
  <c r="I41" i="1"/>
  <c r="G41" i="1"/>
  <c r="G29" i="1"/>
  <c r="D28" i="2" s="1"/>
  <c r="F88" i="1"/>
  <c r="C51" i="2" s="1"/>
  <c r="F42" i="1"/>
  <c r="F43" i="1" s="1"/>
  <c r="G612" i="1" s="1"/>
  <c r="F30" i="1"/>
  <c r="F33" i="1" s="1"/>
  <c r="C29" i="2"/>
  <c r="F14" i="1"/>
  <c r="F10" i="1"/>
  <c r="C37" i="10"/>
  <c r="C60" i="2"/>
  <c r="B2" i="13"/>
  <c r="F8" i="13"/>
  <c r="G8" i="13"/>
  <c r="L196" i="1"/>
  <c r="E8" i="13" s="1"/>
  <c r="C8" i="13" s="1"/>
  <c r="L232" i="1"/>
  <c r="D39" i="13"/>
  <c r="F13" i="13"/>
  <c r="G13" i="13"/>
  <c r="L198" i="1"/>
  <c r="L216" i="1"/>
  <c r="L234" i="1"/>
  <c r="F16" i="13"/>
  <c r="G16" i="13"/>
  <c r="L201" i="1"/>
  <c r="L219" i="1"/>
  <c r="L237" i="1"/>
  <c r="F5" i="13"/>
  <c r="G5" i="13"/>
  <c r="L189" i="1"/>
  <c r="L190" i="1"/>
  <c r="L191" i="1"/>
  <c r="L192" i="1"/>
  <c r="L208" i="1"/>
  <c r="L209" i="1"/>
  <c r="L210" i="1"/>
  <c r="C104" i="2" s="1"/>
  <c r="L227" i="1"/>
  <c r="C12" i="10" s="1"/>
  <c r="L228" i="1"/>
  <c r="F6" i="13"/>
  <c r="G6" i="13"/>
  <c r="D6" i="13" s="1"/>
  <c r="C6" i="13" s="1"/>
  <c r="L194" i="1"/>
  <c r="L212" i="1"/>
  <c r="L230" i="1"/>
  <c r="F7" i="13"/>
  <c r="G7" i="13"/>
  <c r="L195" i="1"/>
  <c r="L213" i="1"/>
  <c r="L231" i="1"/>
  <c r="F12" i="13"/>
  <c r="G12" i="13"/>
  <c r="L197" i="1"/>
  <c r="L215" i="1"/>
  <c r="C113" i="2" s="1"/>
  <c r="L233" i="1"/>
  <c r="F14" i="13"/>
  <c r="G14" i="13"/>
  <c r="L217" i="1"/>
  <c r="L235" i="1"/>
  <c r="F15" i="13"/>
  <c r="G15" i="13"/>
  <c r="L218" i="1"/>
  <c r="F17" i="13"/>
  <c r="G17" i="13"/>
  <c r="D17" i="13" s="1"/>
  <c r="C17" i="13" s="1"/>
  <c r="L243" i="1"/>
  <c r="F18" i="13"/>
  <c r="G18" i="13"/>
  <c r="L244" i="1"/>
  <c r="C24" i="10" s="1"/>
  <c r="F19" i="13"/>
  <c r="G19" i="13"/>
  <c r="D19" i="13"/>
  <c r="C19" i="13" s="1"/>
  <c r="L245" i="1"/>
  <c r="F29" i="13"/>
  <c r="G29" i="13"/>
  <c r="L351" i="1"/>
  <c r="G651" i="1" s="1"/>
  <c r="L352" i="1"/>
  <c r="I359" i="1"/>
  <c r="I361" i="1" s="1"/>
  <c r="H624" i="1" s="1"/>
  <c r="J282" i="1"/>
  <c r="J301" i="1"/>
  <c r="F31" i="13" s="1"/>
  <c r="J320" i="1"/>
  <c r="K282" i="1"/>
  <c r="K301" i="1"/>
  <c r="G31" i="13" s="1"/>
  <c r="K320" i="1"/>
  <c r="L268" i="1"/>
  <c r="L270" i="1"/>
  <c r="L271" i="1"/>
  <c r="L273" i="1"/>
  <c r="L274" i="1"/>
  <c r="L275" i="1"/>
  <c r="E112" i="2" s="1"/>
  <c r="L276" i="1"/>
  <c r="L277" i="1"/>
  <c r="L278" i="1"/>
  <c r="L279" i="1"/>
  <c r="L280" i="1"/>
  <c r="L289" i="1"/>
  <c r="L290" i="1"/>
  <c r="E104" i="2" s="1"/>
  <c r="L292" i="1"/>
  <c r="L294" i="1"/>
  <c r="L295" i="1"/>
  <c r="L296" i="1"/>
  <c r="L297" i="1"/>
  <c r="L298" i="1"/>
  <c r="L299" i="1"/>
  <c r="L307" i="1"/>
  <c r="L308" i="1"/>
  <c r="E103" i="2" s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L253" i="1"/>
  <c r="C124" i="2" s="1"/>
  <c r="L333" i="1"/>
  <c r="L343" i="1" s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 s="1"/>
  <c r="B27" i="12"/>
  <c r="C27" i="12"/>
  <c r="B31" i="12"/>
  <c r="A31" i="12" s="1"/>
  <c r="C31" i="12"/>
  <c r="B9" i="12"/>
  <c r="C9" i="12"/>
  <c r="B18" i="12"/>
  <c r="C18" i="12"/>
  <c r="B22" i="12"/>
  <c r="A22" i="12" s="1"/>
  <c r="C22" i="12"/>
  <c r="B1" i="12"/>
  <c r="L379" i="1"/>
  <c r="L385" i="1" s="1"/>
  <c r="C130" i="2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48" i="2"/>
  <c r="G51" i="2"/>
  <c r="G53" i="2"/>
  <c r="G54" i="2"/>
  <c r="F2" i="11"/>
  <c r="L603" i="1"/>
  <c r="H653" i="1"/>
  <c r="L602" i="1"/>
  <c r="G653" i="1" s="1"/>
  <c r="L601" i="1"/>
  <c r="F653" i="1"/>
  <c r="I653" i="1" s="1"/>
  <c r="C40" i="10"/>
  <c r="F52" i="1"/>
  <c r="G52" i="1"/>
  <c r="H52" i="1"/>
  <c r="E48" i="2" s="1"/>
  <c r="I52" i="1"/>
  <c r="I104" i="1"/>
  <c r="F71" i="1"/>
  <c r="F86" i="1"/>
  <c r="C50" i="2" s="1"/>
  <c r="G103" i="1"/>
  <c r="H71" i="1"/>
  <c r="H86" i="1"/>
  <c r="E50" i="2" s="1"/>
  <c r="H103" i="1"/>
  <c r="I103" i="1"/>
  <c r="J103" i="1"/>
  <c r="F113" i="1"/>
  <c r="F132" i="1" s="1"/>
  <c r="F128" i="1"/>
  <c r="G113" i="1"/>
  <c r="G128" i="1"/>
  <c r="G132" i="1" s="1"/>
  <c r="H113" i="1"/>
  <c r="H132" i="1" s="1"/>
  <c r="H128" i="1"/>
  <c r="I113" i="1"/>
  <c r="I132" i="1"/>
  <c r="I128" i="1"/>
  <c r="J113" i="1"/>
  <c r="J128" i="1"/>
  <c r="J132" i="1"/>
  <c r="F139" i="1"/>
  <c r="C77" i="2" s="1"/>
  <c r="F154" i="1"/>
  <c r="F161" i="1"/>
  <c r="G139" i="1"/>
  <c r="G161" i="1"/>
  <c r="G154" i="1"/>
  <c r="H139" i="1"/>
  <c r="H161" i="1" s="1"/>
  <c r="C39" i="10" s="1"/>
  <c r="H154" i="1"/>
  <c r="I139" i="1"/>
  <c r="I154" i="1"/>
  <c r="I161" i="1" s="1"/>
  <c r="I185" i="1" s="1"/>
  <c r="G620" i="1" s="1"/>
  <c r="J620" i="1" s="1"/>
  <c r="C19" i="10"/>
  <c r="L242" i="1"/>
  <c r="L324" i="1"/>
  <c r="E105" i="2" s="1"/>
  <c r="L246" i="1"/>
  <c r="L260" i="1"/>
  <c r="L261" i="1"/>
  <c r="L341" i="1"/>
  <c r="L342" i="1"/>
  <c r="C26" i="10" s="1"/>
  <c r="I655" i="1"/>
  <c r="I660" i="1"/>
  <c r="H651" i="1"/>
  <c r="I659" i="1"/>
  <c r="C42" i="10"/>
  <c r="L366" i="1"/>
  <c r="L367" i="1"/>
  <c r="L368" i="1"/>
  <c r="L369" i="1"/>
  <c r="L370" i="1"/>
  <c r="F122" i="2"/>
  <c r="F126" i="2"/>
  <c r="F136" i="2"/>
  <c r="F120" i="2"/>
  <c r="L371" i="1"/>
  <c r="L372" i="1"/>
  <c r="B2" i="10"/>
  <c r="L336" i="1"/>
  <c r="L337" i="1"/>
  <c r="L338" i="1"/>
  <c r="E129" i="2" s="1"/>
  <c r="L339" i="1"/>
  <c r="K343" i="1"/>
  <c r="L513" i="1"/>
  <c r="F541" i="1" s="1"/>
  <c r="K541" i="1" s="1"/>
  <c r="L517" i="1"/>
  <c r="G540" i="1"/>
  <c r="L532" i="1"/>
  <c r="L534" i="1" s="1"/>
  <c r="J540" i="1"/>
  <c r="L518" i="1"/>
  <c r="G541" i="1" s="1"/>
  <c r="L522" i="1"/>
  <c r="H540" i="1" s="1"/>
  <c r="L523" i="1"/>
  <c r="H541" i="1"/>
  <c r="L526" i="1"/>
  <c r="I539" i="1"/>
  <c r="L527" i="1"/>
  <c r="I540" i="1"/>
  <c r="K540" i="1" s="1"/>
  <c r="L528" i="1"/>
  <c r="I541" i="1"/>
  <c r="L531" i="1"/>
  <c r="J539" i="1" s="1"/>
  <c r="J542" i="1" s="1"/>
  <c r="L533" i="1"/>
  <c r="J541" i="1"/>
  <c r="E124" i="2"/>
  <c r="E123" i="2"/>
  <c r="K262" i="1"/>
  <c r="J262" i="1"/>
  <c r="I262" i="1"/>
  <c r="H262" i="1"/>
  <c r="L262" i="1" s="1"/>
  <c r="G262" i="1"/>
  <c r="F262" i="1"/>
  <c r="A1" i="2"/>
  <c r="A2" i="2"/>
  <c r="C9" i="2"/>
  <c r="D9" i="2"/>
  <c r="D19" i="2" s="1"/>
  <c r="E9" i="2"/>
  <c r="F9" i="2"/>
  <c r="F19" i="2" s="1"/>
  <c r="F10" i="2"/>
  <c r="F12" i="2"/>
  <c r="F13" i="2"/>
  <c r="F14" i="2"/>
  <c r="F15" i="2"/>
  <c r="F16" i="2"/>
  <c r="F17" i="2"/>
  <c r="F18" i="2"/>
  <c r="I431" i="1"/>
  <c r="I438" i="1" s="1"/>
  <c r="G632" i="1" s="1"/>
  <c r="J9" i="1"/>
  <c r="C10" i="2"/>
  <c r="C19" i="2" s="1"/>
  <c r="D10" i="2"/>
  <c r="E10" i="2"/>
  <c r="I432" i="1"/>
  <c r="J10" i="1" s="1"/>
  <c r="G10" i="2" s="1"/>
  <c r="C11" i="2"/>
  <c r="C12" i="2"/>
  <c r="D12" i="2"/>
  <c r="E12" i="2"/>
  <c r="I433" i="1"/>
  <c r="J12" i="1"/>
  <c r="G12" i="2"/>
  <c r="C13" i="2"/>
  <c r="D13" i="2"/>
  <c r="I434" i="1"/>
  <c r="J13" i="1"/>
  <c r="C14" i="2"/>
  <c r="D14" i="2"/>
  <c r="E14" i="2"/>
  <c r="I435" i="1"/>
  <c r="J14" i="1"/>
  <c r="G14" i="2"/>
  <c r="C16" i="2"/>
  <c r="D16" i="2"/>
  <c r="E16" i="2"/>
  <c r="C17" i="2"/>
  <c r="D17" i="2"/>
  <c r="E17" i="2"/>
  <c r="I436" i="1"/>
  <c r="J17" i="1"/>
  <c r="G17" i="2"/>
  <c r="C18" i="2"/>
  <c r="D18" i="2"/>
  <c r="E18" i="2"/>
  <c r="I437" i="1"/>
  <c r="J18" i="1" s="1"/>
  <c r="G18" i="2" s="1"/>
  <c r="C22" i="2"/>
  <c r="C23" i="2"/>
  <c r="C24" i="2"/>
  <c r="C25" i="2"/>
  <c r="C26" i="2"/>
  <c r="C27" i="2"/>
  <c r="C28" i="2"/>
  <c r="C30" i="2"/>
  <c r="C31" i="2"/>
  <c r="C32" i="2"/>
  <c r="E22" i="2"/>
  <c r="E23" i="2"/>
  <c r="E24" i="2"/>
  <c r="E25" i="2"/>
  <c r="E28" i="2"/>
  <c r="E29" i="2"/>
  <c r="E30" i="2"/>
  <c r="E31" i="2"/>
  <c r="E32" i="2"/>
  <c r="E34" i="2"/>
  <c r="E35" i="2"/>
  <c r="E36" i="2"/>
  <c r="E37" i="2"/>
  <c r="E38" i="2"/>
  <c r="E40" i="2"/>
  <c r="E41" i="2"/>
  <c r="F22" i="2"/>
  <c r="I440" i="1"/>
  <c r="J23" i="1"/>
  <c r="G22" i="2" s="1"/>
  <c r="D23" i="2"/>
  <c r="F23" i="2"/>
  <c r="F32" i="2" s="1"/>
  <c r="I441" i="1"/>
  <c r="J24" i="1"/>
  <c r="G23" i="2" s="1"/>
  <c r="D24" i="2"/>
  <c r="F24" i="2"/>
  <c r="I442" i="1"/>
  <c r="J25" i="1"/>
  <c r="G24" i="2"/>
  <c r="D25" i="2"/>
  <c r="F25" i="2"/>
  <c r="F26" i="2"/>
  <c r="F27" i="2"/>
  <c r="F28" i="2"/>
  <c r="D29" i="2"/>
  <c r="F29" i="2"/>
  <c r="D30" i="2"/>
  <c r="F30" i="2"/>
  <c r="D31" i="2"/>
  <c r="F31" i="2"/>
  <c r="I443" i="1"/>
  <c r="J32" i="1"/>
  <c r="G31" i="2"/>
  <c r="C34" i="2"/>
  <c r="C42" i="2" s="1"/>
  <c r="C43" i="2" s="1"/>
  <c r="D34" i="2"/>
  <c r="D35" i="2"/>
  <c r="D36" i="2"/>
  <c r="D37" i="2"/>
  <c r="D38" i="2"/>
  <c r="D40" i="2"/>
  <c r="D41" i="2"/>
  <c r="D42" i="2"/>
  <c r="F34" i="2"/>
  <c r="F42" i="2" s="1"/>
  <c r="C35" i="2"/>
  <c r="F35" i="2"/>
  <c r="F36" i="2"/>
  <c r="F37" i="2"/>
  <c r="F38" i="2"/>
  <c r="F40" i="2"/>
  <c r="F41" i="2"/>
  <c r="C36" i="2"/>
  <c r="I446" i="1"/>
  <c r="I450" i="1" s="1"/>
  <c r="C37" i="2"/>
  <c r="I447" i="1"/>
  <c r="J38" i="1" s="1"/>
  <c r="G37" i="2" s="1"/>
  <c r="C38" i="2"/>
  <c r="I448" i="1"/>
  <c r="J40" i="1" s="1"/>
  <c r="G39" i="2" s="1"/>
  <c r="C40" i="2"/>
  <c r="I449" i="1"/>
  <c r="J41" i="1"/>
  <c r="G40" i="2" s="1"/>
  <c r="C41" i="2"/>
  <c r="F48" i="2"/>
  <c r="C49" i="2"/>
  <c r="C53" i="2"/>
  <c r="D51" i="2"/>
  <c r="D54" i="2" s="1"/>
  <c r="E51" i="2"/>
  <c r="F51" i="2"/>
  <c r="F54" i="2" s="1"/>
  <c r="F55" i="2" s="1"/>
  <c r="D52" i="2"/>
  <c r="D53" i="2"/>
  <c r="E53" i="2"/>
  <c r="F53" i="2"/>
  <c r="C58" i="2"/>
  <c r="C59" i="2"/>
  <c r="C62" i="2" s="1"/>
  <c r="C61" i="2"/>
  <c r="D61" i="2"/>
  <c r="D62" i="2"/>
  <c r="E61" i="2"/>
  <c r="E62" i="2" s="1"/>
  <c r="F61" i="2"/>
  <c r="G61" i="2"/>
  <c r="G62" i="2"/>
  <c r="G69" i="2"/>
  <c r="G70" i="2"/>
  <c r="G73" i="2" s="1"/>
  <c r="F62" i="2"/>
  <c r="C64" i="2"/>
  <c r="F64" i="2"/>
  <c r="F70" i="2" s="1"/>
  <c r="F73" i="2" s="1"/>
  <c r="C65" i="2"/>
  <c r="C66" i="2"/>
  <c r="C67" i="2"/>
  <c r="C68" i="2"/>
  <c r="C69" i="2"/>
  <c r="C71" i="2"/>
  <c r="C72" i="2"/>
  <c r="F65" i="2"/>
  <c r="E68" i="2"/>
  <c r="E70" i="2" s="1"/>
  <c r="F68" i="2"/>
  <c r="D69" i="2"/>
  <c r="D70" i="2" s="1"/>
  <c r="D73" i="2" s="1"/>
  <c r="D71" i="2"/>
  <c r="D77" i="2"/>
  <c r="D80" i="2"/>
  <c r="D81" i="2"/>
  <c r="D83" i="2"/>
  <c r="D88" i="2"/>
  <c r="D89" i="2"/>
  <c r="D90" i="2"/>
  <c r="D91" i="2"/>
  <c r="D92" i="2"/>
  <c r="D93" i="2"/>
  <c r="D94" i="2"/>
  <c r="E69" i="2"/>
  <c r="F69" i="2"/>
  <c r="E71" i="2"/>
  <c r="E72" i="2"/>
  <c r="E73" i="2"/>
  <c r="E77" i="2"/>
  <c r="E83" i="2" s="1"/>
  <c r="C79" i="2"/>
  <c r="E79" i="2"/>
  <c r="F79" i="2"/>
  <c r="C80" i="2"/>
  <c r="E80" i="2"/>
  <c r="F80" i="2"/>
  <c r="C81" i="2"/>
  <c r="E81" i="2"/>
  <c r="F81" i="2"/>
  <c r="C82" i="2"/>
  <c r="C85" i="2"/>
  <c r="C86" i="2"/>
  <c r="C89" i="2"/>
  <c r="C90" i="2"/>
  <c r="C91" i="2"/>
  <c r="C92" i="2"/>
  <c r="C93" i="2"/>
  <c r="C94" i="2"/>
  <c r="C95" i="2"/>
  <c r="F85" i="2"/>
  <c r="F86" i="2"/>
  <c r="E88" i="2"/>
  <c r="F88" i="2"/>
  <c r="G88" i="2"/>
  <c r="G95" i="2" s="1"/>
  <c r="G89" i="2"/>
  <c r="G90" i="2"/>
  <c r="E89" i="2"/>
  <c r="E90" i="2"/>
  <c r="E91" i="2"/>
  <c r="E92" i="2"/>
  <c r="E93" i="2"/>
  <c r="E94" i="2"/>
  <c r="E95" i="2"/>
  <c r="F89" i="2"/>
  <c r="F91" i="2"/>
  <c r="F92" i="2"/>
  <c r="F93" i="2"/>
  <c r="F94" i="2"/>
  <c r="C106" i="2"/>
  <c r="E106" i="2"/>
  <c r="D107" i="2"/>
  <c r="F107" i="2"/>
  <c r="F137" i="2" s="1"/>
  <c r="G107" i="2"/>
  <c r="C110" i="2"/>
  <c r="E113" i="2"/>
  <c r="E114" i="2"/>
  <c r="E115" i="2"/>
  <c r="E116" i="2"/>
  <c r="E117" i="2"/>
  <c r="C114" i="2"/>
  <c r="G120" i="2"/>
  <c r="C122" i="2"/>
  <c r="E122" i="2"/>
  <c r="D126" i="2"/>
  <c r="D136" i="2" s="1"/>
  <c r="E126" i="2"/>
  <c r="K411" i="1"/>
  <c r="K426" i="1" s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D151" i="2"/>
  <c r="E151" i="2"/>
  <c r="F151" i="2"/>
  <c r="B152" i="2"/>
  <c r="D152" i="2"/>
  <c r="E152" i="2"/>
  <c r="F152" i="2"/>
  <c r="F490" i="1"/>
  <c r="B153" i="2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D155" i="2"/>
  <c r="E155" i="2"/>
  <c r="F155" i="2"/>
  <c r="F493" i="1"/>
  <c r="B156" i="2" s="1"/>
  <c r="H493" i="1"/>
  <c r="D156" i="2" s="1"/>
  <c r="I493" i="1"/>
  <c r="E156" i="2"/>
  <c r="J493" i="1"/>
  <c r="F156" i="2"/>
  <c r="F19" i="1"/>
  <c r="G607" i="1" s="1"/>
  <c r="G19" i="1"/>
  <c r="G608" i="1" s="1"/>
  <c r="H19" i="1"/>
  <c r="G609" i="1" s="1"/>
  <c r="J609" i="1" s="1"/>
  <c r="I19" i="1"/>
  <c r="G610" i="1" s="1"/>
  <c r="J610" i="1" s="1"/>
  <c r="H33" i="1"/>
  <c r="I33" i="1"/>
  <c r="G43" i="1"/>
  <c r="H43" i="1"/>
  <c r="I43" i="1"/>
  <c r="I44" i="1" s="1"/>
  <c r="H610" i="1" s="1"/>
  <c r="F169" i="1"/>
  <c r="I169" i="1"/>
  <c r="I184" i="1"/>
  <c r="F175" i="1"/>
  <c r="G175" i="1"/>
  <c r="G184" i="1" s="1"/>
  <c r="H175" i="1"/>
  <c r="I175" i="1"/>
  <c r="J175" i="1"/>
  <c r="J184" i="1" s="1"/>
  <c r="F180" i="1"/>
  <c r="G180" i="1"/>
  <c r="H180" i="1"/>
  <c r="H184" i="1" s="1"/>
  <c r="I180" i="1"/>
  <c r="F203" i="1"/>
  <c r="F249" i="1" s="1"/>
  <c r="F263" i="1" s="1"/>
  <c r="I203" i="1"/>
  <c r="J203" i="1"/>
  <c r="J249" i="1" s="1"/>
  <c r="J263" i="1" s="1"/>
  <c r="K203" i="1"/>
  <c r="K249" i="1" s="1"/>
  <c r="K263" i="1" s="1"/>
  <c r="F221" i="1"/>
  <c r="G221" i="1"/>
  <c r="H221" i="1"/>
  <c r="I221" i="1"/>
  <c r="J221" i="1"/>
  <c r="K221" i="1"/>
  <c r="F239" i="1"/>
  <c r="I239" i="1"/>
  <c r="J239" i="1"/>
  <c r="K239" i="1"/>
  <c r="F248" i="1"/>
  <c r="G248" i="1"/>
  <c r="L248" i="1" s="1"/>
  <c r="H248" i="1"/>
  <c r="I248" i="1"/>
  <c r="I249" i="1" s="1"/>
  <c r="I263" i="1" s="1"/>
  <c r="J248" i="1"/>
  <c r="K248" i="1"/>
  <c r="F282" i="1"/>
  <c r="G282" i="1"/>
  <c r="H282" i="1"/>
  <c r="I282" i="1"/>
  <c r="I344" i="1"/>
  <c r="F301" i="1"/>
  <c r="F330" i="1" s="1"/>
  <c r="F344" i="1" s="1"/>
  <c r="G301" i="1"/>
  <c r="I301" i="1"/>
  <c r="F320" i="1"/>
  <c r="G320" i="1"/>
  <c r="F329" i="1"/>
  <c r="G329" i="1"/>
  <c r="G330" i="1" s="1"/>
  <c r="G344" i="1" s="1"/>
  <c r="H329" i="1"/>
  <c r="L329" i="1"/>
  <c r="I329" i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L374" i="1"/>
  <c r="G626" i="1"/>
  <c r="J626" i="1"/>
  <c r="F374" i="1"/>
  <c r="G374" i="1"/>
  <c r="H374" i="1"/>
  <c r="I374" i="1"/>
  <c r="J374" i="1"/>
  <c r="K374" i="1"/>
  <c r="F385" i="1"/>
  <c r="F400" i="1" s="1"/>
  <c r="H633" i="1" s="1"/>
  <c r="G385" i="1"/>
  <c r="G400" i="1"/>
  <c r="H635" i="1"/>
  <c r="J635" i="1" s="1"/>
  <c r="H385" i="1"/>
  <c r="I385" i="1"/>
  <c r="F393" i="1"/>
  <c r="G393" i="1"/>
  <c r="H393" i="1"/>
  <c r="I393" i="1"/>
  <c r="F399" i="1"/>
  <c r="G399" i="1"/>
  <c r="H399" i="1"/>
  <c r="I399" i="1"/>
  <c r="I400" i="1"/>
  <c r="H400" i="1"/>
  <c r="L405" i="1"/>
  <c r="L411" i="1"/>
  <c r="L406" i="1"/>
  <c r="L407" i="1"/>
  <c r="L408" i="1"/>
  <c r="L409" i="1"/>
  <c r="L410" i="1"/>
  <c r="F411" i="1"/>
  <c r="G411" i="1"/>
  <c r="H411" i="1"/>
  <c r="H426" i="1" s="1"/>
  <c r="I411" i="1"/>
  <c r="I426" i="1" s="1"/>
  <c r="J411" i="1"/>
  <c r="L413" i="1"/>
  <c r="L414" i="1"/>
  <c r="L415" i="1"/>
  <c r="L416" i="1"/>
  <c r="L419" i="1" s="1"/>
  <c r="L417" i="1"/>
  <c r="L418" i="1"/>
  <c r="F419" i="1"/>
  <c r="F426" i="1" s="1"/>
  <c r="G419" i="1"/>
  <c r="G426" i="1" s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 s="1"/>
  <c r="F438" i="1"/>
  <c r="G438" i="1"/>
  <c r="G630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J631" i="1" s="1"/>
  <c r="I444" i="1"/>
  <c r="I451" i="1" s="1"/>
  <c r="H632" i="1" s="1"/>
  <c r="F450" i="1"/>
  <c r="G450" i="1"/>
  <c r="H450" i="1"/>
  <c r="F460" i="1"/>
  <c r="G460" i="1"/>
  <c r="G466" i="1"/>
  <c r="H613" i="1" s="1"/>
  <c r="J613" i="1" s="1"/>
  <c r="H460" i="1"/>
  <c r="J614" i="1"/>
  <c r="I460" i="1"/>
  <c r="I466" i="1" s="1"/>
  <c r="H615" i="1" s="1"/>
  <c r="J460" i="1"/>
  <c r="G464" i="1"/>
  <c r="I464" i="1"/>
  <c r="J464" i="1"/>
  <c r="J466" i="1"/>
  <c r="K485" i="1"/>
  <c r="K486" i="1"/>
  <c r="K487" i="1"/>
  <c r="K491" i="1"/>
  <c r="F507" i="1"/>
  <c r="G507" i="1"/>
  <c r="H507" i="1"/>
  <c r="I507" i="1"/>
  <c r="F514" i="1"/>
  <c r="F534" i="1"/>
  <c r="G514" i="1"/>
  <c r="G534" i="1"/>
  <c r="G535" i="1"/>
  <c r="J514" i="1"/>
  <c r="K514" i="1"/>
  <c r="K535" i="1" s="1"/>
  <c r="F519" i="1"/>
  <c r="F535" i="1" s="1"/>
  <c r="G519" i="1"/>
  <c r="I519" i="1"/>
  <c r="I534" i="1"/>
  <c r="J519" i="1"/>
  <c r="K519" i="1"/>
  <c r="F524" i="1"/>
  <c r="G524" i="1"/>
  <c r="I524" i="1"/>
  <c r="J524" i="1"/>
  <c r="K524" i="1"/>
  <c r="F529" i="1"/>
  <c r="G529" i="1"/>
  <c r="H529" i="1"/>
  <c r="I529" i="1"/>
  <c r="J529" i="1"/>
  <c r="K529" i="1"/>
  <c r="H534" i="1"/>
  <c r="J534" i="1"/>
  <c r="K534" i="1"/>
  <c r="L547" i="1"/>
  <c r="L548" i="1"/>
  <c r="L549" i="1"/>
  <c r="F550" i="1"/>
  <c r="F561" i="1" s="1"/>
  <c r="G550" i="1"/>
  <c r="H550" i="1"/>
  <c r="H561" i="1" s="1"/>
  <c r="I550" i="1"/>
  <c r="J550" i="1"/>
  <c r="K550" i="1"/>
  <c r="K561" i="1"/>
  <c r="L552" i="1"/>
  <c r="L553" i="1"/>
  <c r="L554" i="1"/>
  <c r="F555" i="1"/>
  <c r="G555" i="1"/>
  <c r="G561" i="1" s="1"/>
  <c r="H555" i="1"/>
  <c r="I555" i="1"/>
  <c r="I561" i="1" s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I588" i="1"/>
  <c r="H640" i="1" s="1"/>
  <c r="J588" i="1"/>
  <c r="H641" i="1" s="1"/>
  <c r="K592" i="1"/>
  <c r="K593" i="1"/>
  <c r="K594" i="1"/>
  <c r="K595" i="1" s="1"/>
  <c r="G638" i="1" s="1"/>
  <c r="H595" i="1"/>
  <c r="I595" i="1"/>
  <c r="J595" i="1"/>
  <c r="F604" i="1"/>
  <c r="G604" i="1"/>
  <c r="H604" i="1"/>
  <c r="I604" i="1"/>
  <c r="J604" i="1"/>
  <c r="K604" i="1"/>
  <c r="G613" i="1"/>
  <c r="G614" i="1"/>
  <c r="H616" i="1"/>
  <c r="H617" i="1"/>
  <c r="H618" i="1"/>
  <c r="H619" i="1"/>
  <c r="H620" i="1"/>
  <c r="H621" i="1"/>
  <c r="H622" i="1"/>
  <c r="H625" i="1"/>
  <c r="H626" i="1"/>
  <c r="H627" i="1"/>
  <c r="H628" i="1"/>
  <c r="G629" i="1"/>
  <c r="G631" i="1"/>
  <c r="G633" i="1"/>
  <c r="J633" i="1" s="1"/>
  <c r="G634" i="1"/>
  <c r="H634" i="1"/>
  <c r="J634" i="1"/>
  <c r="G635" i="1"/>
  <c r="G642" i="1"/>
  <c r="H642" i="1"/>
  <c r="J642" i="1" s="1"/>
  <c r="G643" i="1"/>
  <c r="J643" i="1"/>
  <c r="H643" i="1"/>
  <c r="G644" i="1"/>
  <c r="J644" i="1" s="1"/>
  <c r="H644" i="1"/>
  <c r="G645" i="1"/>
  <c r="J645" i="1"/>
  <c r="H645" i="1"/>
  <c r="G149" i="2"/>
  <c r="D18" i="13"/>
  <c r="C18" i="13" s="1"/>
  <c r="L604" i="1"/>
  <c r="J535" i="1"/>
  <c r="K330" i="1"/>
  <c r="K344" i="1" s="1"/>
  <c r="C18" i="10"/>
  <c r="L282" i="1"/>
  <c r="C29" i="10"/>
  <c r="G13" i="2"/>
  <c r="H44" i="1"/>
  <c r="H609" i="1" s="1"/>
  <c r="H623" i="1"/>
  <c r="C112" i="2"/>
  <c r="F77" i="2"/>
  <c r="C151" i="2" l="1"/>
  <c r="K488" i="1"/>
  <c r="G490" i="1"/>
  <c r="H519" i="1"/>
  <c r="H535" i="1" s="1"/>
  <c r="L426" i="1"/>
  <c r="G628" i="1" s="1"/>
  <c r="J628" i="1" s="1"/>
  <c r="J632" i="1"/>
  <c r="L203" i="1"/>
  <c r="J624" i="1"/>
  <c r="G148" i="2"/>
  <c r="J37" i="1"/>
  <c r="C23" i="10"/>
  <c r="C105" i="2"/>
  <c r="C83" i="2"/>
  <c r="C38" i="10"/>
  <c r="G104" i="1"/>
  <c r="G185" i="1" s="1"/>
  <c r="G618" i="1" s="1"/>
  <c r="J618" i="1" s="1"/>
  <c r="D48" i="2"/>
  <c r="D55" i="2" s="1"/>
  <c r="G55" i="2"/>
  <c r="G96" i="2" s="1"/>
  <c r="H203" i="1"/>
  <c r="E102" i="2"/>
  <c r="F651" i="1"/>
  <c r="I651" i="1" s="1"/>
  <c r="D29" i="13"/>
  <c r="C29" i="13" s="1"/>
  <c r="D119" i="2"/>
  <c r="D120" i="2" s="1"/>
  <c r="D137" i="2" s="1"/>
  <c r="L354" i="1"/>
  <c r="G621" i="1"/>
  <c r="J621" i="1" s="1"/>
  <c r="G636" i="1"/>
  <c r="D22" i="2"/>
  <c r="D32" i="2" s="1"/>
  <c r="D43" i="2" s="1"/>
  <c r="G33" i="1"/>
  <c r="G44" i="1" s="1"/>
  <c r="H608" i="1" s="1"/>
  <c r="J608" i="1" s="1"/>
  <c r="L555" i="1"/>
  <c r="G152" i="2"/>
  <c r="E136" i="2"/>
  <c r="I542" i="1"/>
  <c r="E49" i="2"/>
  <c r="E54" i="2" s="1"/>
  <c r="E55" i="2" s="1"/>
  <c r="E96" i="2" s="1"/>
  <c r="H104" i="1"/>
  <c r="H185" i="1" s="1"/>
  <c r="G619" i="1" s="1"/>
  <c r="J619" i="1" s="1"/>
  <c r="E111" i="2"/>
  <c r="A13" i="12"/>
  <c r="C20" i="10"/>
  <c r="C115" i="2"/>
  <c r="D14" i="13"/>
  <c r="C14" i="13" s="1"/>
  <c r="J612" i="1"/>
  <c r="J629" i="1"/>
  <c r="L529" i="1"/>
  <c r="L511" i="1"/>
  <c r="C133" i="2"/>
  <c r="E110" i="2"/>
  <c r="E120" i="2" s="1"/>
  <c r="C35" i="10"/>
  <c r="C48" i="2"/>
  <c r="C55" i="2" s="1"/>
  <c r="C96" i="2" s="1"/>
  <c r="F95" i="2"/>
  <c r="L550" i="1"/>
  <c r="K489" i="1"/>
  <c r="J330" i="1"/>
  <c r="E13" i="13"/>
  <c r="G539" i="1"/>
  <c r="G542" i="1" s="1"/>
  <c r="L519" i="1"/>
  <c r="J607" i="1"/>
  <c r="F83" i="2"/>
  <c r="F96" i="2" s="1"/>
  <c r="C70" i="2"/>
  <c r="C73" i="2" s="1"/>
  <c r="E42" i="2"/>
  <c r="E43" i="2" s="1"/>
  <c r="G33" i="13"/>
  <c r="F44" i="1"/>
  <c r="H607" i="1" s="1"/>
  <c r="F184" i="1"/>
  <c r="G32" i="2"/>
  <c r="C54" i="2"/>
  <c r="C13" i="10"/>
  <c r="H239" i="1"/>
  <c r="L225" i="1"/>
  <c r="C10" i="10" s="1"/>
  <c r="L200" i="1"/>
  <c r="C11" i="10"/>
  <c r="K588" i="1"/>
  <c r="G637" i="1" s="1"/>
  <c r="L236" i="1"/>
  <c r="F33" i="13"/>
  <c r="C117" i="2"/>
  <c r="L287" i="1"/>
  <c r="H301" i="1"/>
  <c r="H330" i="1" s="1"/>
  <c r="H344" i="1" s="1"/>
  <c r="C155" i="2"/>
  <c r="G155" i="2" s="1"/>
  <c r="G493" i="1"/>
  <c r="K492" i="1"/>
  <c r="L400" i="1"/>
  <c r="G151" i="2"/>
  <c r="E19" i="2"/>
  <c r="C32" i="10"/>
  <c r="C123" i="2"/>
  <c r="C136" i="2" s="1"/>
  <c r="H25" i="13"/>
  <c r="G640" i="1"/>
  <c r="J640" i="1" s="1"/>
  <c r="G652" i="1"/>
  <c r="C17" i="10"/>
  <c r="D95" i="2"/>
  <c r="F43" i="2"/>
  <c r="J19" i="1"/>
  <c r="G611" i="1" s="1"/>
  <c r="G9" i="2"/>
  <c r="G19" i="2" s="1"/>
  <c r="C103" i="2"/>
  <c r="D7" i="13"/>
  <c r="C7" i="13" s="1"/>
  <c r="C111" i="2"/>
  <c r="L521" i="1"/>
  <c r="C25" i="10"/>
  <c r="G615" i="1"/>
  <c r="J615" i="1" s="1"/>
  <c r="C15" i="10"/>
  <c r="F103" i="1"/>
  <c r="F104" i="1" s="1"/>
  <c r="F185" i="1" s="1"/>
  <c r="G617" i="1" s="1"/>
  <c r="J617" i="1" s="1"/>
  <c r="L306" i="1"/>
  <c r="L320" i="1" s="1"/>
  <c r="E16" i="13"/>
  <c r="C16" i="13" s="1"/>
  <c r="L221" i="1"/>
  <c r="E135" i="2"/>
  <c r="J33" i="1"/>
  <c r="D12" i="13"/>
  <c r="C12" i="13" s="1"/>
  <c r="G627" i="1" l="1"/>
  <c r="J627" i="1" s="1"/>
  <c r="H636" i="1"/>
  <c r="H249" i="1"/>
  <c r="H263" i="1" s="1"/>
  <c r="F650" i="1"/>
  <c r="L249" i="1"/>
  <c r="L263" i="1" s="1"/>
  <c r="G622" i="1" s="1"/>
  <c r="J622" i="1" s="1"/>
  <c r="H637" i="1"/>
  <c r="J637" i="1" s="1"/>
  <c r="G639" i="1"/>
  <c r="J639" i="1" s="1"/>
  <c r="C116" i="2"/>
  <c r="C21" i="10"/>
  <c r="D15" i="13"/>
  <c r="C15" i="13" s="1"/>
  <c r="F652" i="1"/>
  <c r="C36" i="10"/>
  <c r="C41" i="10"/>
  <c r="D35" i="10"/>
  <c r="H539" i="1"/>
  <c r="H542" i="1" s="1"/>
  <c r="L524" i="1"/>
  <c r="C13" i="13"/>
  <c r="E33" i="13"/>
  <c r="D35" i="13" s="1"/>
  <c r="C27" i="10"/>
  <c r="G625" i="1"/>
  <c r="J625" i="1" s="1"/>
  <c r="D5" i="13"/>
  <c r="L239" i="1"/>
  <c r="H650" i="1" s="1"/>
  <c r="C153" i="2"/>
  <c r="G153" i="2" s="1"/>
  <c r="K490" i="1"/>
  <c r="C120" i="2"/>
  <c r="H638" i="1"/>
  <c r="J638" i="1" s="1"/>
  <c r="J344" i="1"/>
  <c r="J43" i="1"/>
  <c r="G36" i="2"/>
  <c r="G42" i="2" s="1"/>
  <c r="G43" i="2" s="1"/>
  <c r="C156" i="2"/>
  <c r="G156" i="2" s="1"/>
  <c r="K493" i="1"/>
  <c r="D96" i="2"/>
  <c r="D38" i="10"/>
  <c r="H33" i="13"/>
  <c r="C25" i="13"/>
  <c r="C101" i="2"/>
  <c r="C107" i="2" s="1"/>
  <c r="C137" i="2" s="1"/>
  <c r="G641" i="1"/>
  <c r="J641" i="1" s="1"/>
  <c r="H652" i="1"/>
  <c r="L514" i="1"/>
  <c r="F539" i="1"/>
  <c r="J636" i="1"/>
  <c r="E101" i="2"/>
  <c r="E107" i="2" s="1"/>
  <c r="E137" i="2" s="1"/>
  <c r="L301" i="1"/>
  <c r="L561" i="1"/>
  <c r="L330" i="1" l="1"/>
  <c r="L344" i="1" s="1"/>
  <c r="G623" i="1" s="1"/>
  <c r="J623" i="1" s="1"/>
  <c r="D31" i="13"/>
  <c r="C31" i="13" s="1"/>
  <c r="D40" i="10"/>
  <c r="D37" i="10"/>
  <c r="D39" i="10"/>
  <c r="F654" i="1"/>
  <c r="D36" i="10"/>
  <c r="D41" i="10" s="1"/>
  <c r="J44" i="1"/>
  <c r="H611" i="1" s="1"/>
  <c r="J611" i="1" s="1"/>
  <c r="G616" i="1"/>
  <c r="H654" i="1"/>
  <c r="I652" i="1"/>
  <c r="F542" i="1"/>
  <c r="K539" i="1"/>
  <c r="K542" i="1" s="1"/>
  <c r="C5" i="13"/>
  <c r="D33" i="13"/>
  <c r="D36" i="13" s="1"/>
  <c r="G650" i="1"/>
  <c r="G654" i="1" s="1"/>
  <c r="L535" i="1"/>
  <c r="C28" i="10"/>
  <c r="H657" i="1" l="1"/>
  <c r="H662" i="1"/>
  <c r="C6" i="10" s="1"/>
  <c r="J616" i="1"/>
  <c r="H646" i="1"/>
  <c r="C30" i="10"/>
  <c r="D22" i="10"/>
  <c r="D16" i="10"/>
  <c r="D19" i="10"/>
  <c r="D26" i="10"/>
  <c r="D12" i="10"/>
  <c r="D24" i="10"/>
  <c r="D18" i="10"/>
  <c r="D10" i="10"/>
  <c r="D23" i="10"/>
  <c r="D20" i="10"/>
  <c r="D25" i="10"/>
  <c r="D11" i="10"/>
  <c r="D17" i="10"/>
  <c r="D15" i="10"/>
  <c r="D13" i="10"/>
  <c r="D27" i="10"/>
  <c r="D21" i="10"/>
  <c r="G662" i="1"/>
  <c r="C5" i="10" s="1"/>
  <c r="G657" i="1"/>
  <c r="I650" i="1"/>
  <c r="I654" i="1" s="1"/>
  <c r="F657" i="1"/>
  <c r="F662" i="1"/>
  <c r="C4" i="10" s="1"/>
  <c r="I657" i="1" l="1"/>
  <c r="I662" i="1"/>
  <c r="C7" i="10" s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F3D1C078-24A5-45E4-98B6-3770435E0C0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6A9BF5C-E941-4456-B62B-24D9F49A390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3A64555-7C15-4DA2-8F53-493845F4555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433D697-608A-40CC-9C97-01DB4A45D7F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6E892FA-BADC-46DB-8BF4-13FB63415D2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E2B01F5-482F-4793-9C06-50B5556489B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857577E-7398-4748-B8EF-FDFB8D3A3D2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211A8AD-1D00-49AA-BAB5-7C31D70249FC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0EBC50E-B6C7-43EA-9F07-ED53DF7BE72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F98F8F40-9472-4D50-B328-EB59D9EB32A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FEE26A2-62BA-4D09-BC29-C55BFB5BD4E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FAA39E4-9F4C-4490-A08F-08EFB61DDAE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<sst xmlns="http://schemas.openxmlformats.org/spreadsheetml/2006/main" count="3864" uniqueCount="901">
  <si>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</si>
  <si>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</si>
  <si>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</si>
  <si>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</si>
  <si>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</si>
  <si>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</si>
  <si>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</si>
  <si>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</si>
  <si>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</si>
  <si>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</si>
  <si>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</si>
  <si>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</si>
  <si>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</si>
  <si>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</si>
  <si>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</si>
  <si>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</si>
  <si>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</si>
  <si>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</si>
  <si>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</si>
  <si>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</si>
  <si>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</si>
  <si>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</si>
  <si>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</si>
  <si>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</si>
  <si>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</si>
  <si>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</si>
  <si>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</si>
  <si>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</si>
  <si>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</si>
  <si>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</si>
  <si>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</si>
  <si>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</si>
  <si>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</si>
  <si>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</si>
  <si>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</si>
  <si>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</si>
  <si>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</si>
  <si>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</si>
  <si>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</si>
  <si>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</si>
  <si>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</si>
  <si>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</si>
  <si>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</si>
  <si>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</si>
  <si>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</si>
  <si>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</si>
  <si>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</si>
  <si>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</si>
  <si>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</si>
  <si>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</si>
  <si>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</si>
  <si>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</si>
  <si>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</si>
  <si>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</si>
  <si>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</si>
  <si>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</si>
  <si>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</si>
  <si>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</si>
  <si>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</si>
  <si>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</si>
  <si>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</si>
  <si>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</si>
  <si>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</si>
  <si>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</si>
  <si>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</si>
  <si>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</si>
  <si>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</si>
  <si>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</si>
  <si>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</si>
  <si>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</si>
  <si>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</si>
  <si>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</si>
  <si>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</si>
  <si>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</si>
  <si>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</si>
  <si>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</si>
  <si>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</si>
  <si>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</si>
  <si>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</si>
  <si>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</si>
  <si>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</si>
  <si>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</si>
  <si>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</si>
  <si>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</si>
  <si>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</si>
  <si>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</si>
  <si>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</si>
  <si>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</si>
  <si>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</si>
  <si>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</si>
  <si>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</si>
  <si>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</si>
  <si>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</si>
  <si>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</si>
  <si>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</si>
  <si>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</si>
  <si>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</si>
  <si>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</si>
  <si>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</si>
  <si>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</si>
  <si>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</si>
  <si>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</si>
  <si>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</si>
  <si>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</si>
  <si>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</si>
  <si>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</si>
  <si>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</si>
  <si>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</si>
  <si>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</si>
  <si>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</si>
  <si>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</si>
  <si>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</si>
  <si>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</si>
  <si>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</si>
  <si>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</si>
  <si>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</si>
  <si>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</si>
  <si>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</si>
  <si>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</si>
  <si>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</si>
  <si>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</si>
  <si>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</si>
  <si>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</si>
  <si>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</si>
  <si>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</si>
  <si>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</si>
  <si>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</si>
  <si>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</si>
  <si>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</si>
  <si>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</si>
  <si>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</si>
  <si>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</si>
  <si>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</si>
  <si>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</si>
  <si>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</si>
  <si>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</si>
  <si>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</si>
  <si>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</si>
  <si>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</si>
  <si>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</si>
  <si>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</si>
  <si>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</si>
  <si>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</si>
  <si>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</si>
  <si>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</si>
  <si>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</si>
  <si>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</si>
  <si>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</si>
  <si>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</si>
  <si>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</si>
  <si>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</si>
  <si>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</si>
  <si>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</si>
  <si>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</si>
  <si>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</si>
  <si>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</si>
  <si>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</si>
  <si>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</si>
  <si>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</si>
  <si>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</si>
  <si>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</si>
  <si>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</si>
  <si>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</si>
  <si>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</si>
  <si>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</si>
  <si>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</si>
  <si>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</si>
  <si>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</si>
  <si>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</si>
  <si>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</si>
  <si>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</si>
  <si>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</si>
  <si>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</si>
  <si>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</si>
  <si>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</si>
  <si>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</si>
  <si>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</si>
  <si>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</si>
  <si>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</si>
  <si>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</si>
  <si>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</si>
  <si>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</si>
  <si>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</si>
  <si>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</si>
  <si>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</si>
  <si>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</si>
  <si>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</si>
  <si>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</si>
  <si>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</si>
  <si>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</si>
  <si>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</si>
  <si>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</si>
  <si>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</si>
  <si>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</si>
  <si>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</si>
  <si>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</si>
  <si>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</si>
  <si>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</si>
  <si>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</si>
  <si>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</si>
  <si>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</si>
  <si>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</si>
  <si>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</si>
  <si>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</si>
  <si>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</si>
  <si>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</si>
  <si>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</si>
  <si>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</si>
  <si>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</si>
  <si>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</si>
  <si>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</si>
  <si>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</si>
  <si>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</si>
  <si>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</si>
  <si>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</si>
  <si>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</si>
  <si>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</si>
  <si>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</si>
  <si>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</si>
  <si>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</si>
  <si>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</si>
  <si>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</si>
  <si>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</si>
  <si>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</si>
  <si>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</si>
  <si>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</si>
  <si>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</si>
  <si>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</si>
  <si>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</si>
  <si>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</si>
  <si>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</si>
  <si>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</si>
  <si>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</si>
  <si>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</si>
  <si>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</si>
  <si>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</si>
  <si>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</si>
  <si>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</si>
  <si>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</si>
  <si>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</si>
  <si>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</si>
  <si>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</si>
  <si>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</si>
  <si>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</si>
  <si>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</si>
  <si>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</si>
  <si>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</si>
  <si>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</si>
  <si>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</si>
  <si>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</si>
  <si>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</si>
  <si>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</si>
  <si>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</si>
  <si>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</si>
  <si>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</si>
  <si>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</si>
  <si>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</si>
  <si>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</si>
  <si>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</si>
  <si>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</si>
  <si>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</si>
  <si>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</si>
  <si>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</si>
  <si>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</si>
  <si>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</si>
  <si>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</si>
  <si>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</si>
  <si>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</si>
  <si>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</si>
  <si>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</si>
  <si>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</si>
  <si>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</si>
  <si>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</si>
  <si>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</si>
  <si>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</si>
  <si>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</si>
  <si>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</si>
  <si>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</si>
  <si>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</si>
  <si>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</si>
  <si>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</si>
  <si>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</si>
  <si>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</si>
  <si>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</si>
  <si>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</si>
  <si>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</si>
  <si>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</si>
  <si>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</si>
  <si>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</si>
  <si>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</si>
  <si>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</si>
  <si>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</si>
  <si>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</si>
  <si>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</si>
  <si>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</si>
  <si>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</si>
  <si>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</si>
  <si>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</si>
  <si>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</si>
  <si>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</si>
  <si>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</si>
  <si>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</si>
  <si>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</si>
  <si>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</si>
  <si>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</si>
  <si>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</si>
  <si>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</si>
  <si>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</si>
  <si>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</si>
  <si>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</si>
  <si>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</si>
  <si>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</si>
  <si>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</si>
  <si>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</si>
  <si>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</si>
  <si>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</si>
  <si>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</si>
  <si>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</si>
  <si>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</si>
  <si>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</si>
  <si>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</si>
  <si>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</si>
  <si>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</si>
  <si>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</si>
  <si>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</si>
  <si>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</si>
  <si>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</si>
  <si>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</si>
  <si>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</si>
  <si>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</si>
  <si>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</si>
  <si>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</si>
  <si>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</si>
  <si>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</si>
  <si>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</si>
  <si>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</si>
  <si>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</si>
  <si>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</si>
  <si>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</si>
  <si>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</si>
  <si>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</si>
  <si>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</si>
  <si>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</si>
  <si>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</si>
  <si>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</si>
  <si>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</si>
  <si>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</si>
  <si>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</si>
  <si>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</si>
  <si>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</si>
  <si>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</si>
  <si>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</si>
  <si>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</si>
  <si>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</si>
  <si>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</si>
  <si>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</si>
  <si>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</si>
  <si>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</si>
  <si>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</si>
  <si>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</si>
  <si>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</si>
  <si>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</si>
  <si>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</si>
  <si>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</si>
  <si>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</si>
  <si>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</si>
  <si>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</si>
  <si>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</si>
  <si>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</si>
  <si>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</si>
  <si>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</si>
  <si>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</si>
  <si>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</si>
  <si>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</si>
  <si>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</si>
  <si>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</si>
  <si>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</si>
  <si>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</si>
  <si>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</si>
  <si>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</si>
  <si>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</si>
  <si>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</si>
  <si>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</si>
  <si>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</si>
  <si>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</si>
  <si>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</si>
  <si>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</si>
  <si>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</si>
  <si>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</si>
  <si>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</si>
  <si>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</si>
  <si>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</si>
  <si>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</si>
  <si>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</si>
  <si>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</si>
  <si>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</si>
  <si>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</si>
  <si>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</si>
  <si>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</si>
  <si>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</si>
  <si>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</si>
  <si>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</si>
  <si>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</si>
  <si>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</si>
  <si>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</si>
  <si>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</si>
  <si>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</si>
  <si>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</si>
  <si>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</si>
  <si>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</si>
  <si>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</si>
  <si>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</si>
  <si>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</si>
  <si>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</si>
  <si>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</si>
  <si>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</si>
  <si>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</si>
  <si>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</si>
  <si>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</si>
  <si>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</si>
  <si>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</si>
  <si>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</si>
  <si>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</si>
  <si>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</si>
  <si>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</si>
  <si>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</si>
  <si>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</si>
  <si>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</si>
  <si>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</si>
  <si>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</si>
  <si>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</si>
  <si>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</si>
  <si>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</si>
  <si>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</si>
  <si>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</si>
  <si>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</si>
  <si>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</si>
  <si>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</si>
  <si>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</si>
  <si>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</si>
  <si>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</si>
  <si>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</si>
  <si>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</si>
  <si>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</si>
  <si>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</si>
  <si>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</si>
  <si>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</si>
  <si>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</si>
  <si>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</si>
  <si>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</si>
  <si>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</si>
  <si>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</si>
  <si>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</si>
  <si>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</si>
  <si>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</si>
  <si>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</si>
  <si>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</si>
  <si>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</si>
  <si>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</si>
  <si>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</si>
  <si>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</si>
  <si>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</si>
  <si>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</si>
  <si>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</si>
  <si>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</si>
  <si>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</si>
  <si>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</si>
  <si>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</si>
  <si>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</si>
  <si>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</si>
  <si>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</si>
  <si>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</si>
  <si>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</si>
  <si>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</si>
  <si>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</si>
  <si>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</si>
  <si>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</si>
  <si>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</si>
  <si>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</si>
  <si>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</si>
  <si>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</si>
  <si>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</si>
  <si>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</si>
  <si>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</si>
  <si>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</si>
  <si>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</si>
  <si>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</si>
  <si>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</si>
  <si>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</si>
  <si>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</si>
  <si>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</si>
  <si>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</si>
  <si>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</si>
  <si>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</si>
  <si>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</si>
  <si>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</si>
  <si>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</si>
  <si>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</si>
  <si>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</si>
  <si>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</si>
  <si>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</si>
  <si>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</si>
  <si>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</si>
  <si>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</si>
  <si>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</si>
  <si>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</si>
  <si>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</si>
  <si>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</si>
  <si>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</si>
  <si>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</si>
  <si>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</si>
  <si>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</si>
  <si>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</si>
  <si>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</si>
  <si>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</si>
  <si>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</si>
  <si>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</si>
  <si>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</si>
  <si>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</si>
  <si>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</si>
  <si>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</si>
  <si>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</si>
  <si>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</si>
  <si>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</si>
  <si>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</si>
  <si>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</si>
  <si>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</si>
  <si>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</si>
  <si>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</si>
  <si>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</si>
  <si>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</si>
  <si>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</si>
  <si>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</si>
  <si>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</si>
  <si>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</si>
  <si>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</si>
  <si>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</si>
  <si>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</si>
  <si>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</si>
  <si>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</si>
  <si>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</si>
  <si>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</si>
  <si>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</si>
  <si>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</si>
  <si>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</si>
  <si>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</si>
  <si>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</si>
  <si>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</si>
  <si>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</si>
  <si>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</si>
  <si>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</si>
  <si>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</si>
  <si>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</si>
  <si>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</si>
  <si>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</si>
  <si>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</si>
  <si>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</si>
  <si>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</si>
  <si>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</si>
  <si>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</si>
  <si>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</si>
  <si>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</si>
  <si>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</si>
  <si>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</si>
  <si>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</si>
  <si>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</si>
  <si>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</si>
  <si>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</si>
  <si>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</si>
  <si>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</si>
  <si>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</si>
  <si>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</si>
  <si>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</si>
  <si>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</si>
  <si>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</si>
  <si>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</si>
  <si>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</si>
  <si>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</si>
  <si>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</si>
  <si>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</si>
  <si>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</si>
  <si>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</si>
  <si>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</si>
  <si>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</si>
  <si>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</si>
  <si>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</si>
  <si>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</si>
  <si>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</si>
  <si>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</si>
  <si>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</si>
  <si>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</si>
  <si>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</si>
  <si>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</si>
  <si>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</si>
  <si>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</si>
  <si>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</si>
  <si>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</si>
  <si>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</si>
  <si>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</si>
  <si>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</si>
  <si>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</si>
  <si>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</si>
  <si>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</si>
  <si>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</si>
  <si>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</si>
  <si>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</si>
  <si>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</si>
  <si>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</si>
  <si>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</si>
  <si>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</si>
  <si>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</si>
  <si>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</si>
  <si>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</si>
  <si>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</si>
  <si>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</si>
  <si>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</si>
  <si>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</si>
  <si>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</si>
  <si>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</si>
  <si>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</si>
  <si>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</si>
  <si>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</si>
  <si>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</si>
  <si>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</si>
  <si>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</si>
  <si>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</si>
  <si>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</si>
  <si>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</si>
  <si>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</si>
  <si>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</si>
  <si>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</si>
  <si>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</si>
  <si>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</si>
  <si>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</si>
  <si>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</si>
  <si>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</si>
  <si>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</si>
  <si>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</si>
  <si>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</si>
  <si>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</si>
  <si>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</si>
  <si>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</si>
  <si>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</si>
  <si>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</si>
  <si>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</si>
  <si>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</si>
  <si>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</si>
  <si>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</si>
  <si>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</si>
  <si>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</si>
  <si>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</si>
  <si>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</si>
  <si>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</si>
  <si>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</si>
  <si>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</si>
  <si>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</si>
  <si>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</si>
  <si>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</si>
  <si>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</si>
  <si>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</si>
  <si>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</si>
  <si>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</si>
  <si>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</si>
  <si>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</si>
  <si>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</si>
  <si>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</si>
  <si>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</si>
  <si>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</si>
  <si>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</si>
  <si>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</si>
  <si>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</si>
  <si>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</si>
  <si>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</si>
  <si>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</si>
  <si>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</si>
  <si>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</si>
  <si>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</si>
  <si>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</si>
  <si>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</si>
  <si>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</si>
  <si>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</si>
  <si>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</si>
  <si>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</si>
  <si>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</si>
  <si>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</si>
  <si>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</si>
  <si>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</si>
  <si>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</si>
  <si>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</si>
  <si>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</si>
  <si>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</si>
  <si>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</si>
  <si>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</si>
  <si>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</si>
  <si>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</si>
  <si>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</si>
  <si>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</si>
  <si>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</si>
  <si>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</si>
  <si>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</si>
  <si>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</si>
  <si>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</si>
  <si>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</si>
  <si>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</si>
  <si>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</si>
  <si>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</si>
  <si>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</si>
  <si>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</si>
  <si>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</si>
  <si>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</si>
  <si>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</si>
  <si>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</si>
  <si>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</si>
  <si>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</si>
  <si>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</si>
  <si>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</si>
  <si>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</si>
  <si>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</si>
  <si>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</si>
  <si>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</si>
  <si>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</si>
  <si>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</si>
  <si>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</si>
  <si>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</si>
  <si>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</si>
  <si>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</si>
  <si>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</si>
  <si>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</si>
  <si>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</si>
  <si>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</si>
  <si>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</si>
  <si>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</si>
  <si>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</si>
  <si>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</si>
  <si>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</si>
  <si>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</si>
  <si>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</si>
  <si>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</si>
  <si>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</si>
  <si>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</si>
  <si>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</si>
  <si>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</si>
  <si>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</si>
  <si>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</si>
  <si>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</si>
  <si>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</si>
  <si>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</si>
  <si>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</si>
  <si>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</si>
  <si>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</si>
  <si>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</si>
  <si>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</si>
  <si>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</si>
  <si>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</si>
  <si>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</si>
  <si>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</si>
  <si>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</si>
  <si>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</si>
  <si>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</si>
  <si>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</si>
  <si>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</si>
  <si>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</si>
  <si>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</si>
  <si>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</si>
  <si>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</si>
  <si>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</si>
  <si>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</si>
  <si>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</si>
  <si>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</si>
  <si>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</si>
  <si>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</si>
  <si>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</si>
  <si>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</si>
  <si>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</si>
  <si>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</si>
  <si>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</si>
  <si>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</si>
  <si>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</si>
  <si>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</si>
  <si>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</si>
  <si>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</si>
  <si>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</si>
  <si>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</si>
  <si>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</si>
  <si>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</si>
  <si>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</si>
  <si>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</si>
  <si>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</si>
  <si>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</si>
  <si>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</si>
  <si>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</si>
  <si>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</si>
  <si>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</si>
  <si>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</si>
  <si>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</si>
  <si>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</si>
  <si>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</si>
  <si>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</si>
  <si>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</si>
  <si>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</si>
  <si>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</si>
  <si>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</si>
  <si>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</si>
  <si>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</si>
  <si>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</si>
  <si>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</si>
  <si>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</si>
  <si>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</si>
  <si>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</si>
  <si>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</si>
  <si>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</si>
  <si>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</si>
  <si>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</si>
  <si>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</si>
  <si>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</si>
  <si>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</si>
  <si>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</si>
  <si>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</si>
  <si>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</si>
  <si>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</si>
  <si>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</si>
  <si>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</si>
  <si>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</si>
  <si>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</si>
  <si>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</si>
  <si>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</si>
  <si>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</si>
  <si>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</si>
  <si>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</si>
  <si>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</si>
  <si>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</si>
  <si>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</si>
  <si>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</si>
  <si>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</si>
  <si>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</si>
  <si>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</si>
  <si>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</si>
  <si>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</si>
  <si>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</si>
  <si>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</si>
  <si>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</si>
  <si>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</si>
  <si>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</si>
  <si>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</si>
  <si>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</si>
  <si>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</si>
  <si>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</si>
  <si>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</si>
  <si>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</si>
  <si>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</si>
  <si>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</si>
  <si>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</si>
  <si>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</si>
  <si>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</si>
  <si>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</si>
  <si>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</si>
  <si>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</si>
  <si>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</si>
  <si>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</si>
  <si>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</si>
  <si>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</si>
  <si>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</si>
  <si>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</si>
  <si>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</si>
  <si>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</si>
  <si>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</si>
  <si>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</si>
  <si>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</si>
  <si>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</si>
  <si>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</si>
  <si>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</si>
  <si>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</si>
  <si>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</si>
  <si>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</si>
  <si>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</si>
  <si>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</si>
  <si>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</si>
  <si>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</si>
  <si>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</si>
  <si>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</si>
  <si>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</si>
  <si>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</si>
  <si>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</si>
  <si>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</si>
  <si>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</si>
  <si>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</si>
  <si>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</si>
  <si>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</si>
  <si>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</si>
  <si>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</si>
  <si>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</si>
  <si>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</si>
  <si>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</si>
  <si>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</si>
  <si>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MERRIMACK VALLEY SCHOOL DISTRICT</t>
  </si>
  <si>
    <t>Hydro Credit</t>
  </si>
  <si>
    <t>Food Service Commodities</t>
  </si>
  <si>
    <t>06/05</t>
  </si>
  <si>
    <t>10/14</t>
  </si>
  <si>
    <t>Food Service Change in Inventories $1,047.35</t>
  </si>
  <si>
    <t>General Fund Change in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</si>
</sst>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FD60-5D22-4CF4-BFED-CB4D96640D7D}">
  <sheetPr transitionEvaluation="1" transitionEntry="1" codeName="Sheet1">
    <tabColor indexed="56"/>
  </sheetPr>
  <dimension ref="A1:AQ666"/>
  <sheetViews>
    <sheetView tabSelected="1" zoomScale="75" zoomScaleNormal="11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352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1913146.22</v>
      </c>
      <c r="G9" s="18">
        <v>425.77</v>
      </c>
      <c r="H9" s="18"/>
      <c r="I9" s="18">
        <v>271995.09000000003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f>2323.05+732073.73</f>
        <v>734396.78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126242.77</v>
      </c>
      <c r="G12" s="18"/>
      <c r="H12" s="18"/>
      <c r="I12" s="18">
        <v>2669.02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131602.75</v>
      </c>
      <c r="G13" s="18">
        <f>75806.2+1810.79</f>
        <v>77616.989999999991</v>
      </c>
      <c r="H13" s="18">
        <f>458822.23-1810.79</f>
        <v>457011.44</v>
      </c>
      <c r="I13" s="18"/>
      <c r="J13" s="67">
        <f>SUM(I434)</f>
        <v>633898.67000000004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1031.72+1090.36</f>
        <v>2122.08</v>
      </c>
      <c r="G14" s="18">
        <v>1174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11566.9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2907510.6</v>
      </c>
      <c r="G19" s="41">
        <f>SUM(G9:G18)</f>
        <v>90783.659999999989</v>
      </c>
      <c r="H19" s="41">
        <f>SUM(H9:H18)</f>
        <v>457011.44</v>
      </c>
      <c r="I19" s="41">
        <f>SUM(I9:I18)</f>
        <v>274664.11000000004</v>
      </c>
      <c r="J19" s="41">
        <f>SUM(J9:J18)</f>
        <v>633898.67000000004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f>19770.88+1810.79</f>
        <v>21581.670000000002</v>
      </c>
      <c r="H23" s="18">
        <f>109140.91-1810.79</f>
        <v>107330.12000000001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152932.82999999999</v>
      </c>
      <c r="G25" s="18">
        <v>149.30000000000001</v>
      </c>
      <c r="H25" s="18">
        <v>38721.599999999999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1794949.36</v>
      </c>
      <c r="G29" s="18">
        <f>47136.74-2.57</f>
        <v>47134.17</v>
      </c>
      <c r="H29" s="18">
        <v>77444.41</v>
      </c>
      <c r="I29" s="18">
        <v>205791.66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-401.44-9508.01+29654.36-0.12</f>
        <v>19744.79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10351.57</v>
      </c>
      <c r="H31" s="18">
        <v>216289.28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1967626.9800000002</v>
      </c>
      <c r="G33" s="41">
        <f>SUM(G23:G32)</f>
        <v>79216.709999999992</v>
      </c>
      <c r="H33" s="41">
        <f>SUM(H23:H32)</f>
        <v>439785.41000000003</v>
      </c>
      <c r="I33" s="41">
        <f>SUM(I23:I32)</f>
        <v>205791.66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>
        <v>11566.9</v>
      </c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27400</v>
      </c>
      <c r="G41" s="18">
        <f>6615.69+1104390.11-1111005.75</f>
        <v>5.0000000046566129E-2</v>
      </c>
      <c r="H41" s="18">
        <f>17232.13+1750216.39-1750222.49</f>
        <v>17226.029999999795</v>
      </c>
      <c r="I41" s="18">
        <f>285476.49+150.76-216754.8</f>
        <v>68872.450000000012</v>
      </c>
      <c r="J41" s="13">
        <f>SUM(I449)</f>
        <v>633898.67000000004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1863194.03+33496350.66-34447061.07</f>
        <v>912483.61999999732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939883.61999999732</v>
      </c>
      <c r="G43" s="41">
        <f>SUM(G35:G42)</f>
        <v>11566.950000000046</v>
      </c>
      <c r="H43" s="41">
        <f>SUM(H35:H42)</f>
        <v>17226.029999999795</v>
      </c>
      <c r="I43" s="41">
        <f>SUM(I35:I42)</f>
        <v>68872.450000000012</v>
      </c>
      <c r="J43" s="41">
        <f>SUM(J35:J42)</f>
        <v>633898.67000000004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2907510.5999999978</v>
      </c>
      <c r="G44" s="41">
        <f>G43+G33</f>
        <v>90783.660000000033</v>
      </c>
      <c r="H44" s="41">
        <f>H43+H33</f>
        <v>457011.43999999983</v>
      </c>
      <c r="I44" s="41">
        <f>I43+I33</f>
        <v>274664.11</v>
      </c>
      <c r="J44" s="41">
        <f>J43+J33</f>
        <v>633898.67000000004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16437365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111456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16548821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956995.82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248230.81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1205226.6299999999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6348.45</v>
      </c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6348.45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118.74+866.52</f>
        <v>985.26</v>
      </c>
      <c r="G88" s="18">
        <v>112.46</v>
      </c>
      <c r="H88" s="18"/>
      <c r="I88" s="18">
        <v>150.76</v>
      </c>
      <c r="J88" s="18">
        <v>1498.99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671341.32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13233.14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7223.9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5053.3</v>
      </c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55937.51</v>
      </c>
      <c r="G102" s="18">
        <v>26371.05</v>
      </c>
      <c r="H102" s="18">
        <f>23977.55+11840.1</f>
        <v>35817.65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75209.210000000006</v>
      </c>
      <c r="G103" s="41">
        <f>SUM(G88:G102)</f>
        <v>697824.83</v>
      </c>
      <c r="H103" s="41">
        <f>SUM(H88:H102)</f>
        <v>43041.55</v>
      </c>
      <c r="I103" s="41">
        <f>SUM(I88:I102)</f>
        <v>150.76</v>
      </c>
      <c r="J103" s="41">
        <f>SUM(J88:J102)</f>
        <v>1498.99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17835605.289999999</v>
      </c>
      <c r="G104" s="41">
        <f>G52+G103</f>
        <v>697824.83</v>
      </c>
      <c r="H104" s="41">
        <f>H52+H71+H86+H103</f>
        <v>43041.55</v>
      </c>
      <c r="I104" s="41">
        <f>I52+I103</f>
        <v>150.76</v>
      </c>
      <c r="J104" s="41">
        <f>J52+J103</f>
        <v>1498.99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9383312.8900000006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3383707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340330.11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13107350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2012548.54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194859.03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14745.64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12570.16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113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2222153.21</v>
      </c>
      <c r="G128" s="41">
        <f>SUM(G115:G127)</f>
        <v>12570.16</v>
      </c>
      <c r="H128" s="41">
        <f>SUM(H115:H127)</f>
        <v>113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15329503.210000001</v>
      </c>
      <c r="G132" s="41">
        <f>G113+SUM(G128:G129)</f>
        <v>12570.16</v>
      </c>
      <c r="H132" s="41">
        <f>H113+SUM(H128:H131)</f>
        <v>113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673430.54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138043.28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341757.09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883355.28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331242.15999999997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13311.31</v>
      </c>
      <c r="H153" s="18">
        <f>25544.05-13311.31</f>
        <v>12232.74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331242.15999999997</v>
      </c>
      <c r="G154" s="41">
        <f>SUM(G142:G153)</f>
        <v>355068.4</v>
      </c>
      <c r="H154" s="41">
        <f>SUM(H142:H153)</f>
        <v>1707061.84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36786.03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331242.15999999997</v>
      </c>
      <c r="G161" s="41">
        <f>G139+G154+SUM(G155:G160)</f>
        <v>391854.43000000005</v>
      </c>
      <c r="H161" s="41">
        <f>H139+H154+SUM(H155:H160)</f>
        <v>1707061.84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15452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15452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15452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33496350.66</v>
      </c>
      <c r="G185" s="47">
        <f>G104+G132+G161+G184</f>
        <v>1117701.42</v>
      </c>
      <c r="H185" s="47">
        <f>H104+H132+H161+H184</f>
        <v>1750216.3900000001</v>
      </c>
      <c r="I185" s="47">
        <f>I104+I132+I161+I184</f>
        <v>150.76</v>
      </c>
      <c r="J185" s="47">
        <f>J104+J132+J184</f>
        <v>1498.99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3836454.18</v>
      </c>
      <c r="G189" s="18">
        <v>1369761.83</v>
      </c>
      <c r="H189" s="18">
        <f>1922.49+747.84</f>
        <v>2670.33</v>
      </c>
      <c r="I189" s="18">
        <f>191723.59-1.08</f>
        <v>191722.51</v>
      </c>
      <c r="J189" s="18">
        <v>3828.82</v>
      </c>
      <c r="K189" s="18"/>
      <c r="L189" s="19">
        <f>SUM(F189:K189)</f>
        <v>5404437.6699999999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1609152.36</v>
      </c>
      <c r="G190" s="18">
        <v>544974.77</v>
      </c>
      <c r="H190" s="18">
        <f>9269.38+330954.84</f>
        <v>340224.22000000003</v>
      </c>
      <c r="I190" s="18">
        <v>6891.77</v>
      </c>
      <c r="J190" s="18">
        <v>712.59</v>
      </c>
      <c r="K190" s="18"/>
      <c r="L190" s="19">
        <f>SUM(F190:K190)</f>
        <v>2501955.71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12750</v>
      </c>
      <c r="G192" s="18">
        <v>23607.87</v>
      </c>
      <c r="H192" s="18"/>
      <c r="I192" s="18"/>
      <c r="J192" s="18"/>
      <c r="K192" s="18">
        <v>113.45</v>
      </c>
      <c r="L192" s="19">
        <f>SUM(F192:K192)</f>
        <v>36471.319999999992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889155.04</v>
      </c>
      <c r="G194" s="18">
        <v>352912.54</v>
      </c>
      <c r="H194" s="18">
        <f>291584.39+97.06+3198.03-2785-784-9854.35</f>
        <v>281456.13000000006</v>
      </c>
      <c r="I194" s="18">
        <v>6746.34</v>
      </c>
      <c r="J194" s="18">
        <v>378.16</v>
      </c>
      <c r="K194" s="18">
        <v>676.16</v>
      </c>
      <c r="L194" s="19">
        <f t="shared" ref="L194:L200" si="0">SUM(F194:K194)</f>
        <v>1531324.37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198927.48</v>
      </c>
      <c r="G195" s="18">
        <v>128220.4</v>
      </c>
      <c r="H195" s="18">
        <f>26404.81+15568.05+1364.29</f>
        <v>43337.15</v>
      </c>
      <c r="I195" s="18">
        <v>23486.58</v>
      </c>
      <c r="J195" s="18">
        <v>32107.5</v>
      </c>
      <c r="K195" s="18"/>
      <c r="L195" s="19">
        <f t="shared" si="0"/>
        <v>426079.11000000004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19132.73</v>
      </c>
      <c r="G196" s="18">
        <v>8554.5300000000007</v>
      </c>
      <c r="H196" s="18">
        <f>308421.47+14397.42</f>
        <v>322818.88999999996</v>
      </c>
      <c r="I196" s="18">
        <v>1284.96</v>
      </c>
      <c r="J196" s="18"/>
      <c r="K196" s="18">
        <v>2345.33</v>
      </c>
      <c r="L196" s="19">
        <f t="shared" si="0"/>
        <v>354136.44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532049.14</v>
      </c>
      <c r="G197" s="18">
        <v>161839.04999999999</v>
      </c>
      <c r="H197" s="18">
        <f>510+16118.66+8293.21</f>
        <v>24921.87</v>
      </c>
      <c r="I197" s="18">
        <v>6947.89</v>
      </c>
      <c r="J197" s="18">
        <v>20982.49</v>
      </c>
      <c r="K197" s="18">
        <v>1687</v>
      </c>
      <c r="L197" s="19">
        <f t="shared" si="0"/>
        <v>748427.44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>
        <v>1082.3900000000001</v>
      </c>
      <c r="I198" s="18"/>
      <c r="J198" s="18"/>
      <c r="K198" s="18"/>
      <c r="L198" s="19">
        <f t="shared" si="0"/>
        <v>1082.3900000000001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574092.6</v>
      </c>
      <c r="G199" s="18">
        <f>226049.79</f>
        <v>226049.79</v>
      </c>
      <c r="H199" s="18">
        <f>304.63+294706.92+61423.45</f>
        <v>356435</v>
      </c>
      <c r="I199" s="18">
        <v>480398.4</v>
      </c>
      <c r="J199" s="18">
        <v>14502.56</v>
      </c>
      <c r="K199" s="18"/>
      <c r="L199" s="19">
        <f t="shared" si="0"/>
        <v>1651478.35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433821.19</v>
      </c>
      <c r="G200" s="18">
        <f>145555.02-226.19</f>
        <v>145328.82999999999</v>
      </c>
      <c r="H200" s="18">
        <f>28336.7+43664.99</f>
        <v>72001.69</v>
      </c>
      <c r="I200" s="18">
        <v>104358.78</v>
      </c>
      <c r="J200" s="18">
        <v>56984.160000000003</v>
      </c>
      <c r="K200" s="18">
        <v>258.41000000000003</v>
      </c>
      <c r="L200" s="19">
        <f t="shared" si="0"/>
        <v>812753.06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8105534.7200000007</v>
      </c>
      <c r="G203" s="41">
        <f t="shared" si="1"/>
        <v>2961249.61</v>
      </c>
      <c r="H203" s="41">
        <f t="shared" si="1"/>
        <v>1444947.6700000002</v>
      </c>
      <c r="I203" s="41">
        <f t="shared" si="1"/>
        <v>821837.2300000001</v>
      </c>
      <c r="J203" s="41">
        <f t="shared" si="1"/>
        <v>129496.28</v>
      </c>
      <c r="K203" s="41">
        <f t="shared" si="1"/>
        <v>5080.3500000000004</v>
      </c>
      <c r="L203" s="41">
        <f t="shared" si="1"/>
        <v>13468145.859999999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2212711.14</v>
      </c>
      <c r="G207" s="18">
        <v>774836.68</v>
      </c>
      <c r="H207" s="18">
        <f>2070+1913.7</f>
        <v>3983.7</v>
      </c>
      <c r="I207" s="18">
        <v>90716.02</v>
      </c>
      <c r="J207" s="18">
        <v>14613.46</v>
      </c>
      <c r="K207" s="18"/>
      <c r="L207" s="19">
        <f>SUM(F207:K207)</f>
        <v>3096861.0000000005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655706.11</v>
      </c>
      <c r="G208" s="18">
        <v>315677.25</v>
      </c>
      <c r="H208" s="18">
        <f>7256.45+132994.68</f>
        <v>140251.13</v>
      </c>
      <c r="I208" s="18">
        <v>9229.59</v>
      </c>
      <c r="J208" s="18">
        <v>412.77</v>
      </c>
      <c r="K208" s="18"/>
      <c r="L208" s="19">
        <f>SUM(F208:K208)</f>
        <v>1121276.8500000001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64451.7</v>
      </c>
      <c r="G210" s="18">
        <v>13674.89</v>
      </c>
      <c r="H210" s="18"/>
      <c r="I210" s="18">
        <v>30000</v>
      </c>
      <c r="J210" s="18"/>
      <c r="K210" s="18">
        <v>66.72</v>
      </c>
      <c r="L210" s="19">
        <f>SUM(F210:K210)</f>
        <v>108193.31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566480.39</v>
      </c>
      <c r="G212" s="18">
        <v>204424.98</v>
      </c>
      <c r="H212" s="18">
        <f>101964.3+56.22+2252.46</f>
        <v>104272.98000000001</v>
      </c>
      <c r="I212" s="18">
        <v>2958.82</v>
      </c>
      <c r="J212" s="18">
        <v>515.80999999999995</v>
      </c>
      <c r="K212" s="18">
        <v>588.49</v>
      </c>
      <c r="L212" s="19">
        <f t="shared" ref="L212:L218" si="2">SUM(F212:K212)</f>
        <v>879241.47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133930.9</v>
      </c>
      <c r="G213" s="18">
        <v>74271.81</v>
      </c>
      <c r="H213" s="18">
        <f>15295.02+8555.76+790.26</f>
        <v>24641.039999999997</v>
      </c>
      <c r="I213" s="18">
        <v>16784.95</v>
      </c>
      <c r="J213" s="18">
        <v>22452.62</v>
      </c>
      <c r="K213" s="18">
        <v>27.5</v>
      </c>
      <c r="L213" s="19">
        <f t="shared" si="2"/>
        <v>272108.82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11082.66</v>
      </c>
      <c r="G214" s="18">
        <v>4955.22</v>
      </c>
      <c r="H214" s="18">
        <f>178568.33+8339.72</f>
        <v>186908.05</v>
      </c>
      <c r="I214" s="18">
        <v>744.31</v>
      </c>
      <c r="J214" s="18"/>
      <c r="K214" s="18">
        <v>1358.54</v>
      </c>
      <c r="L214" s="19">
        <f t="shared" si="2"/>
        <v>205048.78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264563.37</v>
      </c>
      <c r="G215" s="18">
        <v>93745.45</v>
      </c>
      <c r="H215" s="18">
        <f>1045+7403.5+7835.25</f>
        <v>16283.75</v>
      </c>
      <c r="I215" s="18">
        <v>1852.42</v>
      </c>
      <c r="J215" s="18">
        <v>12154.13</v>
      </c>
      <c r="K215" s="18">
        <v>1966</v>
      </c>
      <c r="L215" s="19">
        <f t="shared" si="2"/>
        <v>390565.12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>
        <v>626.98</v>
      </c>
      <c r="I216" s="18"/>
      <c r="J216" s="18"/>
      <c r="K216" s="18"/>
      <c r="L216" s="19">
        <f t="shared" si="2"/>
        <v>626.98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239445.97</v>
      </c>
      <c r="G217" s="18">
        <v>130939.59</v>
      </c>
      <c r="H217" s="18">
        <f>176.46+138647.4+36447.87</f>
        <v>175271.72999999998</v>
      </c>
      <c r="I217" s="18">
        <v>193813.44</v>
      </c>
      <c r="J217" s="18">
        <v>8400.6200000000008</v>
      </c>
      <c r="K217" s="18"/>
      <c r="L217" s="19">
        <f t="shared" si="2"/>
        <v>747871.35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241396.69</v>
      </c>
      <c r="G218" s="18">
        <f>84312.91-131.02</f>
        <v>84181.89</v>
      </c>
      <c r="H218" s="18">
        <f>16414.07+25293</f>
        <v>41707.07</v>
      </c>
      <c r="I218" s="18">
        <v>60449.94</v>
      </c>
      <c r="J218" s="18">
        <v>33008.14</v>
      </c>
      <c r="K218" s="18">
        <v>149.69</v>
      </c>
      <c r="L218" s="19">
        <f t="shared" si="2"/>
        <v>460893.42000000004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4389768.9300000006</v>
      </c>
      <c r="G221" s="41">
        <f>SUM(G207:G220)</f>
        <v>1696707.76</v>
      </c>
      <c r="H221" s="41">
        <f>SUM(H207:H220)</f>
        <v>693946.42999999993</v>
      </c>
      <c r="I221" s="41">
        <f>SUM(I207:I220)</f>
        <v>406549.49000000005</v>
      </c>
      <c r="J221" s="41">
        <f>SUM(J207:J220)</f>
        <v>91557.549999999988</v>
      </c>
      <c r="K221" s="41">
        <f t="shared" si="3"/>
        <v>4156.9399999999996</v>
      </c>
      <c r="L221" s="41">
        <f t="shared" si="3"/>
        <v>7282687.1000000006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2483124.96</v>
      </c>
      <c r="G225" s="18">
        <v>1071013.3899999999</v>
      </c>
      <c r="H225" s="18">
        <f>385+3153.28+3600</f>
        <v>7138.2800000000007</v>
      </c>
      <c r="I225" s="18">
        <f>147508.76-50.61</f>
        <v>147458.15000000002</v>
      </c>
      <c r="J225" s="18">
        <v>14425.72</v>
      </c>
      <c r="K225" s="18"/>
      <c r="L225" s="19">
        <f>SUM(F225:K225)</f>
        <v>3723160.4999999995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894872.77</v>
      </c>
      <c r="G226" s="18">
        <v>454889.99</v>
      </c>
      <c r="H226" s="18">
        <f>6508.92+478141.23</f>
        <v>484650.14999999997</v>
      </c>
      <c r="I226" s="18">
        <v>7365.58</v>
      </c>
      <c r="J226" s="18">
        <v>1304.04</v>
      </c>
      <c r="K226" s="18"/>
      <c r="L226" s="19">
        <f>SUM(F226:K226)</f>
        <v>1843082.53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166123.1</v>
      </c>
      <c r="I227" s="18"/>
      <c r="J227" s="18"/>
      <c r="K227" s="18"/>
      <c r="L227" s="19">
        <f>SUM(F227:K227)</f>
        <v>166123.1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252684</v>
      </c>
      <c r="G228" s="18">
        <v>18902.03</v>
      </c>
      <c r="H228" s="18">
        <f>34968.73+647</f>
        <v>35615.730000000003</v>
      </c>
      <c r="I228" s="18">
        <v>35000</v>
      </c>
      <c r="J228" s="18"/>
      <c r="K228" s="18">
        <v>3800.26</v>
      </c>
      <c r="L228" s="19">
        <f>SUM(F228:K228)</f>
        <v>346002.02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676483.16</v>
      </c>
      <c r="G230" s="18">
        <v>282565.21999999997</v>
      </c>
      <c r="H230" s="18">
        <f>179723.09+77.71+2560.56-748</f>
        <v>181613.36</v>
      </c>
      <c r="I230" s="18">
        <v>9915.01</v>
      </c>
      <c r="J230" s="18">
        <v>302.77999999999997</v>
      </c>
      <c r="K230" s="18">
        <v>509.35</v>
      </c>
      <c r="L230" s="19">
        <f t="shared" ref="L230:L236" si="4">SUM(F230:K230)</f>
        <v>1151388.8800000001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187471.93</v>
      </c>
      <c r="G231" s="18">
        <v>102661.77</v>
      </c>
      <c r="H231" s="18">
        <f>21141.44+12013.67+1092.34</f>
        <v>34247.449999999997</v>
      </c>
      <c r="I231" s="18">
        <v>23232.95</v>
      </c>
      <c r="J231" s="18">
        <v>27507.4</v>
      </c>
      <c r="K231" s="18"/>
      <c r="L231" s="19">
        <f t="shared" si="4"/>
        <v>375121.50000000006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15318.93</v>
      </c>
      <c r="G232" s="18">
        <v>6849.33</v>
      </c>
      <c r="H232" s="18">
        <f>247067.01+11527.53</f>
        <v>258594.54</v>
      </c>
      <c r="I232" s="18">
        <v>1028.82</v>
      </c>
      <c r="J232" s="18"/>
      <c r="K232" s="18">
        <v>1877.83</v>
      </c>
      <c r="L232" s="19">
        <f t="shared" si="4"/>
        <v>283669.45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365089.14</v>
      </c>
      <c r="G233" s="18">
        <v>129579.09</v>
      </c>
      <c r="H233" s="18">
        <f>569.01+10600+10243.07</f>
        <v>21412.080000000002</v>
      </c>
      <c r="I233" s="18">
        <v>10814.73</v>
      </c>
      <c r="J233" s="18">
        <v>16799.97</v>
      </c>
      <c r="K233" s="18">
        <v>31831.279999999999</v>
      </c>
      <c r="L233" s="19">
        <f t="shared" si="4"/>
        <v>575526.29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866.63</v>
      </c>
      <c r="I234" s="18"/>
      <c r="J234" s="18"/>
      <c r="K234" s="18"/>
      <c r="L234" s="19">
        <f t="shared" si="4"/>
        <v>866.63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395741.73</v>
      </c>
      <c r="G235" s="18">
        <v>180990.47</v>
      </c>
      <c r="H235" s="18">
        <f>243.91+212587.97+58434.18</f>
        <v>271266.06</v>
      </c>
      <c r="I235" s="18">
        <v>247261.47</v>
      </c>
      <c r="J235" s="18">
        <v>11611.71</v>
      </c>
      <c r="K235" s="18"/>
      <c r="L235" s="19">
        <f t="shared" si="4"/>
        <v>1106871.44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367301.1</v>
      </c>
      <c r="G236" s="18">
        <f>116541.01+357.21</f>
        <v>116898.22</v>
      </c>
      <c r="H236" s="18">
        <f>22688.25+34961.09</f>
        <v>57649.34</v>
      </c>
      <c r="I236" s="18">
        <v>83556.570000000007</v>
      </c>
      <c r="J236" s="18">
        <v>45625.3</v>
      </c>
      <c r="K236" s="18">
        <v>206.9</v>
      </c>
      <c r="L236" s="19">
        <f t="shared" si="4"/>
        <v>671237.43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5638087.7199999988</v>
      </c>
      <c r="G239" s="41">
        <f t="shared" si="5"/>
        <v>2364349.5100000002</v>
      </c>
      <c r="H239" s="41">
        <f t="shared" si="5"/>
        <v>1519176.72</v>
      </c>
      <c r="I239" s="41">
        <f t="shared" si="5"/>
        <v>565633.28000000003</v>
      </c>
      <c r="J239" s="41">
        <f t="shared" si="5"/>
        <v>117576.92</v>
      </c>
      <c r="K239" s="41">
        <f t="shared" si="5"/>
        <v>38225.620000000003</v>
      </c>
      <c r="L239" s="41">
        <f t="shared" si="5"/>
        <v>10243049.77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v>145195.09</v>
      </c>
      <c r="L247" s="19">
        <f t="shared" si="6"/>
        <v>145195.09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145195.09</v>
      </c>
      <c r="L248" s="41">
        <f>SUM(F248:K248)</f>
        <v>145195.09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18133391.370000001</v>
      </c>
      <c r="G249" s="41">
        <f t="shared" si="8"/>
        <v>7022306.8800000008</v>
      </c>
      <c r="H249" s="41">
        <f t="shared" si="8"/>
        <v>3658070.8200000003</v>
      </c>
      <c r="I249" s="41">
        <f t="shared" si="8"/>
        <v>1794020.0000000002</v>
      </c>
      <c r="J249" s="41">
        <f t="shared" si="8"/>
        <v>338630.75</v>
      </c>
      <c r="K249" s="41">
        <f t="shared" si="8"/>
        <v>192658</v>
      </c>
      <c r="L249" s="41">
        <f t="shared" si="8"/>
        <v>31139077.82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2975000</v>
      </c>
      <c r="L252" s="19">
        <f>SUM(F252:K252)</f>
        <v>2975000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317531.25</v>
      </c>
      <c r="L253" s="19">
        <f>SUM(F253:K253)</f>
        <v>317531.25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15452</v>
      </c>
      <c r="L255" s="19">
        <f>SUM(F255:K255)</f>
        <v>15452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3307983.25</v>
      </c>
      <c r="L262" s="41">
        <f t="shared" si="9"/>
        <v>3307983.25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18133391.370000001</v>
      </c>
      <c r="G263" s="42">
        <f t="shared" si="11"/>
        <v>7022306.8800000008</v>
      </c>
      <c r="H263" s="42">
        <f t="shared" si="11"/>
        <v>3658070.8200000003</v>
      </c>
      <c r="I263" s="42">
        <f t="shared" si="11"/>
        <v>1794020.0000000002</v>
      </c>
      <c r="J263" s="42">
        <f t="shared" si="11"/>
        <v>338630.75</v>
      </c>
      <c r="K263" s="42">
        <f t="shared" si="11"/>
        <v>3500641.25</v>
      </c>
      <c r="L263" s="42">
        <f t="shared" si="11"/>
        <v>34447061.07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3482.95</v>
      </c>
      <c r="G268" s="18">
        <v>478.87</v>
      </c>
      <c r="H268" s="18">
        <f>78081.51+47.48</f>
        <v>78128.989999999991</v>
      </c>
      <c r="I268" s="18">
        <v>2440.14</v>
      </c>
      <c r="J268" s="18">
        <v>4511.28</v>
      </c>
      <c r="K268" s="18"/>
      <c r="L268" s="19">
        <f>SUM(F268:K268)</f>
        <v>89042.23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346482.65</v>
      </c>
      <c r="G269" s="18">
        <v>73358.55</v>
      </c>
      <c r="H269" s="18">
        <f>4380.2+5431.82</f>
        <v>9812.02</v>
      </c>
      <c r="I269" s="18">
        <f>37756.56-2358.99</f>
        <v>35397.57</v>
      </c>
      <c r="J269" s="18">
        <v>85694.7</v>
      </c>
      <c r="K269" s="18"/>
      <c r="L269" s="19">
        <f>SUM(F269:K269)</f>
        <v>550745.49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20016.189999999999</v>
      </c>
      <c r="G271" s="18">
        <v>1725.64</v>
      </c>
      <c r="H271" s="18">
        <v>3625.88</v>
      </c>
      <c r="I271" s="18">
        <v>2442.98</v>
      </c>
      <c r="J271" s="18"/>
      <c r="K271" s="18"/>
      <c r="L271" s="19">
        <f>SUM(F271:K271)</f>
        <v>27810.69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69214.41</v>
      </c>
      <c r="G273" s="18">
        <v>17186.73</v>
      </c>
      <c r="H273" s="18">
        <v>87154.36</v>
      </c>
      <c r="I273" s="18">
        <v>187.22</v>
      </c>
      <c r="J273" s="18"/>
      <c r="K273" s="18"/>
      <c r="L273" s="19">
        <f t="shared" ref="L273:L279" si="12">SUM(F273:K273)</f>
        <v>173742.72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31402.71</v>
      </c>
      <c r="G274" s="18">
        <v>13572.89</v>
      </c>
      <c r="H274" s="18">
        <f>17473.5+8055.4+126.05</f>
        <v>25654.95</v>
      </c>
      <c r="I274" s="18">
        <v>4026.55</v>
      </c>
      <c r="J274" s="18">
        <v>899.64</v>
      </c>
      <c r="K274" s="18"/>
      <c r="L274" s="19">
        <f t="shared" si="12"/>
        <v>75556.740000000005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30.88</v>
      </c>
      <c r="G275" s="18">
        <v>2.37</v>
      </c>
      <c r="H275" s="18">
        <v>416.4</v>
      </c>
      <c r="I275" s="18"/>
      <c r="J275" s="18"/>
      <c r="K275" s="18"/>
      <c r="L275" s="19">
        <f t="shared" si="12"/>
        <v>449.65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6439.93</v>
      </c>
      <c r="L277" s="19">
        <f t="shared" si="12"/>
        <v>6439.93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504.22</v>
      </c>
      <c r="I279" s="18"/>
      <c r="J279" s="18"/>
      <c r="K279" s="18"/>
      <c r="L279" s="19">
        <f t="shared" si="12"/>
        <v>504.22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470629.7900000001</v>
      </c>
      <c r="G282" s="42">
        <f t="shared" si="13"/>
        <v>106325.04999999999</v>
      </c>
      <c r="H282" s="42">
        <f t="shared" si="13"/>
        <v>205296.82</v>
      </c>
      <c r="I282" s="42">
        <f t="shared" si="13"/>
        <v>44494.460000000006</v>
      </c>
      <c r="J282" s="42">
        <f t="shared" si="13"/>
        <v>91105.62</v>
      </c>
      <c r="K282" s="42">
        <f t="shared" si="13"/>
        <v>6439.93</v>
      </c>
      <c r="L282" s="41">
        <f t="shared" si="13"/>
        <v>924291.66999999993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2017.5</v>
      </c>
      <c r="G287" s="18">
        <v>277.39</v>
      </c>
      <c r="H287" s="18">
        <f>25534.26+27.5</f>
        <v>25561.759999999998</v>
      </c>
      <c r="I287" s="18">
        <v>111.42</v>
      </c>
      <c r="J287" s="18"/>
      <c r="K287" s="18"/>
      <c r="L287" s="19">
        <f>SUM(F287:K287)</f>
        <v>27968.069999999996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124385.51</v>
      </c>
      <c r="G288" s="18">
        <v>42493.02</v>
      </c>
      <c r="H288" s="18">
        <f>1827.04+3146.39</f>
        <v>4973.43</v>
      </c>
      <c r="I288" s="18">
        <f>17808.74-1366.44</f>
        <v>16442.300000000003</v>
      </c>
      <c r="J288" s="18">
        <v>38288.5</v>
      </c>
      <c r="K288" s="18"/>
      <c r="L288" s="19">
        <f>SUM(F288:K288)</f>
        <v>226582.76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6837.92</v>
      </c>
      <c r="G290" s="18">
        <v>999.58</v>
      </c>
      <c r="H290" s="18">
        <v>6635</v>
      </c>
      <c r="I290" s="18">
        <v>123.4</v>
      </c>
      <c r="J290" s="18"/>
      <c r="K290" s="18"/>
      <c r="L290" s="19">
        <f>SUM(F290:K290)</f>
        <v>14595.9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40092.53</v>
      </c>
      <c r="G292" s="18">
        <v>9955.44</v>
      </c>
      <c r="H292" s="18">
        <v>50982.23</v>
      </c>
      <c r="I292" s="18">
        <v>108.45</v>
      </c>
      <c r="J292" s="18"/>
      <c r="K292" s="18"/>
      <c r="L292" s="19">
        <f t="shared" ref="L292:L298" si="14">SUM(F292:K292)</f>
        <v>101138.65000000001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18190.060000000001</v>
      </c>
      <c r="G293" s="18">
        <v>7862.11</v>
      </c>
      <c r="H293" s="18">
        <f>10121.54+4666.1+73.02</f>
        <v>14860.660000000002</v>
      </c>
      <c r="I293" s="18">
        <v>2332.38</v>
      </c>
      <c r="J293" s="18">
        <v>521.12</v>
      </c>
      <c r="K293" s="18"/>
      <c r="L293" s="19">
        <f t="shared" si="14"/>
        <v>43766.33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>
        <v>17.89</v>
      </c>
      <c r="G294" s="18">
        <v>1.37</v>
      </c>
      <c r="H294" s="18">
        <v>241.2</v>
      </c>
      <c r="I294" s="18"/>
      <c r="J294" s="18"/>
      <c r="K294" s="18"/>
      <c r="L294" s="19">
        <f t="shared" si="14"/>
        <v>260.45999999999998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3730.34</v>
      </c>
      <c r="L296" s="19">
        <f t="shared" si="14"/>
        <v>3730.34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v>292.07</v>
      </c>
      <c r="I298" s="18"/>
      <c r="J298" s="18"/>
      <c r="K298" s="18"/>
      <c r="L298" s="19">
        <f t="shared" si="14"/>
        <v>292.07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191541.41</v>
      </c>
      <c r="G301" s="42">
        <f t="shared" si="15"/>
        <v>61588.91</v>
      </c>
      <c r="H301" s="42">
        <f t="shared" si="15"/>
        <v>103546.35000000002</v>
      </c>
      <c r="I301" s="42">
        <f t="shared" si="15"/>
        <v>19117.950000000004</v>
      </c>
      <c r="J301" s="42">
        <f t="shared" si="15"/>
        <v>38809.620000000003</v>
      </c>
      <c r="K301" s="42">
        <f t="shared" si="15"/>
        <v>3730.34</v>
      </c>
      <c r="L301" s="41">
        <f t="shared" si="15"/>
        <v>418334.58000000013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2788.68</v>
      </c>
      <c r="G306" s="18">
        <v>383.42</v>
      </c>
      <c r="H306" s="18">
        <f>35294.58+38.02</f>
        <v>35332.6</v>
      </c>
      <c r="I306" s="18">
        <v>238.74</v>
      </c>
      <c r="J306" s="18">
        <v>2164.7800000000002</v>
      </c>
      <c r="K306" s="18"/>
      <c r="L306" s="19">
        <f>SUM(F306:K306)</f>
        <v>40908.219999999994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103.22</v>
      </c>
      <c r="G307" s="18">
        <v>58735.73</v>
      </c>
      <c r="H307" s="18">
        <f>2525.42+4349.08</f>
        <v>6874.5</v>
      </c>
      <c r="I307" s="18">
        <f>23067.55-1888.76</f>
        <v>21178.79</v>
      </c>
      <c r="J307" s="18">
        <v>52924.05</v>
      </c>
      <c r="K307" s="18"/>
      <c r="L307" s="19">
        <f>SUM(F307:K307)</f>
        <v>139816.29000000004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6025.84</v>
      </c>
      <c r="G309" s="18">
        <v>1381.67</v>
      </c>
      <c r="H309" s="18">
        <v>437</v>
      </c>
      <c r="I309" s="18"/>
      <c r="J309" s="18"/>
      <c r="K309" s="18"/>
      <c r="L309" s="19">
        <f>SUM(F309:K309)</f>
        <v>7844.51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55417.65</v>
      </c>
      <c r="G311" s="18">
        <v>13760.84</v>
      </c>
      <c r="H311" s="18">
        <v>51929.8</v>
      </c>
      <c r="I311" s="18">
        <v>149.9</v>
      </c>
      <c r="J311" s="18"/>
      <c r="K311" s="18"/>
      <c r="L311" s="19">
        <f t="shared" ref="L311:L317" si="16">SUM(F311:K311)</f>
        <v>121258.19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25143.1</v>
      </c>
      <c r="G312" s="18">
        <v>10867.36</v>
      </c>
      <c r="H312" s="18">
        <f>13990.44+6449.69+100.93</f>
        <v>20541.060000000001</v>
      </c>
      <c r="I312" s="18">
        <v>3223.92</v>
      </c>
      <c r="J312" s="18">
        <v>720.31</v>
      </c>
      <c r="K312" s="18"/>
      <c r="L312" s="19">
        <f t="shared" si="16"/>
        <v>60495.75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>
        <v>24.73</v>
      </c>
      <c r="G313" s="18">
        <v>1.89</v>
      </c>
      <c r="H313" s="18">
        <v>333.4</v>
      </c>
      <c r="I313" s="18"/>
      <c r="J313" s="18"/>
      <c r="K313" s="18"/>
      <c r="L313" s="19">
        <f t="shared" si="16"/>
        <v>360.02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5156.24</v>
      </c>
      <c r="L315" s="19">
        <f t="shared" si="16"/>
        <v>5156.24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403.71</v>
      </c>
      <c r="I317" s="18"/>
      <c r="J317" s="18"/>
      <c r="K317" s="18"/>
      <c r="L317" s="19">
        <f t="shared" si="16"/>
        <v>403.71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89503.219999999987</v>
      </c>
      <c r="G320" s="42">
        <f t="shared" si="17"/>
        <v>85130.91</v>
      </c>
      <c r="H320" s="42">
        <f t="shared" si="17"/>
        <v>115852.06999999999</v>
      </c>
      <c r="I320" s="42">
        <f t="shared" si="17"/>
        <v>24791.350000000006</v>
      </c>
      <c r="J320" s="42">
        <f t="shared" si="17"/>
        <v>55809.14</v>
      </c>
      <c r="K320" s="42">
        <f t="shared" si="17"/>
        <v>5156.24</v>
      </c>
      <c r="L320" s="41">
        <f t="shared" si="17"/>
        <v>376242.93000000011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22506.25</v>
      </c>
      <c r="G327" s="18">
        <v>3496.42</v>
      </c>
      <c r="H327" s="18"/>
      <c r="I327" s="18">
        <v>982.71</v>
      </c>
      <c r="J327" s="18"/>
      <c r="K327" s="18"/>
      <c r="L327" s="19">
        <f t="shared" si="18"/>
        <v>26985.379999999997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4367.93</v>
      </c>
      <c r="I328" s="18"/>
      <c r="J328" s="18"/>
      <c r="K328" s="18"/>
      <c r="L328" s="19">
        <f t="shared" si="18"/>
        <v>4367.93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22506.25</v>
      </c>
      <c r="G329" s="41">
        <f t="shared" si="19"/>
        <v>3496.42</v>
      </c>
      <c r="H329" s="41">
        <f t="shared" si="19"/>
        <v>4367.93</v>
      </c>
      <c r="I329" s="41">
        <f t="shared" si="19"/>
        <v>982.71</v>
      </c>
      <c r="J329" s="41">
        <f t="shared" si="19"/>
        <v>0</v>
      </c>
      <c r="K329" s="41">
        <f t="shared" si="19"/>
        <v>0</v>
      </c>
      <c r="L329" s="41">
        <f t="shared" si="18"/>
        <v>31353.309999999998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774180.67</v>
      </c>
      <c r="G330" s="41">
        <f t="shared" si="20"/>
        <v>256541.29</v>
      </c>
      <c r="H330" s="41">
        <f t="shared" si="20"/>
        <v>429063.17000000004</v>
      </c>
      <c r="I330" s="41">
        <f t="shared" si="20"/>
        <v>89386.470000000016</v>
      </c>
      <c r="J330" s="41">
        <f t="shared" si="20"/>
        <v>185724.38</v>
      </c>
      <c r="K330" s="41">
        <f t="shared" si="20"/>
        <v>15326.51</v>
      </c>
      <c r="L330" s="41">
        <f t="shared" si="20"/>
        <v>1750222.4900000002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774180.67</v>
      </c>
      <c r="G344" s="41">
        <f>G330</f>
        <v>256541.29</v>
      </c>
      <c r="H344" s="41">
        <f>H330</f>
        <v>429063.17000000004</v>
      </c>
      <c r="I344" s="41">
        <f>I330</f>
        <v>89386.470000000016</v>
      </c>
      <c r="J344" s="41">
        <f>J330</f>
        <v>185724.38</v>
      </c>
      <c r="K344" s="47">
        <f>K330+K343</f>
        <v>15326.51</v>
      </c>
      <c r="L344" s="41">
        <f>L330+L343</f>
        <v>1750222.4900000002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182481.65+699.31</f>
        <v>183180.96</v>
      </c>
      <c r="G350" s="18">
        <f>34902.4+53.37</f>
        <v>34955.770000000004</v>
      </c>
      <c r="H350" s="18">
        <f>1860.15+9209.58+2306.52+105</f>
        <v>13481.25</v>
      </c>
      <c r="I350" s="18">
        <f>185502.47+625.98+10996.73</f>
        <v>197125.18000000002</v>
      </c>
      <c r="J350" s="18">
        <v>830.92</v>
      </c>
      <c r="K350" s="18"/>
      <c r="L350" s="13">
        <f>SUM(F350:K350)</f>
        <v>429574.08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90570.66</v>
      </c>
      <c r="G351" s="18">
        <v>20217.25</v>
      </c>
      <c r="H351" s="18">
        <f>1077.49+2252.3+784.66</f>
        <v>4114.45</v>
      </c>
      <c r="I351" s="18">
        <v>130346.68</v>
      </c>
      <c r="J351" s="18"/>
      <c r="K351" s="18"/>
      <c r="L351" s="19">
        <f>SUM(F351:K351)</f>
        <v>245249.03999999998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157306.18</v>
      </c>
      <c r="G352" s="18">
        <v>27945.18</v>
      </c>
      <c r="H352" s="18">
        <f>1489.36+2438.75+6188.95</f>
        <v>10117.06</v>
      </c>
      <c r="I352" s="18">
        <v>254125.52</v>
      </c>
      <c r="J352" s="18"/>
      <c r="K352" s="18"/>
      <c r="L352" s="19">
        <f>SUM(F352:K352)</f>
        <v>449493.93999999994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431057.8</v>
      </c>
      <c r="G354" s="47">
        <f t="shared" si="22"/>
        <v>83118.200000000012</v>
      </c>
      <c r="H354" s="47">
        <f t="shared" si="22"/>
        <v>27712.760000000002</v>
      </c>
      <c r="I354" s="47">
        <f t="shared" si="22"/>
        <v>581597.38</v>
      </c>
      <c r="J354" s="47">
        <f t="shared" si="22"/>
        <v>830.92</v>
      </c>
      <c r="K354" s="47">
        <f t="shared" si="22"/>
        <v>0</v>
      </c>
      <c r="L354" s="47">
        <f t="shared" si="22"/>
        <v>1124317.06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184521.82</v>
      </c>
      <c r="G359" s="18">
        <v>122927.38</v>
      </c>
      <c r="H359" s="18">
        <v>234292.56</v>
      </c>
      <c r="I359" s="56">
        <f>SUM(F359:H359)</f>
        <v>541741.76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12603.36</v>
      </c>
      <c r="G360" s="63">
        <v>7419.3</v>
      </c>
      <c r="H360" s="63">
        <v>19832.96</v>
      </c>
      <c r="I360" s="56">
        <f>SUM(F360:H360)</f>
        <v>39855.619999999995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197125.18</v>
      </c>
      <c r="G361" s="47">
        <f>SUM(G359:G360)</f>
        <v>130346.68000000001</v>
      </c>
      <c r="H361" s="47">
        <f>SUM(H359:H360)</f>
        <v>254125.52</v>
      </c>
      <c r="I361" s="47">
        <f>SUM(I359:I360)</f>
        <v>581597.38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>
        <v>1500</v>
      </c>
      <c r="I366" s="18"/>
      <c r="J366" s="18"/>
      <c r="K366" s="18"/>
      <c r="L366" s="13">
        <f>SUM(F366:K366)</f>
        <v>1500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-2750</v>
      </c>
      <c r="I370" s="18"/>
      <c r="J370" s="18"/>
      <c r="K370" s="18"/>
      <c r="L370" s="13">
        <f t="shared" si="23"/>
        <v>-2750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218004.8</v>
      </c>
      <c r="I372" s="18"/>
      <c r="J372" s="18"/>
      <c r="K372" s="18"/>
      <c r="L372" s="13">
        <f t="shared" si="23"/>
        <v>218004.8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216754.8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216754.8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381.18</v>
      </c>
      <c r="I388" s="18"/>
      <c r="J388" s="24" t="s">
        <v>312</v>
      </c>
      <c r="K388" s="24" t="s">
        <v>312</v>
      </c>
      <c r="L388" s="56">
        <f t="shared" si="26"/>
        <v>381.18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864.65</v>
      </c>
      <c r="I389" s="18"/>
      <c r="J389" s="24" t="s">
        <v>312</v>
      </c>
      <c r="K389" s="24" t="s">
        <v>312</v>
      </c>
      <c r="L389" s="56">
        <f t="shared" si="26"/>
        <v>864.65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253.16</v>
      </c>
      <c r="I390" s="18"/>
      <c r="J390" s="24" t="s">
        <v>312</v>
      </c>
      <c r="K390" s="24" t="s">
        <v>312</v>
      </c>
      <c r="L390" s="56">
        <f t="shared" si="26"/>
        <v>253.16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1498.99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1498.99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1498.99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1498.99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633898.67000000004</v>
      </c>
      <c r="H434" s="18"/>
      <c r="I434" s="56">
        <f t="shared" si="33"/>
        <v>633898.67000000004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633898.67000000004</v>
      </c>
      <c r="H438" s="13">
        <f>SUM(H431:H437)</f>
        <v>0</v>
      </c>
      <c r="I438" s="13">
        <f>SUM(I431:I437)</f>
        <v>633898.67000000004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633898.67000000004</v>
      </c>
      <c r="H449" s="18"/>
      <c r="I449" s="56">
        <f>SUM(F449:H449)</f>
        <v>633898.67000000004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633898.67000000004</v>
      </c>
      <c r="H450" s="83">
        <f>SUM(H446:H449)</f>
        <v>0</v>
      </c>
      <c r="I450" s="83">
        <f>SUM(I446:I449)</f>
        <v>633898.67000000004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633898.67000000004</v>
      </c>
      <c r="H451" s="42">
        <f>H444+H450</f>
        <v>0</v>
      </c>
      <c r="I451" s="42">
        <f>I444+I450</f>
        <v>633898.67000000004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1915722.89</v>
      </c>
      <c r="G455" s="18">
        <v>17135.240000000002</v>
      </c>
      <c r="H455" s="18">
        <v>17232.13</v>
      </c>
      <c r="I455" s="18">
        <v>285476.49</v>
      </c>
      <c r="J455" s="18">
        <v>632399.68000000005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33496350.66</v>
      </c>
      <c r="G458" s="18">
        <v>1117701.42</v>
      </c>
      <c r="H458" s="18">
        <v>1750216.39</v>
      </c>
      <c r="I458" s="18">
        <v>150.76</v>
      </c>
      <c r="J458" s="18">
        <v>1498.99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1047.3499999999999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33496350.66</v>
      </c>
      <c r="G460" s="53">
        <f>SUM(G458:G459)</f>
        <v>1118748.77</v>
      </c>
      <c r="H460" s="53">
        <f>SUM(H458:H459)</f>
        <v>1750216.39</v>
      </c>
      <c r="I460" s="53">
        <f>SUM(I458:I459)</f>
        <v>150.76</v>
      </c>
      <c r="J460" s="53">
        <f>SUM(J458:J459)</f>
        <v>1498.99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34447061.07</v>
      </c>
      <c r="G462" s="18">
        <f>1111005.75+13311.31</f>
        <v>1124317.06</v>
      </c>
      <c r="H462" s="18">
        <f>1763533.8-13311.31</f>
        <v>1750222.49</v>
      </c>
      <c r="I462" s="18">
        <v>216754.8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f>38244.86-13116</f>
        <v>25128.86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34472189.93</v>
      </c>
      <c r="G464" s="53">
        <f>SUM(G462:G463)</f>
        <v>1124317.06</v>
      </c>
      <c r="H464" s="53">
        <f>SUM(H462:H463)</f>
        <v>1750222.49</v>
      </c>
      <c r="I464" s="53">
        <f>SUM(I462:I463)</f>
        <v>216754.8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939883.61999999732</v>
      </c>
      <c r="G466" s="53">
        <f>(G455+G460)- G464</f>
        <v>11566.949999999953</v>
      </c>
      <c r="H466" s="53">
        <f>(H455+H460)- H464</f>
        <v>17226.029999999795</v>
      </c>
      <c r="I466" s="53">
        <f>(I455+I460)- I464</f>
        <v>68872.450000000012</v>
      </c>
      <c r="J466" s="53">
        <f>(J455+J460)- J464</f>
        <v>633898.67000000004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75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8" t="s">
        <v>899</v>
      </c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8" t="s">
        <v>900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>
        <v>19836029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>
        <v>3.25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>
        <v>9910000</v>
      </c>
      <c r="H485" s="18"/>
      <c r="I485" s="18"/>
      <c r="J485" s="18"/>
      <c r="K485" s="53">
        <f>SUM(F485:J485)</f>
        <v>9910000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>
        <v>1985000</v>
      </c>
      <c r="H487" s="18"/>
      <c r="I487" s="18"/>
      <c r="J487" s="18"/>
      <c r="K487" s="53">
        <f t="shared" si="34"/>
        <v>1985000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>
        <f>1985000+1980000+1980000+1980000</f>
        <v>7925000</v>
      </c>
      <c r="H488" s="205"/>
      <c r="I488" s="205"/>
      <c r="J488" s="205"/>
      <c r="K488" s="206">
        <f t="shared" si="34"/>
        <v>7925000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>
        <f>130262.5+99495+99495+67320+67320+34650+34650</f>
        <v>533192.5</v>
      </c>
      <c r="H489" s="18"/>
      <c r="I489" s="18"/>
      <c r="J489" s="18"/>
      <c r="K489" s="53">
        <f t="shared" si="34"/>
        <v>533192.5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8458192.5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8458192.5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1985000</v>
      </c>
      <c r="H491" s="205"/>
      <c r="I491" s="205"/>
      <c r="J491" s="205"/>
      <c r="K491" s="206">
        <f t="shared" si="34"/>
        <v>1985000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f>130262.5+99495</f>
        <v>229757.5</v>
      </c>
      <c r="H492" s="18"/>
      <c r="I492" s="18"/>
      <c r="J492" s="18"/>
      <c r="K492" s="53">
        <f t="shared" si="34"/>
        <v>229757.5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2214757.5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2214757.5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1601321.1</v>
      </c>
      <c r="G511" s="18">
        <v>545097.07999999996</v>
      </c>
      <c r="H511" s="18">
        <f>13392.01+335737.41</f>
        <v>349129.42</v>
      </c>
      <c r="I511" s="18">
        <f>42201.71-2358.99</f>
        <v>39842.720000000001</v>
      </c>
      <c r="J511" s="18">
        <v>86002.47</v>
      </c>
      <c r="K511" s="18"/>
      <c r="L511" s="88">
        <f>SUM(F511:K511)</f>
        <v>2621392.7900000005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701438.18</v>
      </c>
      <c r="G512" s="18">
        <v>315748.09000000003</v>
      </c>
      <c r="H512" s="18">
        <f>8934.29+135879.68</f>
        <v>144813.97</v>
      </c>
      <c r="I512" s="18">
        <f>22594.15-1366.44</f>
        <v>21227.710000000003</v>
      </c>
      <c r="J512" s="18">
        <v>38466.78</v>
      </c>
      <c r="K512" s="18"/>
      <c r="L512" s="88">
        <f>SUM(F512:K512)</f>
        <v>1221694.73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763327.34</v>
      </c>
      <c r="G513" s="18">
        <v>436440.92</v>
      </c>
      <c r="H513" s="18">
        <f>8828.11+482129.02</f>
        <v>490957.13</v>
      </c>
      <c r="I513" s="18">
        <f>28969.11-1888.76</f>
        <v>27080.350000000002</v>
      </c>
      <c r="J513" s="18">
        <v>53903.96</v>
      </c>
      <c r="K513" s="18"/>
      <c r="L513" s="88">
        <f>SUM(F513:K513)</f>
        <v>1771709.7000000002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3066086.62</v>
      </c>
      <c r="G514" s="108">
        <f t="shared" ref="G514:L514" si="35">SUM(G511:G513)</f>
        <v>1297286.0899999999</v>
      </c>
      <c r="H514" s="108">
        <f t="shared" si="35"/>
        <v>984900.52</v>
      </c>
      <c r="I514" s="108">
        <f t="shared" si="35"/>
        <v>88150.780000000013</v>
      </c>
      <c r="J514" s="108">
        <f t="shared" si="35"/>
        <v>178373.21</v>
      </c>
      <c r="K514" s="108">
        <f t="shared" si="35"/>
        <v>0</v>
      </c>
      <c r="L514" s="89">
        <f t="shared" si="35"/>
        <v>5614797.2200000007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324846.51</v>
      </c>
      <c r="G516" s="18">
        <v>127725.89</v>
      </c>
      <c r="H516" s="18">
        <f>334720.66-2785-784-9854.35</f>
        <v>321297.31</v>
      </c>
      <c r="I516" s="18">
        <v>187.22</v>
      </c>
      <c r="J516" s="18"/>
      <c r="K516" s="18"/>
      <c r="L516" s="88">
        <f>SUM(F516:K516)</f>
        <v>774056.92999999993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206287.3</v>
      </c>
      <c r="G517" s="18">
        <v>73985.36</v>
      </c>
      <c r="H517" s="18">
        <v>126034.55</v>
      </c>
      <c r="I517" s="18">
        <v>108.45</v>
      </c>
      <c r="J517" s="18"/>
      <c r="K517" s="18"/>
      <c r="L517" s="88">
        <f>SUM(F517:K517)</f>
        <v>406415.66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221382.84</v>
      </c>
      <c r="G518" s="18">
        <v>102265.83</v>
      </c>
      <c r="H518" s="18">
        <f>118413.11-748</f>
        <v>117665.11</v>
      </c>
      <c r="I518" s="18">
        <v>149.9</v>
      </c>
      <c r="J518" s="18"/>
      <c r="K518" s="18"/>
      <c r="L518" s="88">
        <f>SUM(F518:K518)</f>
        <v>441463.68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752516.65</v>
      </c>
      <c r="G519" s="89">
        <f t="shared" ref="G519:L519" si="36">SUM(G516:G518)</f>
        <v>303977.08</v>
      </c>
      <c r="H519" s="89">
        <f t="shared" si="36"/>
        <v>564996.97</v>
      </c>
      <c r="I519" s="89">
        <f t="shared" si="36"/>
        <v>445.57000000000005</v>
      </c>
      <c r="J519" s="89">
        <f t="shared" si="36"/>
        <v>0</v>
      </c>
      <c r="K519" s="89">
        <f t="shared" si="36"/>
        <v>0</v>
      </c>
      <c r="L519" s="89">
        <f t="shared" si="36"/>
        <v>1621936.2699999998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95553.01</v>
      </c>
      <c r="G521" s="18">
        <v>43987.54</v>
      </c>
      <c r="H521" s="18">
        <f>20295.62+1256.26</f>
        <v>21551.879999999997</v>
      </c>
      <c r="I521" s="18">
        <v>236.4</v>
      </c>
      <c r="J521" s="18">
        <v>378.16</v>
      </c>
      <c r="K521" s="18">
        <v>636.16</v>
      </c>
      <c r="L521" s="88">
        <f>SUM(F521:K521)</f>
        <v>162343.15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106872.73</v>
      </c>
      <c r="G522" s="18">
        <v>25479.83</v>
      </c>
      <c r="H522" s="18">
        <f>11990.53+727.69</f>
        <v>12718.220000000001</v>
      </c>
      <c r="I522" s="18">
        <v>231</v>
      </c>
      <c r="J522" s="18">
        <v>219.05</v>
      </c>
      <c r="K522" s="18">
        <v>368.49</v>
      </c>
      <c r="L522" s="88">
        <f>SUM(F522:K522)</f>
        <v>145889.31999999998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128054.04</v>
      </c>
      <c r="G523" s="18">
        <v>35219.35</v>
      </c>
      <c r="H523" s="18">
        <f>21572.88+1005.85</f>
        <v>22578.73</v>
      </c>
      <c r="I523" s="18"/>
      <c r="J523" s="18">
        <v>302.77999999999997</v>
      </c>
      <c r="K523" s="18">
        <v>509.35</v>
      </c>
      <c r="L523" s="88">
        <f>SUM(F523:K523)</f>
        <v>186664.25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330479.77999999997</v>
      </c>
      <c r="G524" s="89">
        <f t="shared" ref="G524:L524" si="37">SUM(G521:G523)</f>
        <v>104686.72</v>
      </c>
      <c r="H524" s="89">
        <f t="shared" si="37"/>
        <v>56848.83</v>
      </c>
      <c r="I524" s="89">
        <f t="shared" si="37"/>
        <v>467.4</v>
      </c>
      <c r="J524" s="89">
        <f t="shared" si="37"/>
        <v>899.99</v>
      </c>
      <c r="K524" s="89">
        <f t="shared" si="37"/>
        <v>1514</v>
      </c>
      <c r="L524" s="89">
        <f t="shared" si="37"/>
        <v>494896.72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147</v>
      </c>
      <c r="I526" s="18"/>
      <c r="J526" s="18"/>
      <c r="K526" s="18"/>
      <c r="L526" s="88">
        <f>SUM(F526:K526)</f>
        <v>147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242</v>
      </c>
      <c r="I528" s="18"/>
      <c r="J528" s="18"/>
      <c r="K528" s="18"/>
      <c r="L528" s="88">
        <f>SUM(F528:K528)</f>
        <v>242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389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389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93970.87</v>
      </c>
      <c r="G531" s="18">
        <v>28653.25</v>
      </c>
      <c r="H531" s="18">
        <v>38847.241999999998</v>
      </c>
      <c r="I531" s="18">
        <v>27133.282800000001</v>
      </c>
      <c r="J531" s="18">
        <v>14815.881600000001</v>
      </c>
      <c r="K531" s="18"/>
      <c r="L531" s="88">
        <f>SUM(F531:K531)</f>
        <v>203420.5264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54432.73</v>
      </c>
      <c r="G532" s="18">
        <v>16597.43</v>
      </c>
      <c r="H532" s="18">
        <v>22502.308199999999</v>
      </c>
      <c r="I532" s="18">
        <v>15716.984400000001</v>
      </c>
      <c r="J532" s="18">
        <v>8582.1164000000008</v>
      </c>
      <c r="K532" s="18"/>
      <c r="L532" s="88">
        <f>SUM(F532:K532)</f>
        <v>117831.569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75239.320000000007</v>
      </c>
      <c r="G533" s="18">
        <v>22941.8</v>
      </c>
      <c r="H533" s="18">
        <v>31103.685000000001</v>
      </c>
      <c r="I533" s="18">
        <v>21724.708200000001</v>
      </c>
      <c r="J533" s="18">
        <v>11862.578000000001</v>
      </c>
      <c r="K533" s="18"/>
      <c r="L533" s="88">
        <f>SUM(F533:K533)</f>
        <v>162872.09120000002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223642.92</v>
      </c>
      <c r="G534" s="194">
        <f t="shared" ref="G534:L534" si="39">SUM(G531:G533)</f>
        <v>68192.479999999996</v>
      </c>
      <c r="H534" s="194">
        <f t="shared" si="39"/>
        <v>92453.235199999996</v>
      </c>
      <c r="I534" s="194">
        <f t="shared" si="39"/>
        <v>64574.975400000003</v>
      </c>
      <c r="J534" s="194">
        <f t="shared" si="39"/>
        <v>35260.576000000001</v>
      </c>
      <c r="K534" s="194">
        <f t="shared" si="39"/>
        <v>0</v>
      </c>
      <c r="L534" s="194">
        <f t="shared" si="39"/>
        <v>484124.18660000002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4372725.97</v>
      </c>
      <c r="G535" s="89">
        <f t="shared" ref="G535:L535" si="40">G514+G519+G524+G529+G534</f>
        <v>1774142.3699999999</v>
      </c>
      <c r="H535" s="89">
        <f t="shared" si="40"/>
        <v>1699588.5552000001</v>
      </c>
      <c r="I535" s="89">
        <f t="shared" si="40"/>
        <v>153638.72540000002</v>
      </c>
      <c r="J535" s="89">
        <f t="shared" si="40"/>
        <v>214533.77599999998</v>
      </c>
      <c r="K535" s="89">
        <f t="shared" si="40"/>
        <v>1514</v>
      </c>
      <c r="L535" s="89">
        <f t="shared" si="40"/>
        <v>8216143.3965999996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2621392.7900000005</v>
      </c>
      <c r="G539" s="87">
        <f>L516</f>
        <v>774056.92999999993</v>
      </c>
      <c r="H539" s="87">
        <f>L521</f>
        <v>162343.15</v>
      </c>
      <c r="I539" s="87">
        <f>L526</f>
        <v>147</v>
      </c>
      <c r="J539" s="87">
        <f>L531</f>
        <v>203420.5264</v>
      </c>
      <c r="K539" s="87">
        <f>SUM(F539:J539)</f>
        <v>3761360.3964000004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1221694.73</v>
      </c>
      <c r="G540" s="87">
        <f>L517</f>
        <v>406415.66</v>
      </c>
      <c r="H540" s="87">
        <f>L522</f>
        <v>145889.31999999998</v>
      </c>
      <c r="I540" s="87">
        <f>L527</f>
        <v>0</v>
      </c>
      <c r="J540" s="87">
        <f>L532</f>
        <v>117831.569</v>
      </c>
      <c r="K540" s="87">
        <f>SUM(F540:J540)</f>
        <v>1891831.2789999999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1771709.7000000002</v>
      </c>
      <c r="G541" s="87">
        <f>L518</f>
        <v>441463.68</v>
      </c>
      <c r="H541" s="87">
        <f>L523</f>
        <v>186664.25</v>
      </c>
      <c r="I541" s="87">
        <f>L528</f>
        <v>242</v>
      </c>
      <c r="J541" s="87">
        <f>L533</f>
        <v>162872.09120000002</v>
      </c>
      <c r="K541" s="87">
        <f>SUM(F541:J541)</f>
        <v>2562951.7212000005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5614797.2200000007</v>
      </c>
      <c r="G542" s="89">
        <f t="shared" si="41"/>
        <v>1621936.2699999998</v>
      </c>
      <c r="H542" s="89">
        <f t="shared" si="41"/>
        <v>494896.72</v>
      </c>
      <c r="I542" s="89">
        <f t="shared" si="41"/>
        <v>389</v>
      </c>
      <c r="J542" s="89">
        <f t="shared" si="41"/>
        <v>484124.18660000002</v>
      </c>
      <c r="K542" s="89">
        <f t="shared" si="41"/>
        <v>8216143.3966000006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12493.46</v>
      </c>
      <c r="G552" s="18">
        <v>11368.73</v>
      </c>
      <c r="H552" s="18">
        <v>346.2</v>
      </c>
      <c r="I552" s="18">
        <v>474.48</v>
      </c>
      <c r="J552" s="18"/>
      <c r="K552" s="18"/>
      <c r="L552" s="88">
        <f>SUM(F552:K552)</f>
        <v>24682.87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24986.77</v>
      </c>
      <c r="G553" s="18">
        <v>6585.35</v>
      </c>
      <c r="H553" s="18">
        <v>200.53</v>
      </c>
      <c r="I553" s="18">
        <v>274.83999999999997</v>
      </c>
      <c r="J553" s="18"/>
      <c r="K553" s="18"/>
      <c r="L553" s="88">
        <f>SUM(F553:K553)</f>
        <v>32047.49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44492.08</v>
      </c>
      <c r="G554" s="18">
        <v>27649.56</v>
      </c>
      <c r="H554" s="18">
        <v>277.19</v>
      </c>
      <c r="I554" s="18">
        <v>379.9</v>
      </c>
      <c r="J554" s="18"/>
      <c r="K554" s="18"/>
      <c r="L554" s="88">
        <f>SUM(F554:K554)</f>
        <v>72798.73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81972.31</v>
      </c>
      <c r="G555" s="89">
        <f t="shared" si="43"/>
        <v>45603.64</v>
      </c>
      <c r="H555" s="89">
        <f t="shared" si="43"/>
        <v>823.92000000000007</v>
      </c>
      <c r="I555" s="89">
        <f t="shared" si="43"/>
        <v>1129.2199999999998</v>
      </c>
      <c r="J555" s="89">
        <f t="shared" si="43"/>
        <v>0</v>
      </c>
      <c r="K555" s="89">
        <f t="shared" si="43"/>
        <v>0</v>
      </c>
      <c r="L555" s="89">
        <f t="shared" si="43"/>
        <v>129529.09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81972.31</v>
      </c>
      <c r="G561" s="89">
        <f t="shared" ref="G561:L561" si="45">G550+G555+G560</f>
        <v>45603.64</v>
      </c>
      <c r="H561" s="89">
        <f t="shared" si="45"/>
        <v>823.92000000000007</v>
      </c>
      <c r="I561" s="89">
        <f t="shared" si="45"/>
        <v>1129.2199999999998</v>
      </c>
      <c r="J561" s="89">
        <f t="shared" si="45"/>
        <v>0</v>
      </c>
      <c r="K561" s="89">
        <f t="shared" si="45"/>
        <v>0</v>
      </c>
      <c r="L561" s="89">
        <f t="shared" si="45"/>
        <v>129529.09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3600</v>
      </c>
      <c r="I568" s="87">
        <f t="shared" si="46"/>
        <v>3600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35977.33</v>
      </c>
      <c r="G569" s="18">
        <v>20839.91</v>
      </c>
      <c r="H569" s="18">
        <f>31753+28805.84</f>
        <v>60558.84</v>
      </c>
      <c r="I569" s="87">
        <f t="shared" si="46"/>
        <v>117376.08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290290.34999999998</v>
      </c>
      <c r="G572" s="18">
        <v>111641.99</v>
      </c>
      <c r="H572" s="18">
        <v>414095.88</v>
      </c>
      <c r="I572" s="87">
        <f t="shared" si="46"/>
        <v>816028.22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166123.1</v>
      </c>
      <c r="I574" s="87">
        <f t="shared" si="46"/>
        <v>166123.1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601728.44-0.01</f>
        <v>601728.42999999993</v>
      </c>
      <c r="I581" s="18">
        <f>330098.87+0.01</f>
        <v>330098.88</v>
      </c>
      <c r="J581" s="18">
        <f>456277.2-0.01</f>
        <v>456277.19</v>
      </c>
      <c r="K581" s="104">
        <f t="shared" ref="K581:K587" si="47">SUM(H581:J581)</f>
        <v>1388104.5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206414.32</v>
      </c>
      <c r="I582" s="18">
        <v>119565.73</v>
      </c>
      <c r="J582" s="18">
        <v>165269.01</v>
      </c>
      <c r="K582" s="104">
        <f t="shared" si="47"/>
        <v>491249.06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7041.74</v>
      </c>
      <c r="K583" s="104">
        <f t="shared" si="47"/>
        <v>7041.74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7160</v>
      </c>
      <c r="J584" s="18">
        <v>39825.199999999997</v>
      </c>
      <c r="K584" s="104">
        <f t="shared" si="47"/>
        <v>46985.2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4610.3100000000004</v>
      </c>
      <c r="I585" s="18">
        <v>4068.81</v>
      </c>
      <c r="J585" s="18">
        <v>2824.29</v>
      </c>
      <c r="K585" s="104">
        <f t="shared" si="47"/>
        <v>11503.41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812753.06</v>
      </c>
      <c r="I588" s="108">
        <f>SUM(I581:I587)</f>
        <v>460893.42</v>
      </c>
      <c r="J588" s="108">
        <f>SUM(J581:J587)</f>
        <v>671237.42999999993</v>
      </c>
      <c r="K588" s="108">
        <f>SUM(K581:K587)</f>
        <v>1944883.91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221432.81-830.9</f>
        <v>220601.91</v>
      </c>
      <c r="I594" s="18">
        <v>130367.16</v>
      </c>
      <c r="J594" s="18">
        <v>173386.06</v>
      </c>
      <c r="K594" s="104">
        <f>SUM(H594:J594)</f>
        <v>524355.13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220601.91</v>
      </c>
      <c r="I595" s="108">
        <f>SUM(I592:I594)</f>
        <v>130367.16</v>
      </c>
      <c r="J595" s="108">
        <f>SUM(J592:J594)</f>
        <v>173386.06</v>
      </c>
      <c r="K595" s="108">
        <f>SUM(K592:K594)</f>
        <v>524355.13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18933.400000000001</v>
      </c>
      <c r="G601" s="18">
        <v>1550.66</v>
      </c>
      <c r="H601" s="18">
        <v>3625.88</v>
      </c>
      <c r="I601" s="18">
        <v>2442.98</v>
      </c>
      <c r="J601" s="18"/>
      <c r="K601" s="18"/>
      <c r="L601" s="88">
        <f>SUM(F601:K601)</f>
        <v>26552.920000000002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6210.72</v>
      </c>
      <c r="G602" s="18">
        <v>898.22</v>
      </c>
      <c r="H602" s="18">
        <v>6635</v>
      </c>
      <c r="I602" s="18">
        <v>123.4</v>
      </c>
      <c r="J602" s="18"/>
      <c r="K602" s="18"/>
      <c r="L602" s="88">
        <f>SUM(F602:K602)</f>
        <v>13867.34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5158.8900000000003</v>
      </c>
      <c r="G603" s="18">
        <v>1241.56</v>
      </c>
      <c r="H603" s="18">
        <v>437</v>
      </c>
      <c r="I603" s="18"/>
      <c r="J603" s="18"/>
      <c r="K603" s="18"/>
      <c r="L603" s="88">
        <f>SUM(F603:K603)</f>
        <v>6837.4500000000007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30303.010000000002</v>
      </c>
      <c r="G604" s="108">
        <f t="shared" si="48"/>
        <v>3690.44</v>
      </c>
      <c r="H604" s="108">
        <f t="shared" si="48"/>
        <v>10697.880000000001</v>
      </c>
      <c r="I604" s="108">
        <f t="shared" si="48"/>
        <v>2566.38</v>
      </c>
      <c r="J604" s="108">
        <f t="shared" si="48"/>
        <v>0</v>
      </c>
      <c r="K604" s="108">
        <f t="shared" si="48"/>
        <v>0</v>
      </c>
      <c r="L604" s="89">
        <f t="shared" si="48"/>
        <v>47257.710000000006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2907510.6</v>
      </c>
      <c r="H607" s="109">
        <f>SUM(F44)</f>
        <v>2907510.5999999978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90783.659999999989</v>
      </c>
      <c r="H608" s="109">
        <f>SUM(G44)</f>
        <v>90783.660000000033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457011.44</v>
      </c>
      <c r="H609" s="109">
        <f>SUM(H44)</f>
        <v>457011.43999999983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274664.11000000004</v>
      </c>
      <c r="H610" s="109">
        <f>SUM(I44)</f>
        <v>274664.11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633898.67000000004</v>
      </c>
      <c r="H611" s="109">
        <f>SUM(J44)</f>
        <v>633898.67000000004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939883.61999999732</v>
      </c>
      <c r="H612" s="109">
        <f>F466</f>
        <v>939883.61999999732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11566.950000000046</v>
      </c>
      <c r="H613" s="109">
        <f>G466</f>
        <v>11566.949999999953</v>
      </c>
      <c r="I613" s="121" t="s">
        <v>108</v>
      </c>
      <c r="J613" s="109">
        <f t="shared" si="49"/>
        <v>9.276845958083868E-11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17226.029999999795</v>
      </c>
      <c r="H614" s="109">
        <f>H466</f>
        <v>17226.029999999795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68872.450000000012</v>
      </c>
      <c r="H615" s="109">
        <f>I466</f>
        <v>68872.450000000012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633898.67000000004</v>
      </c>
      <c r="H616" s="109">
        <f>J466</f>
        <v>633898.67000000004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33496350.66</v>
      </c>
      <c r="H617" s="104">
        <f>SUM(F458)</f>
        <v>33496350.66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1117701.42</v>
      </c>
      <c r="H618" s="104">
        <f>SUM(G458)</f>
        <v>1117701.42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1750216.3900000001</v>
      </c>
      <c r="H619" s="104">
        <f>SUM(H458)</f>
        <v>1750216.39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150.76</v>
      </c>
      <c r="H620" s="104">
        <f>SUM(I458)</f>
        <v>150.76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1498.99</v>
      </c>
      <c r="H621" s="104">
        <f>SUM(J458)</f>
        <v>1498.99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34447061.07</v>
      </c>
      <c r="H622" s="104">
        <f>SUM(F462)</f>
        <v>34447061.07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1750222.4900000002</v>
      </c>
      <c r="H623" s="104">
        <f>SUM(H462)</f>
        <v>1750222.49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581597.38</v>
      </c>
      <c r="H624" s="104">
        <f>I361</f>
        <v>581597.38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1124317.06</v>
      </c>
      <c r="H625" s="104">
        <f>SUM(G462)</f>
        <v>1124317.06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216754.8</v>
      </c>
      <c r="H626" s="104">
        <f>SUM(I462)</f>
        <v>216754.8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1498.99</v>
      </c>
      <c r="H627" s="164">
        <f>SUM(J458)</f>
        <v>1498.99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633898.67000000004</v>
      </c>
      <c r="H630" s="104">
        <f>SUM(G451)</f>
        <v>633898.67000000004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633898.67000000004</v>
      </c>
      <c r="H632" s="104">
        <f>SUM(I451)</f>
        <v>633898.67000000004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1498.99</v>
      </c>
      <c r="H634" s="104">
        <f>H400</f>
        <v>1498.99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1498.99</v>
      </c>
      <c r="H636" s="104">
        <f>L400</f>
        <v>1498.99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1944883.91</v>
      </c>
      <c r="H637" s="104">
        <f>L200+L218+L236</f>
        <v>1944883.9100000001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524355.13</v>
      </c>
      <c r="H638" s="104">
        <f>(J249+J330)-(J247+J328)</f>
        <v>524355.13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812753.06</v>
      </c>
      <c r="H639" s="104">
        <f>H588</f>
        <v>812753.06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460893.42000000004</v>
      </c>
      <c r="H640" s="104">
        <f>I588</f>
        <v>460893.42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671237.43</v>
      </c>
      <c r="H641" s="104">
        <f>J588</f>
        <v>671237.42999999993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15452</v>
      </c>
      <c r="H642" s="104">
        <f>K255+K337</f>
        <v>15452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14822011.609999999</v>
      </c>
      <c r="G650" s="19">
        <f>(L221+L301+L351)</f>
        <v>7946270.7200000007</v>
      </c>
      <c r="H650" s="19">
        <f>(L239+L320+L352)</f>
        <v>11068786.639999999</v>
      </c>
      <c r="I650" s="19">
        <f>SUM(F650:H650)</f>
        <v>33837068.969999999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266578.85049557959</v>
      </c>
      <c r="G651" s="19">
        <f>(L351/IF(SUM(L350:L352)=0,1,SUM(L350:L352))*(SUM(G89:G102)))</f>
        <v>152193.09127856229</v>
      </c>
      <c r="H651" s="19">
        <f>(L352/IF(SUM(L350:L352)=0,1,SUM(L350:L352))*(SUM(G89:G102)))</f>
        <v>278940.42822585802</v>
      </c>
      <c r="I651" s="19">
        <f>SUM(F651:H651)</f>
        <v>697712.36999999988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756273.12</v>
      </c>
      <c r="G652" s="19">
        <f>(L218+L298)-(J218+J298)</f>
        <v>428177.35000000003</v>
      </c>
      <c r="H652" s="19">
        <f>(L236+L317)-(J236+J317)</f>
        <v>626015.84</v>
      </c>
      <c r="I652" s="19">
        <f>SUM(F652:H652)</f>
        <v>1810466.31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573422.51</v>
      </c>
      <c r="G653" s="200">
        <f>SUM(G565:G577)+SUM(I592:I594)+L602</f>
        <v>276716.40000000002</v>
      </c>
      <c r="H653" s="200">
        <f>SUM(H565:H577)+SUM(J592:J594)+L603</f>
        <v>824601.32999999984</v>
      </c>
      <c r="I653" s="19">
        <f>SUM(F653:H653)</f>
        <v>1674740.2399999998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13225737.12950442</v>
      </c>
      <c r="G654" s="19">
        <f>G650-SUM(G651:G653)</f>
        <v>7089183.8787214383</v>
      </c>
      <c r="H654" s="19">
        <f>H650-SUM(H651:H653)</f>
        <v>9339229.0417741407</v>
      </c>
      <c r="I654" s="19">
        <f>I650-SUM(I651:I653)</f>
        <v>29654150.050000001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15.33+98.81+972.28</f>
        <v>1086.42</v>
      </c>
      <c r="G655" s="249">
        <v>629.30999999999995</v>
      </c>
      <c r="H655" s="249">
        <v>869.86</v>
      </c>
      <c r="I655" s="19">
        <f>SUM(F655:H655)</f>
        <v>2585.59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12173.69</v>
      </c>
      <c r="G657" s="19">
        <f>ROUND(G654/G655,2)</f>
        <v>11265.01</v>
      </c>
      <c r="H657" s="19">
        <f>ROUND(H654/H655,2)</f>
        <v>10736.47</v>
      </c>
      <c r="I657" s="19">
        <f>ROUND(I654/I655,2)</f>
        <v>11469.01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-39.79</v>
      </c>
      <c r="I660" s="19">
        <f>SUM(F660:H660)</f>
        <v>-39.79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12173.69</v>
      </c>
      <c r="G662" s="19">
        <f>ROUND((G654+G659)/(G655+G660),2)</f>
        <v>11265.01</v>
      </c>
      <c r="H662" s="19">
        <f>ROUND((H654+H659)/(H655+H660),2)</f>
        <v>11251.13</v>
      </c>
      <c r="I662" s="19">
        <f>ROUND((I654+I659)/(I655+I660),2)</f>
        <v>11648.26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D4F0-270B-4893-B88C-FE11A80E2DD8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MERRIMACK VALLEY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8540579.4100000001</v>
      </c>
      <c r="C9" s="230">
        <f>'DOE25'!G189+'DOE25'!G207+'DOE25'!G225+'DOE25'!G268+'DOE25'!G287+'DOE25'!G306</f>
        <v>3216751.5800000005</v>
      </c>
    </row>
    <row r="10" spans="1:3" x14ac:dyDescent="0.2">
      <c r="A10" t="s">
        <v>810</v>
      </c>
      <c r="B10" s="241">
        <f>7987498.42+0.1</f>
        <v>7987498.5199999996</v>
      </c>
      <c r="C10" s="241">
        <f>3059572.83-0.01</f>
        <v>3059572.8200000003</v>
      </c>
    </row>
    <row r="11" spans="1:3" x14ac:dyDescent="0.2">
      <c r="A11" t="s">
        <v>811</v>
      </c>
      <c r="B11" s="241">
        <v>222406.52</v>
      </c>
      <c r="C11" s="241">
        <v>127821.88</v>
      </c>
    </row>
    <row r="12" spans="1:3" x14ac:dyDescent="0.2">
      <c r="A12" t="s">
        <v>812</v>
      </c>
      <c r="B12" s="241">
        <v>330674.37</v>
      </c>
      <c r="C12" s="241">
        <v>29356.880000000001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8540579.4099999983</v>
      </c>
      <c r="C13" s="232">
        <f>SUM(C10:C12)</f>
        <v>3216751.58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3630702.62</v>
      </c>
      <c r="C18" s="230">
        <f>'DOE25'!G190+'DOE25'!G208+'DOE25'!G226+'DOE25'!G269+'DOE25'!G288+'DOE25'!G307</f>
        <v>1490129.31</v>
      </c>
    </row>
    <row r="19" spans="1:3" x14ac:dyDescent="0.2">
      <c r="A19" t="s">
        <v>810</v>
      </c>
      <c r="B19" s="241">
        <v>1902089.72</v>
      </c>
      <c r="C19" s="241">
        <f>714395.38-0.02</f>
        <v>714395.36</v>
      </c>
    </row>
    <row r="20" spans="1:3" x14ac:dyDescent="0.2">
      <c r="A20" t="s">
        <v>811</v>
      </c>
      <c r="B20" s="241">
        <v>1651553.65</v>
      </c>
      <c r="C20" s="241">
        <v>769055.24</v>
      </c>
    </row>
    <row r="21" spans="1:3" x14ac:dyDescent="0.2">
      <c r="A21" t="s">
        <v>812</v>
      </c>
      <c r="B21" s="241">
        <v>77059.25</v>
      </c>
      <c r="C21" s="241">
        <v>6678.71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3630702.62</v>
      </c>
      <c r="C22" s="232">
        <f>SUM(C19:C21)</f>
        <v>1490129.31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362765.65</v>
      </c>
      <c r="C36" s="236">
        <f>'DOE25'!G192+'DOE25'!G210+'DOE25'!G228+'DOE25'!G271+'DOE25'!G290+'DOE25'!G309</f>
        <v>60291.679999999993</v>
      </c>
    </row>
    <row r="37" spans="1:3" x14ac:dyDescent="0.2">
      <c r="A37" t="s">
        <v>810</v>
      </c>
      <c r="B37" s="241">
        <v>355996.04</v>
      </c>
      <c r="C37" s="241">
        <v>59365.74</v>
      </c>
    </row>
    <row r="38" spans="1:3" x14ac:dyDescent="0.2">
      <c r="A38" t="s">
        <v>811</v>
      </c>
      <c r="B38" s="241">
        <v>6769.61</v>
      </c>
      <c r="C38" s="241">
        <v>925.94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362765.64999999997</v>
      </c>
      <c r="C40" s="232">
        <f>SUM(C37:C39)</f>
        <v>60291.68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581B-62AA-4BEC-8C5A-5C36B5D636AC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MERRIMACK VALLEY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18347564.009999998</v>
      </c>
      <c r="D5" s="20">
        <f>SUM('DOE25'!L189:L192)+SUM('DOE25'!L207:L210)+SUM('DOE25'!L225:L228)-F5-G5</f>
        <v>18308286.18</v>
      </c>
      <c r="E5" s="244"/>
      <c r="F5" s="256">
        <f>SUM('DOE25'!J189:J192)+SUM('DOE25'!J207:J210)+SUM('DOE25'!J225:J228)</f>
        <v>35297.399999999994</v>
      </c>
      <c r="G5" s="53">
        <f>SUM('DOE25'!K189:K192)+SUM('DOE25'!K207:K210)+SUM('DOE25'!K225:K228)</f>
        <v>3980.4300000000003</v>
      </c>
      <c r="H5" s="260"/>
    </row>
    <row r="6" spans="1:9" x14ac:dyDescent="0.2">
      <c r="A6" s="32">
        <v>2100</v>
      </c>
      <c r="B6" t="s">
        <v>832</v>
      </c>
      <c r="C6" s="246">
        <f t="shared" si="0"/>
        <v>3561954.7199999997</v>
      </c>
      <c r="D6" s="20">
        <f>'DOE25'!L194+'DOE25'!L212+'DOE25'!L230-F6-G6</f>
        <v>3558983.9699999997</v>
      </c>
      <c r="E6" s="244"/>
      <c r="F6" s="256">
        <f>'DOE25'!J194+'DOE25'!J212+'DOE25'!J230</f>
        <v>1196.75</v>
      </c>
      <c r="G6" s="53">
        <f>'DOE25'!K194+'DOE25'!K212+'DOE25'!K230</f>
        <v>1774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1073309.4300000002</v>
      </c>
      <c r="D7" s="20">
        <f>'DOE25'!L195+'DOE25'!L213+'DOE25'!L231-F7-G7</f>
        <v>991214.41000000015</v>
      </c>
      <c r="E7" s="244"/>
      <c r="F7" s="256">
        <f>'DOE25'!J195+'DOE25'!J213+'DOE25'!J231</f>
        <v>82067.51999999999</v>
      </c>
      <c r="G7" s="53">
        <f>'DOE25'!K195+'DOE25'!K213+'DOE25'!K231</f>
        <v>27.5</v>
      </c>
      <c r="H7" s="260"/>
    </row>
    <row r="8" spans="1:9" x14ac:dyDescent="0.2">
      <c r="A8" s="32">
        <v>2300</v>
      </c>
      <c r="B8" t="s">
        <v>833</v>
      </c>
      <c r="C8" s="246">
        <f t="shared" si="0"/>
        <v>475350.86000000004</v>
      </c>
      <c r="D8" s="244"/>
      <c r="E8" s="20">
        <f>'DOE25'!L196+'DOE25'!L214+'DOE25'!L232-F8-G8-D9-D11</f>
        <v>469769.16000000003</v>
      </c>
      <c r="F8" s="256">
        <f>'DOE25'!J196+'DOE25'!J214+'DOE25'!J232</f>
        <v>0</v>
      </c>
      <c r="G8" s="53">
        <f>'DOE25'!K196+'DOE25'!K214+'DOE25'!K232</f>
        <v>5581.7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111684.6</v>
      </c>
      <c r="D9" s="245">
        <v>111684.6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24250</v>
      </c>
      <c r="D10" s="244"/>
      <c r="E10" s="245">
        <v>24250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255819.21</v>
      </c>
      <c r="D11" s="245">
        <v>255819.21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1714518.85</v>
      </c>
      <c r="D12" s="20">
        <f>'DOE25'!L197+'DOE25'!L215+'DOE25'!L233-F12-G12</f>
        <v>1629097.98</v>
      </c>
      <c r="E12" s="244"/>
      <c r="F12" s="256">
        <f>'DOE25'!J197+'DOE25'!J215+'DOE25'!J233</f>
        <v>49936.590000000004</v>
      </c>
      <c r="G12" s="53">
        <f>'DOE25'!K197+'DOE25'!K215+'DOE25'!K233</f>
        <v>35484.28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2576</v>
      </c>
      <c r="D13" s="244"/>
      <c r="E13" s="20">
        <f>'DOE25'!L198+'DOE25'!L216+'DOE25'!L234-F13-G13</f>
        <v>2576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3506221.14</v>
      </c>
      <c r="D14" s="20">
        <f>'DOE25'!L199+'DOE25'!L217+'DOE25'!L235-F14-G14</f>
        <v>3471706.25</v>
      </c>
      <c r="E14" s="244"/>
      <c r="F14" s="256">
        <f>'DOE25'!J199+'DOE25'!J217+'DOE25'!J235</f>
        <v>34514.89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1944883.9100000001</v>
      </c>
      <c r="D15" s="20">
        <f>'DOE25'!L200+'DOE25'!L218+'DOE25'!L236-F15-G15</f>
        <v>1808651.31</v>
      </c>
      <c r="E15" s="244"/>
      <c r="F15" s="256">
        <f>'DOE25'!J200+'DOE25'!J218+'DOE25'!J236</f>
        <v>135617.60000000001</v>
      </c>
      <c r="G15" s="53">
        <f>'DOE25'!K200+'DOE25'!K218+'DOE25'!K236</f>
        <v>615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149563.01999999999</v>
      </c>
      <c r="D22" s="244"/>
      <c r="E22" s="244"/>
      <c r="F22" s="256">
        <f>'DOE25'!L247+'DOE25'!L328</f>
        <v>149563.01999999999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3292531.25</v>
      </c>
      <c r="D25" s="244"/>
      <c r="E25" s="244"/>
      <c r="F25" s="259"/>
      <c r="G25" s="257"/>
      <c r="H25" s="258">
        <f>'DOE25'!L252+'DOE25'!L253+'DOE25'!L333+'DOE25'!L334</f>
        <v>3292531.25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582575.30000000005</v>
      </c>
      <c r="D29" s="20">
        <f>'DOE25'!L350+'DOE25'!L351+'DOE25'!L352-'DOE25'!I359-F29-G29</f>
        <v>581744.38</v>
      </c>
      <c r="E29" s="244"/>
      <c r="F29" s="256">
        <f>'DOE25'!J350+'DOE25'!J351+'DOE25'!J352</f>
        <v>830.92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1745854.5600000003</v>
      </c>
      <c r="D31" s="20">
        <f>'DOE25'!L282+'DOE25'!L301+'DOE25'!L320+'DOE25'!L325+'DOE25'!L326+'DOE25'!L327-F31-G31</f>
        <v>1544803.6700000002</v>
      </c>
      <c r="E31" s="244"/>
      <c r="F31" s="256">
        <f>'DOE25'!J282+'DOE25'!J301+'DOE25'!J320+'DOE25'!J325+'DOE25'!J326+'DOE25'!J327</f>
        <v>185724.38</v>
      </c>
      <c r="G31" s="53">
        <f>'DOE25'!K282+'DOE25'!K301+'DOE25'!K320+'DOE25'!K325+'DOE25'!K326+'DOE25'!K327</f>
        <v>15326.51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32261991.960000001</v>
      </c>
      <c r="E33" s="247">
        <f>SUM(E5:E31)</f>
        <v>496595.16000000003</v>
      </c>
      <c r="F33" s="247">
        <f>SUM(F5:F31)</f>
        <v>674749.07000000007</v>
      </c>
      <c r="G33" s="247">
        <f>SUM(G5:G31)</f>
        <v>62789.420000000006</v>
      </c>
      <c r="H33" s="247">
        <f>SUM(H5:H31)</f>
        <v>3292531.25</v>
      </c>
    </row>
    <row r="35" spans="2:8" ht="12" thickBot="1" x14ac:dyDescent="0.25">
      <c r="B35" s="254" t="s">
        <v>878</v>
      </c>
      <c r="D35" s="255">
        <f>E33</f>
        <v>496595.16000000003</v>
      </c>
      <c r="E35" s="250"/>
    </row>
    <row r="36" spans="2:8" ht="12" thickTop="1" x14ac:dyDescent="0.2">
      <c r="B36" t="s">
        <v>846</v>
      </c>
      <c r="D36" s="20">
        <f>D33</f>
        <v>32261991.960000001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F2F3-DB81-4E71-9FBF-A44469794BE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MERRIMACK VALLEY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1913146.22</v>
      </c>
      <c r="D9" s="95">
        <f>'DOE25'!G9</f>
        <v>425.77</v>
      </c>
      <c r="E9" s="95">
        <f>'DOE25'!H9</f>
        <v>0</v>
      </c>
      <c r="F9" s="95">
        <f>'DOE25'!I9</f>
        <v>271995.09000000003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734396.78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126242.77</v>
      </c>
      <c r="D12" s="95">
        <f>'DOE25'!G12</f>
        <v>0</v>
      </c>
      <c r="E12" s="95">
        <f>'DOE25'!H12</f>
        <v>0</v>
      </c>
      <c r="F12" s="95">
        <f>'DOE25'!I12</f>
        <v>2669.02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131602.75</v>
      </c>
      <c r="D13" s="95">
        <f>'DOE25'!G13</f>
        <v>77616.989999999991</v>
      </c>
      <c r="E13" s="95">
        <f>'DOE25'!H13</f>
        <v>457011.44</v>
      </c>
      <c r="F13" s="95">
        <f>'DOE25'!I13</f>
        <v>0</v>
      </c>
      <c r="G13" s="95">
        <f>'DOE25'!J13</f>
        <v>633898.67000000004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2122.08</v>
      </c>
      <c r="D14" s="95">
        <f>'DOE25'!G14</f>
        <v>1174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11566.9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2907510.6</v>
      </c>
      <c r="D19" s="41">
        <f>SUM(D9:D18)</f>
        <v>90783.659999999989</v>
      </c>
      <c r="E19" s="41">
        <f>SUM(E9:E18)</f>
        <v>457011.44</v>
      </c>
      <c r="F19" s="41">
        <f>SUM(F9:F18)</f>
        <v>274664.11000000004</v>
      </c>
      <c r="G19" s="41">
        <f>SUM(G9:G18)</f>
        <v>633898.67000000004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21581.670000000002</v>
      </c>
      <c r="E22" s="95">
        <f>'DOE25'!H23</f>
        <v>107330.12000000001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152932.82999999999</v>
      </c>
      <c r="D24" s="95">
        <f>'DOE25'!G25</f>
        <v>149.30000000000001</v>
      </c>
      <c r="E24" s="95">
        <f>'DOE25'!H25</f>
        <v>38721.599999999999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1794949.36</v>
      </c>
      <c r="D28" s="95">
        <f>'DOE25'!G29</f>
        <v>47134.17</v>
      </c>
      <c r="E28" s="95">
        <f>'DOE25'!H29</f>
        <v>77444.41</v>
      </c>
      <c r="F28" s="95">
        <f>'DOE25'!I29</f>
        <v>205791.66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19744.79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10351.57</v>
      </c>
      <c r="E30" s="95">
        <f>'DOE25'!H31</f>
        <v>216289.28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1967626.9800000002</v>
      </c>
      <c r="D32" s="41">
        <f>SUM(D22:D31)</f>
        <v>79216.709999999992</v>
      </c>
      <c r="E32" s="41">
        <f>SUM(E22:E31)</f>
        <v>439785.41000000003</v>
      </c>
      <c r="F32" s="41">
        <f>SUM(F22:F31)</f>
        <v>205791.66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11566.9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27400</v>
      </c>
      <c r="D40" s="95">
        <f>'DOE25'!G41</f>
        <v>5.0000000046566129E-2</v>
      </c>
      <c r="E40" s="95">
        <f>'DOE25'!H41</f>
        <v>17226.029999999795</v>
      </c>
      <c r="F40" s="95">
        <f>'DOE25'!I41</f>
        <v>68872.450000000012</v>
      </c>
      <c r="G40" s="95">
        <f>'DOE25'!J41</f>
        <v>633898.67000000004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912483.61999999732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939883.61999999732</v>
      </c>
      <c r="D42" s="41">
        <f>SUM(D34:D41)</f>
        <v>11566.950000000046</v>
      </c>
      <c r="E42" s="41">
        <f>SUM(E34:E41)</f>
        <v>17226.029999999795</v>
      </c>
      <c r="F42" s="41">
        <f>SUM(F34:F41)</f>
        <v>68872.450000000012</v>
      </c>
      <c r="G42" s="41">
        <f>SUM(G34:G41)</f>
        <v>633898.67000000004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2907510.5999999978</v>
      </c>
      <c r="D43" s="41">
        <f>D42+D32</f>
        <v>90783.660000000033</v>
      </c>
      <c r="E43" s="41">
        <f>E42+E32</f>
        <v>457011.43999999983</v>
      </c>
      <c r="F43" s="41">
        <f>F42+F32</f>
        <v>274664.11</v>
      </c>
      <c r="G43" s="41">
        <f>G42+G32</f>
        <v>633898.67000000004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16548821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1205226.6299999999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6348.45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985.26</v>
      </c>
      <c r="D51" s="95">
        <f>'DOE25'!G88</f>
        <v>112.46</v>
      </c>
      <c r="E51" s="95">
        <f>'DOE25'!H88</f>
        <v>0</v>
      </c>
      <c r="F51" s="95">
        <f>'DOE25'!I88</f>
        <v>150.76</v>
      </c>
      <c r="G51" s="95">
        <f>'DOE25'!J88</f>
        <v>1498.99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671341.32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74223.95</v>
      </c>
      <c r="D53" s="95">
        <f>SUM('DOE25'!G90:G102)</f>
        <v>26371.05</v>
      </c>
      <c r="E53" s="95">
        <f>SUM('DOE25'!H90:H102)</f>
        <v>43041.55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1286784.2899999998</v>
      </c>
      <c r="D54" s="130">
        <f>SUM(D49:D53)</f>
        <v>697824.83</v>
      </c>
      <c r="E54" s="130">
        <f>SUM(E49:E53)</f>
        <v>43041.55</v>
      </c>
      <c r="F54" s="130">
        <f>SUM(F49:F53)</f>
        <v>150.76</v>
      </c>
      <c r="G54" s="130">
        <f>SUM(G49:G53)</f>
        <v>1498.99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17835605.289999999</v>
      </c>
      <c r="D55" s="22">
        <f>D48+D54</f>
        <v>697824.83</v>
      </c>
      <c r="E55" s="22">
        <f>E48+E54</f>
        <v>43041.55</v>
      </c>
      <c r="F55" s="22">
        <f>F48+F54</f>
        <v>150.76</v>
      </c>
      <c r="G55" s="22">
        <f>G48+G54</f>
        <v>1498.99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9383312.8900000006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3383707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340330.11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13107350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2012548.54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194859.03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14745.64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12570.16</v>
      </c>
      <c r="E69" s="95">
        <f>SUM('DOE25'!H123:H127)</f>
        <v>113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2222153.21</v>
      </c>
      <c r="D70" s="130">
        <f>SUM(D64:D69)</f>
        <v>12570.16</v>
      </c>
      <c r="E70" s="130">
        <f>SUM(E64:E69)</f>
        <v>113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15329503.210000001</v>
      </c>
      <c r="D73" s="130">
        <f>SUM(D71:D72)+D70+D62</f>
        <v>12570.16</v>
      </c>
      <c r="E73" s="130">
        <f>SUM(E71:E72)+E70+E62</f>
        <v>113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331242.15999999997</v>
      </c>
      <c r="D80" s="95">
        <f>SUM('DOE25'!G145:G153)</f>
        <v>355068.4</v>
      </c>
      <c r="E80" s="95">
        <f>SUM('DOE25'!H145:H153)</f>
        <v>1707061.84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36786.03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331242.15999999997</v>
      </c>
      <c r="D83" s="131">
        <f>SUM(D77:D82)</f>
        <v>391854.43000000005</v>
      </c>
      <c r="E83" s="131">
        <f>SUM(E77:E82)</f>
        <v>1707061.84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15452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15452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33496350.66</v>
      </c>
      <c r="D96" s="86">
        <f>D55+D73+D83+D95</f>
        <v>1117701.42</v>
      </c>
      <c r="E96" s="86">
        <f>E55+E73+E83+E95</f>
        <v>1750216.3900000001</v>
      </c>
      <c r="F96" s="86">
        <f>F55+F73+F83+F95</f>
        <v>150.76</v>
      </c>
      <c r="G96" s="86">
        <f>G55+G73+G95</f>
        <v>1498.99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12224459.17</v>
      </c>
      <c r="D101" s="24" t="s">
        <v>312</v>
      </c>
      <c r="E101" s="95">
        <f>('DOE25'!L268)+('DOE25'!L287)+('DOE25'!L306)</f>
        <v>157918.51999999999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5466315.0899999999</v>
      </c>
      <c r="D102" s="24" t="s">
        <v>312</v>
      </c>
      <c r="E102" s="95">
        <f>('DOE25'!L269)+('DOE25'!L288)+('DOE25'!L307)</f>
        <v>917144.54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166123.1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490666.65</v>
      </c>
      <c r="D104" s="24" t="s">
        <v>312</v>
      </c>
      <c r="E104" s="95">
        <f>+('DOE25'!L271)+('DOE25'!L290)+('DOE25'!L309)</f>
        <v>50251.1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26985.379999999997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18347564.009999998</v>
      </c>
      <c r="D107" s="86">
        <f>SUM(D101:D106)</f>
        <v>0</v>
      </c>
      <c r="E107" s="86">
        <f>SUM(E101:E106)</f>
        <v>1152299.54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3561954.7199999997</v>
      </c>
      <c r="D110" s="24" t="s">
        <v>312</v>
      </c>
      <c r="E110" s="95">
        <f>+('DOE25'!L273)+('DOE25'!L292)+('DOE25'!L311)</f>
        <v>396139.56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1073309.4300000002</v>
      </c>
      <c r="D111" s="24" t="s">
        <v>312</v>
      </c>
      <c r="E111" s="95">
        <f>+('DOE25'!L274)+('DOE25'!L293)+('DOE25'!L312)</f>
        <v>179818.82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842854.66999999993</v>
      </c>
      <c r="D112" s="24" t="s">
        <v>312</v>
      </c>
      <c r="E112" s="95">
        <f>+('DOE25'!L275)+('DOE25'!L294)+('DOE25'!L313)</f>
        <v>1070.1299999999999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1714518.85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2576</v>
      </c>
      <c r="D114" s="24" t="s">
        <v>312</v>
      </c>
      <c r="E114" s="95">
        <f>+('DOE25'!L277)+('DOE25'!L296)+('DOE25'!L315)</f>
        <v>15326.51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3506221.14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1944883.9100000001</v>
      </c>
      <c r="D116" s="24" t="s">
        <v>312</v>
      </c>
      <c r="E116" s="95">
        <f>+('DOE25'!L279)+('DOE25'!L298)+('DOE25'!L317)</f>
        <v>1200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1124317.06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12646318.720000001</v>
      </c>
      <c r="D120" s="86">
        <f>SUM(D110:D119)</f>
        <v>1124317.06</v>
      </c>
      <c r="E120" s="86">
        <f>SUM(E110:E119)</f>
        <v>593555.02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145195.09</v>
      </c>
      <c r="D122" s="24" t="s">
        <v>312</v>
      </c>
      <c r="E122" s="129">
        <f>'DOE25'!L328</f>
        <v>4367.93</v>
      </c>
      <c r="F122" s="129">
        <f>SUM('DOE25'!L366:'DOE25'!L372)</f>
        <v>216754.8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2975000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317531.25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15452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1498.99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-1498.99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3453178.34</v>
      </c>
      <c r="D136" s="141">
        <f>SUM(D122:D135)</f>
        <v>0</v>
      </c>
      <c r="E136" s="141">
        <f>SUM(E122:E135)</f>
        <v>4367.93</v>
      </c>
      <c r="F136" s="141">
        <f>SUM(F122:F135)</f>
        <v>216754.8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34447061.069999993</v>
      </c>
      <c r="D137" s="86">
        <f>(D107+D120+D136)</f>
        <v>1124317.06</v>
      </c>
      <c r="E137" s="86">
        <f>(E107+E120+E136)</f>
        <v>1750222.49</v>
      </c>
      <c r="F137" s="86">
        <f>(F107+F120+F136)</f>
        <v>216754.8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 t="str">
        <f>'DOE25'!G481</f>
        <v>06/05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 t="str">
        <f>'DOE25'!G482</f>
        <v>10/14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19836029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3.25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9910000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9910000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1985000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1985000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7925000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7925000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533192.5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533192.5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8458192.5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8458192.5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1985000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1985000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229757.5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229757.5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2214757.5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2214757.5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FCF7-4529-48E9-95A3-C6F8C01E443D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MERRIMACK VALLEY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12174</v>
      </c>
    </row>
    <row r="5" spans="1:4" x14ac:dyDescent="0.2">
      <c r="B5" t="s">
        <v>735</v>
      </c>
      <c r="C5" s="179">
        <f>IF('DOE25'!G655+'DOE25'!G660=0,0,ROUND('DOE25'!G662,0))</f>
        <v>11265</v>
      </c>
    </row>
    <row r="6" spans="1:4" x14ac:dyDescent="0.2">
      <c r="B6" t="s">
        <v>62</v>
      </c>
      <c r="C6" s="179">
        <f>IF('DOE25'!H655+'DOE25'!H660=0,0,ROUND('DOE25'!H662,0))</f>
        <v>11251</v>
      </c>
    </row>
    <row r="7" spans="1:4" x14ac:dyDescent="0.2">
      <c r="B7" t="s">
        <v>736</v>
      </c>
      <c r="C7" s="179">
        <f>IF('DOE25'!I655+'DOE25'!I660=0,0,ROUND('DOE25'!I662,0))</f>
        <v>11648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12382378</v>
      </c>
      <c r="D10" s="182">
        <f>ROUND((C10/$C$28)*100,1)</f>
        <v>37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6383460</v>
      </c>
      <c r="D11" s="182">
        <f>ROUND((C11/$C$28)*100,1)</f>
        <v>19.100000000000001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166123</v>
      </c>
      <c r="D12" s="182">
        <f>ROUND((C12/$C$28)*100,1)</f>
        <v>0.5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540918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3958094</v>
      </c>
      <c r="D15" s="182">
        <f t="shared" ref="D15:D27" si="0">ROUND((C15/$C$28)*100,1)</f>
        <v>11.8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1253128</v>
      </c>
      <c r="D16" s="182">
        <f t="shared" si="0"/>
        <v>3.7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843925</v>
      </c>
      <c r="D17" s="182">
        <f t="shared" si="0"/>
        <v>2.5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1714519</v>
      </c>
      <c r="D18" s="182">
        <f t="shared" si="0"/>
        <v>5.0999999999999996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17903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3506221</v>
      </c>
      <c r="D20" s="182">
        <f t="shared" si="0"/>
        <v>10.5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1946084</v>
      </c>
      <c r="D21" s="182">
        <f t="shared" si="0"/>
        <v>5.8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26985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317531</v>
      </c>
      <c r="D25" s="182">
        <f t="shared" si="0"/>
        <v>0.9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426604.63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33483873.629999999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366318</v>
      </c>
    </row>
    <row r="30" spans="1:4" x14ac:dyDescent="0.2">
      <c r="B30" s="187" t="s">
        <v>760</v>
      </c>
      <c r="C30" s="180">
        <f>SUM(C28:C29)</f>
        <v>33850191.629999995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2975000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16548821</v>
      </c>
      <c r="D35" s="182">
        <f t="shared" ref="D35:D40" si="1">ROUND((C35/$C$41)*100,1)</f>
        <v>46.4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1331588.049999997</v>
      </c>
      <c r="D36" s="182">
        <f t="shared" si="1"/>
        <v>3.7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13107350</v>
      </c>
      <c r="D37" s="182">
        <f t="shared" si="1"/>
        <v>36.799999999999997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2234836</v>
      </c>
      <c r="D38" s="182">
        <f t="shared" si="1"/>
        <v>6.3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2430158</v>
      </c>
      <c r="D39" s="182">
        <f t="shared" si="1"/>
        <v>6.8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35652753.049999997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41D2-91D4-4906-BE1A-01D9B1700BD8}">
  <sheetPr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MERRIMACK VALLEY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</v>
      </c>
      <c r="B4" s="220">
        <v>3</v>
      </c>
      <c r="C4" s="280" t="s">
        <v>895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19</v>
      </c>
      <c r="C5" s="280" t="s">
        <v>896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2011-10-19T17:55:42Z</cp:lastPrinted>
  <dcterms:created xsi:type="dcterms:W3CDTF">1997-12-04T19:04:30Z</dcterms:created>
  <dcterms:modified xsi:type="dcterms:W3CDTF">2025-01-10T20:05:35Z</dcterms:modified>
</cp:coreProperties>
</file>