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A59267D-DD48-4BB2-A09B-95740532ABE2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983A49C0-F83F-491E-AE56-761C965DCC8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2" l="1"/>
  <c r="B11" i="12"/>
  <c r="B19" i="12"/>
  <c r="B10" i="12"/>
  <c r="J581" i="1"/>
  <c r="I581" i="1"/>
  <c r="I236" i="1"/>
  <c r="H236" i="1"/>
  <c r="I218" i="1"/>
  <c r="H218" i="1"/>
  <c r="I200" i="1"/>
  <c r="H200" i="1"/>
  <c r="K232" i="1"/>
  <c r="I232" i="1"/>
  <c r="H232" i="1"/>
  <c r="G232" i="1"/>
  <c r="F232" i="1"/>
  <c r="K214" i="1"/>
  <c r="I214" i="1"/>
  <c r="H214" i="1"/>
  <c r="G214" i="1"/>
  <c r="F214" i="1"/>
  <c r="K196" i="1"/>
  <c r="I196" i="1"/>
  <c r="H196" i="1"/>
  <c r="G196" i="1"/>
  <c r="F196" i="1"/>
  <c r="H521" i="1"/>
  <c r="H581" i="1"/>
  <c r="F601" i="1"/>
  <c r="H518" i="1"/>
  <c r="H513" i="1"/>
  <c r="F513" i="1"/>
  <c r="G513" i="1"/>
  <c r="H517" i="1"/>
  <c r="H512" i="1"/>
  <c r="G512" i="1"/>
  <c r="F512" i="1"/>
  <c r="G511" i="1"/>
  <c r="F511" i="1"/>
  <c r="H516" i="1"/>
  <c r="H511" i="1"/>
  <c r="I511" i="1"/>
  <c r="F489" i="1"/>
  <c r="F488" i="1"/>
  <c r="G434" i="1"/>
  <c r="F434" i="1"/>
  <c r="J458" i="1"/>
  <c r="K277" i="1"/>
  <c r="G269" i="1"/>
  <c r="F269" i="1"/>
  <c r="H274" i="1"/>
  <c r="I268" i="1"/>
  <c r="G268" i="1"/>
  <c r="F268" i="1"/>
  <c r="J268" i="1"/>
  <c r="H230" i="1"/>
  <c r="H228" i="1"/>
  <c r="H226" i="1"/>
  <c r="H212" i="1"/>
  <c r="H199" i="1"/>
  <c r="H197" i="1"/>
  <c r="F195" i="1"/>
  <c r="I195" i="1"/>
  <c r="H195" i="1"/>
  <c r="G195" i="1"/>
  <c r="H194" i="1"/>
  <c r="J194" i="1"/>
  <c r="I194" i="1"/>
  <c r="G194" i="1"/>
  <c r="F194" i="1"/>
  <c r="H245" i="1"/>
  <c r="F192" i="1"/>
  <c r="I190" i="1"/>
  <c r="H190" i="1"/>
  <c r="G190" i="1"/>
  <c r="F190" i="1"/>
  <c r="G189" i="1"/>
  <c r="F189" i="1"/>
  <c r="H189" i="1"/>
  <c r="G89" i="1"/>
  <c r="F157" i="1"/>
  <c r="G23" i="1"/>
  <c r="F42" i="1"/>
  <c r="C37" i="10"/>
  <c r="C60" i="2"/>
  <c r="B2" i="13"/>
  <c r="F8" i="13"/>
  <c r="G8" i="13"/>
  <c r="L196" i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7" i="10" s="1"/>
  <c r="L219" i="1"/>
  <c r="L237" i="1"/>
  <c r="F5" i="13"/>
  <c r="F33" i="13" s="1"/>
  <c r="G5" i="13"/>
  <c r="L189" i="1"/>
  <c r="L190" i="1"/>
  <c r="L191" i="1"/>
  <c r="C103" i="2" s="1"/>
  <c r="L192" i="1"/>
  <c r="C104" i="2" s="1"/>
  <c r="L207" i="1"/>
  <c r="L208" i="1"/>
  <c r="L209" i="1"/>
  <c r="L221" i="1" s="1"/>
  <c r="L210" i="1"/>
  <c r="L225" i="1"/>
  <c r="C101" i="2" s="1"/>
  <c r="L226" i="1"/>
  <c r="L239" i="1" s="1"/>
  <c r="L227" i="1"/>
  <c r="L228" i="1"/>
  <c r="C13" i="10" s="1"/>
  <c r="F6" i="13"/>
  <c r="G6" i="13"/>
  <c r="L194" i="1"/>
  <c r="D6" i="13" s="1"/>
  <c r="C6" i="13" s="1"/>
  <c r="L212" i="1"/>
  <c r="L230" i="1"/>
  <c r="F7" i="13"/>
  <c r="G7" i="13"/>
  <c r="L195" i="1"/>
  <c r="C111" i="2" s="1"/>
  <c r="L213" i="1"/>
  <c r="C16" i="10" s="1"/>
  <c r="L231" i="1"/>
  <c r="F12" i="13"/>
  <c r="L197" i="1"/>
  <c r="D12" i="13" s="1"/>
  <c r="C12" i="13" s="1"/>
  <c r="L233" i="1"/>
  <c r="F14" i="13"/>
  <c r="G14" i="13"/>
  <c r="L199" i="1"/>
  <c r="C20" i="10" s="1"/>
  <c r="L217" i="1"/>
  <c r="L235" i="1"/>
  <c r="F15" i="13"/>
  <c r="G15" i="13"/>
  <c r="L200" i="1"/>
  <c r="C21" i="10" s="1"/>
  <c r="F652" i="1"/>
  <c r="L218" i="1"/>
  <c r="D15" i="13" s="1"/>
  <c r="C15" i="13" s="1"/>
  <c r="L236" i="1"/>
  <c r="G641" i="1" s="1"/>
  <c r="J641" i="1" s="1"/>
  <c r="F17" i="13"/>
  <c r="G17" i="13"/>
  <c r="L243" i="1"/>
  <c r="D17" i="13" s="1"/>
  <c r="C17" i="13" s="1"/>
  <c r="F18" i="13"/>
  <c r="G18" i="13"/>
  <c r="L244" i="1"/>
  <c r="F19" i="13"/>
  <c r="G19" i="13"/>
  <c r="L245" i="1"/>
  <c r="D19" i="13"/>
  <c r="C19" i="13"/>
  <c r="F29" i="13"/>
  <c r="G29" i="13"/>
  <c r="L350" i="1"/>
  <c r="L354" i="1" s="1"/>
  <c r="D29" i="13"/>
  <c r="C29" i="13" s="1"/>
  <c r="L351" i="1"/>
  <c r="L352" i="1"/>
  <c r="I359" i="1"/>
  <c r="J282" i="1"/>
  <c r="J301" i="1"/>
  <c r="J330" i="1" s="1"/>
  <c r="J344" i="1" s="1"/>
  <c r="J320" i="1"/>
  <c r="F31" i="13"/>
  <c r="K282" i="1"/>
  <c r="K301" i="1"/>
  <c r="K330" i="1" s="1"/>
  <c r="K344" i="1" s="1"/>
  <c r="K320" i="1"/>
  <c r="L268" i="1"/>
  <c r="L269" i="1"/>
  <c r="L270" i="1"/>
  <c r="E103" i="2" s="1"/>
  <c r="L271" i="1"/>
  <c r="L282" i="1" s="1"/>
  <c r="L273" i="1"/>
  <c r="E110" i="2" s="1"/>
  <c r="L274" i="1"/>
  <c r="E111" i="2" s="1"/>
  <c r="L275" i="1"/>
  <c r="E112" i="2" s="1"/>
  <c r="L276" i="1"/>
  <c r="L277" i="1"/>
  <c r="L278" i="1"/>
  <c r="E115" i="2" s="1"/>
  <c r="L279" i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20" i="1" s="1"/>
  <c r="L309" i="1"/>
  <c r="L311" i="1"/>
  <c r="L312" i="1"/>
  <c r="L313" i="1"/>
  <c r="L314" i="1"/>
  <c r="E113" i="2" s="1"/>
  <c r="L315" i="1"/>
  <c r="L316" i="1"/>
  <c r="L317" i="1"/>
  <c r="L318" i="1"/>
  <c r="E117" i="2" s="1"/>
  <c r="L325" i="1"/>
  <c r="L326" i="1"/>
  <c r="L327" i="1"/>
  <c r="L252" i="1"/>
  <c r="H25" i="13" s="1"/>
  <c r="L253" i="1"/>
  <c r="L333" i="1"/>
  <c r="L334" i="1"/>
  <c r="C25" i="10" s="1"/>
  <c r="L247" i="1"/>
  <c r="L328" i="1"/>
  <c r="F22" i="13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A31" i="12"/>
  <c r="B9" i="12"/>
  <c r="A13" i="12" s="1"/>
  <c r="B13" i="12"/>
  <c r="C9" i="12"/>
  <c r="C13" i="12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/>
  <c r="F2" i="11"/>
  <c r="L603" i="1"/>
  <c r="H653" i="1"/>
  <c r="L602" i="1"/>
  <c r="G653" i="1" s="1"/>
  <c r="I653" i="1" s="1"/>
  <c r="L601" i="1"/>
  <c r="F653" i="1"/>
  <c r="C40" i="10"/>
  <c r="F52" i="1"/>
  <c r="C35" i="10" s="1"/>
  <c r="G52" i="1"/>
  <c r="G104" i="1" s="1"/>
  <c r="G185" i="1" s="1"/>
  <c r="G618" i="1" s="1"/>
  <c r="J618" i="1" s="1"/>
  <c r="H52" i="1"/>
  <c r="H104" i="1" s="1"/>
  <c r="I52" i="1"/>
  <c r="F48" i="2" s="1"/>
  <c r="F55" i="2" s="1"/>
  <c r="F71" i="1"/>
  <c r="F86" i="1"/>
  <c r="F103" i="1"/>
  <c r="G103" i="1"/>
  <c r="H71" i="1"/>
  <c r="H86" i="1"/>
  <c r="E50" i="2" s="1"/>
  <c r="H103" i="1"/>
  <c r="I103" i="1"/>
  <c r="J103" i="1"/>
  <c r="F113" i="1"/>
  <c r="F132" i="1" s="1"/>
  <c r="C38" i="10" s="1"/>
  <c r="F128" i="1"/>
  <c r="G113" i="1"/>
  <c r="G128" i="1"/>
  <c r="G132" i="1" s="1"/>
  <c r="H113" i="1"/>
  <c r="H128" i="1"/>
  <c r="H132" i="1"/>
  <c r="I113" i="1"/>
  <c r="I132" i="1" s="1"/>
  <c r="I128" i="1"/>
  <c r="J113" i="1"/>
  <c r="J128" i="1"/>
  <c r="J132" i="1" s="1"/>
  <c r="F139" i="1"/>
  <c r="C77" i="2" s="1"/>
  <c r="C83" i="2" s="1"/>
  <c r="F154" i="1"/>
  <c r="F161" i="1"/>
  <c r="G139" i="1"/>
  <c r="G161" i="1" s="1"/>
  <c r="G154" i="1"/>
  <c r="H139" i="1"/>
  <c r="H161" i="1" s="1"/>
  <c r="H154" i="1"/>
  <c r="I139" i="1"/>
  <c r="I154" i="1"/>
  <c r="I161" i="1" s="1"/>
  <c r="C15" i="10"/>
  <c r="L242" i="1"/>
  <c r="C23" i="10" s="1"/>
  <c r="L324" i="1"/>
  <c r="E105" i="2" s="1"/>
  <c r="L246" i="1"/>
  <c r="L260" i="1"/>
  <c r="L261" i="1"/>
  <c r="C135" i="2" s="1"/>
  <c r="L341" i="1"/>
  <c r="L342" i="1"/>
  <c r="E135" i="2" s="1"/>
  <c r="C26" i="10"/>
  <c r="I655" i="1"/>
  <c r="I660" i="1"/>
  <c r="I659" i="1"/>
  <c r="C42" i="10"/>
  <c r="C32" i="10"/>
  <c r="L366" i="1"/>
  <c r="L367" i="1"/>
  <c r="L368" i="1"/>
  <c r="C29" i="10" s="1"/>
  <c r="L369" i="1"/>
  <c r="F122" i="2" s="1"/>
  <c r="F136" i="2" s="1"/>
  <c r="L370" i="1"/>
  <c r="L371" i="1"/>
  <c r="L372" i="1"/>
  <c r="B2" i="10"/>
  <c r="L336" i="1"/>
  <c r="E126" i="2" s="1"/>
  <c r="L337" i="1"/>
  <c r="E127" i="2" s="1"/>
  <c r="L343" i="1"/>
  <c r="L338" i="1"/>
  <c r="L339" i="1"/>
  <c r="K343" i="1"/>
  <c r="L511" i="1"/>
  <c r="L514" i="1" s="1"/>
  <c r="L512" i="1"/>
  <c r="F540" i="1"/>
  <c r="L513" i="1"/>
  <c r="F541" i="1"/>
  <c r="L516" i="1"/>
  <c r="L519" i="1" s="1"/>
  <c r="G539" i="1"/>
  <c r="L517" i="1"/>
  <c r="G540" i="1" s="1"/>
  <c r="L518" i="1"/>
  <c r="G541" i="1"/>
  <c r="L521" i="1"/>
  <c r="H539" i="1" s="1"/>
  <c r="H542" i="1" s="1"/>
  <c r="L522" i="1"/>
  <c r="H540" i="1"/>
  <c r="L523" i="1"/>
  <c r="H541" i="1"/>
  <c r="L526" i="1"/>
  <c r="I539" i="1"/>
  <c r="I542" i="1" s="1"/>
  <c r="L527" i="1"/>
  <c r="I540" i="1" s="1"/>
  <c r="L528" i="1"/>
  <c r="I541" i="1"/>
  <c r="L531" i="1"/>
  <c r="J539" i="1" s="1"/>
  <c r="J542" i="1" s="1"/>
  <c r="L532" i="1"/>
  <c r="J540" i="1"/>
  <c r="L533" i="1"/>
  <c r="J541" i="1"/>
  <c r="E124" i="2"/>
  <c r="E123" i="2"/>
  <c r="K262" i="1"/>
  <c r="L262" i="1" s="1"/>
  <c r="J262" i="1"/>
  <c r="I262" i="1"/>
  <c r="H262" i="1"/>
  <c r="G262" i="1"/>
  <c r="F262" i="1"/>
  <c r="C124" i="2"/>
  <c r="A1" i="2"/>
  <c r="A2" i="2"/>
  <c r="C9" i="2"/>
  <c r="C19" i="2" s="1"/>
  <c r="D9" i="2"/>
  <c r="D19" i="2" s="1"/>
  <c r="E9" i="2"/>
  <c r="F9" i="2"/>
  <c r="I431" i="1"/>
  <c r="J9" i="1"/>
  <c r="C10" i="2"/>
  <c r="D10" i="2"/>
  <c r="E10" i="2"/>
  <c r="F10" i="2"/>
  <c r="I432" i="1"/>
  <c r="I438" i="1" s="1"/>
  <c r="G632" i="1" s="1"/>
  <c r="J632" i="1" s="1"/>
  <c r="J10" i="1"/>
  <c r="G10" i="2"/>
  <c r="C11" i="2"/>
  <c r="C12" i="2"/>
  <c r="D12" i="2"/>
  <c r="E12" i="2"/>
  <c r="F12" i="2"/>
  <c r="I433" i="1"/>
  <c r="J12" i="1" s="1"/>
  <c r="C13" i="2"/>
  <c r="D13" i="2"/>
  <c r="E13" i="2"/>
  <c r="F13" i="2"/>
  <c r="F19" i="2" s="1"/>
  <c r="I434" i="1"/>
  <c r="J13" i="1"/>
  <c r="G13" i="2" s="1"/>
  <c r="C14" i="2"/>
  <c r="D14" i="2"/>
  <c r="D16" i="2"/>
  <c r="D17" i="2"/>
  <c r="D18" i="2"/>
  <c r="E14" i="2"/>
  <c r="F14" i="2"/>
  <c r="I435" i="1"/>
  <c r="J14" i="1"/>
  <c r="G14" i="2"/>
  <c r="F15" i="2"/>
  <c r="C16" i="2"/>
  <c r="E16" i="2"/>
  <c r="F16" i="2"/>
  <c r="C17" i="2"/>
  <c r="E17" i="2"/>
  <c r="F17" i="2"/>
  <c r="I436" i="1"/>
  <c r="J17" i="1" s="1"/>
  <c r="G17" i="2" s="1"/>
  <c r="C18" i="2"/>
  <c r="E18" i="2"/>
  <c r="F18" i="2"/>
  <c r="I437" i="1"/>
  <c r="J18" i="1"/>
  <c r="G18" i="2"/>
  <c r="C22" i="2"/>
  <c r="D22" i="2"/>
  <c r="E22" i="2"/>
  <c r="E32" i="2" s="1"/>
  <c r="F22" i="2"/>
  <c r="I440" i="1"/>
  <c r="I444" i="1" s="1"/>
  <c r="I451" i="1" s="1"/>
  <c r="H632" i="1" s="1"/>
  <c r="J23" i="1"/>
  <c r="C23" i="2"/>
  <c r="C32" i="2" s="1"/>
  <c r="D23" i="2"/>
  <c r="E23" i="2"/>
  <c r="F23" i="2"/>
  <c r="I441" i="1"/>
  <c r="J24" i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F32" i="2" s="1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C42" i="2" s="1"/>
  <c r="D35" i="2"/>
  <c r="E35" i="2"/>
  <c r="E42" i="2" s="1"/>
  <c r="E43" i="2" s="1"/>
  <c r="F35" i="2"/>
  <c r="C36" i="2"/>
  <c r="D36" i="2"/>
  <c r="E36" i="2"/>
  <c r="F36" i="2"/>
  <c r="I446" i="1"/>
  <c r="J37" i="1"/>
  <c r="G36" i="2" s="1"/>
  <c r="C37" i="2"/>
  <c r="D37" i="2"/>
  <c r="E37" i="2"/>
  <c r="F37" i="2"/>
  <c r="F42" i="2" s="1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C41" i="2"/>
  <c r="D41" i="2"/>
  <c r="E41" i="2"/>
  <c r="F41" i="2"/>
  <c r="C48" i="2"/>
  <c r="D48" i="2"/>
  <c r="D55" i="2" s="1"/>
  <c r="E48" i="2"/>
  <c r="C49" i="2"/>
  <c r="E49" i="2"/>
  <c r="C50" i="2"/>
  <c r="C51" i="2"/>
  <c r="D51" i="2"/>
  <c r="E51" i="2"/>
  <c r="F51" i="2"/>
  <c r="D52" i="2"/>
  <c r="C53" i="2"/>
  <c r="C54" i="2" s="1"/>
  <c r="C55" i="2" s="1"/>
  <c r="D53" i="2"/>
  <c r="D54" i="2" s="1"/>
  <c r="E53" i="2"/>
  <c r="E71" i="2"/>
  <c r="E72" i="2"/>
  <c r="E68" i="2"/>
  <c r="E69" i="2"/>
  <c r="E70" i="2" s="1"/>
  <c r="E73" i="2" s="1"/>
  <c r="E61" i="2"/>
  <c r="E62" i="2"/>
  <c r="E77" i="2"/>
  <c r="E83" i="2" s="1"/>
  <c r="E79" i="2"/>
  <c r="E80" i="2"/>
  <c r="E81" i="2"/>
  <c r="E88" i="2"/>
  <c r="E89" i="2"/>
  <c r="E90" i="2"/>
  <c r="E91" i="2"/>
  <c r="E92" i="2"/>
  <c r="E93" i="2"/>
  <c r="E94" i="2"/>
  <c r="E95" i="2"/>
  <c r="F53" i="2"/>
  <c r="C58" i="2"/>
  <c r="C59" i="2"/>
  <c r="C62" i="2" s="1"/>
  <c r="C61" i="2"/>
  <c r="D61" i="2"/>
  <c r="F61" i="2"/>
  <c r="G61" i="2"/>
  <c r="G62" i="2"/>
  <c r="D62" i="2"/>
  <c r="F62" i="2"/>
  <c r="C64" i="2"/>
  <c r="C70" i="2" s="1"/>
  <c r="C73" i="2" s="1"/>
  <c r="F64" i="2"/>
  <c r="C65" i="2"/>
  <c r="F65" i="2"/>
  <c r="F70" i="2" s="1"/>
  <c r="F73" i="2" s="1"/>
  <c r="C66" i="2"/>
  <c r="C67" i="2"/>
  <c r="C68" i="2"/>
  <c r="F68" i="2"/>
  <c r="C69" i="2"/>
  <c r="D69" i="2"/>
  <c r="D70" i="2"/>
  <c r="F69" i="2"/>
  <c r="G69" i="2"/>
  <c r="G70" i="2" s="1"/>
  <c r="G73" i="2" s="1"/>
  <c r="C71" i="2"/>
  <c r="D71" i="2"/>
  <c r="C72" i="2"/>
  <c r="F77" i="2"/>
  <c r="F83" i="2" s="1"/>
  <c r="C79" i="2"/>
  <c r="F79" i="2"/>
  <c r="C80" i="2"/>
  <c r="D80" i="2"/>
  <c r="F80" i="2"/>
  <c r="C81" i="2"/>
  <c r="D81" i="2"/>
  <c r="F81" i="2"/>
  <c r="C82" i="2"/>
  <c r="C85" i="2"/>
  <c r="F85" i="2"/>
  <c r="C86" i="2"/>
  <c r="F86" i="2"/>
  <c r="F95" i="2" s="1"/>
  <c r="D88" i="2"/>
  <c r="D95" i="2" s="1"/>
  <c r="F88" i="2"/>
  <c r="G88" i="2"/>
  <c r="C89" i="2"/>
  <c r="D89" i="2"/>
  <c r="F89" i="2"/>
  <c r="G89" i="2"/>
  <c r="C90" i="2"/>
  <c r="D90" i="2"/>
  <c r="G90" i="2"/>
  <c r="C91" i="2"/>
  <c r="D91" i="2"/>
  <c r="F91" i="2"/>
  <c r="C92" i="2"/>
  <c r="C95" i="2" s="1"/>
  <c r="D92" i="2"/>
  <c r="F92" i="2"/>
  <c r="C93" i="2"/>
  <c r="D93" i="2"/>
  <c r="F93" i="2"/>
  <c r="C94" i="2"/>
  <c r="D94" i="2"/>
  <c r="F94" i="2"/>
  <c r="G95" i="2"/>
  <c r="E102" i="2"/>
  <c r="C106" i="2"/>
  <c r="E106" i="2"/>
  <c r="D107" i="2"/>
  <c r="F107" i="2"/>
  <c r="G107" i="2"/>
  <c r="C110" i="2"/>
  <c r="E114" i="2"/>
  <c r="C115" i="2"/>
  <c r="E116" i="2"/>
  <c r="C117" i="2"/>
  <c r="D126" i="2"/>
  <c r="D136" i="2"/>
  <c r="F120" i="2"/>
  <c r="F137" i="2" s="1"/>
  <c r="G120" i="2"/>
  <c r="C122" i="2"/>
  <c r="E122" i="2"/>
  <c r="F126" i="2"/>
  <c r="K411" i="1"/>
  <c r="K426" i="1"/>
  <c r="G126" i="2"/>
  <c r="G136" i="2"/>
  <c r="G137" i="2"/>
  <c r="K419" i="1"/>
  <c r="K425" i="1"/>
  <c r="L255" i="1"/>
  <c r="C127" i="2"/>
  <c r="L256" i="1"/>
  <c r="C128" i="2"/>
  <c r="L257" i="1"/>
  <c r="C129" i="2"/>
  <c r="E129" i="2"/>
  <c r="C134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D153" i="2"/>
  <c r="E153" i="2"/>
  <c r="F153" i="2"/>
  <c r="G490" i="1"/>
  <c r="K490" i="1" s="1"/>
  <c r="H490" i="1"/>
  <c r="I490" i="1"/>
  <c r="J490" i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E156" i="2"/>
  <c r="F156" i="2"/>
  <c r="G493" i="1"/>
  <c r="C156" i="2" s="1"/>
  <c r="H493" i="1"/>
  <c r="D156" i="2" s="1"/>
  <c r="I493" i="1"/>
  <c r="J493" i="1"/>
  <c r="F19" i="1"/>
  <c r="G607" i="1" s="1"/>
  <c r="G19" i="1"/>
  <c r="G608" i="1" s="1"/>
  <c r="J608" i="1" s="1"/>
  <c r="H19" i="1"/>
  <c r="I19" i="1"/>
  <c r="F33" i="1"/>
  <c r="G33" i="1"/>
  <c r="G44" i="1" s="1"/>
  <c r="H608" i="1" s="1"/>
  <c r="H33" i="1"/>
  <c r="H44" i="1"/>
  <c r="H609" i="1"/>
  <c r="I33" i="1"/>
  <c r="F43" i="1"/>
  <c r="G43" i="1"/>
  <c r="H43" i="1"/>
  <c r="I43" i="1"/>
  <c r="I44" i="1" s="1"/>
  <c r="H610" i="1" s="1"/>
  <c r="J610" i="1" s="1"/>
  <c r="F169" i="1"/>
  <c r="F184" i="1" s="1"/>
  <c r="I169" i="1"/>
  <c r="F175" i="1"/>
  <c r="G175" i="1"/>
  <c r="G184" i="1" s="1"/>
  <c r="H175" i="1"/>
  <c r="H184" i="1" s="1"/>
  <c r="I175" i="1"/>
  <c r="J175" i="1"/>
  <c r="J184" i="1"/>
  <c r="F180" i="1"/>
  <c r="G180" i="1"/>
  <c r="H180" i="1"/>
  <c r="I180" i="1"/>
  <c r="I184" i="1"/>
  <c r="F203" i="1"/>
  <c r="F249" i="1" s="1"/>
  <c r="F263" i="1" s="1"/>
  <c r="G203" i="1"/>
  <c r="H203" i="1"/>
  <c r="I203" i="1"/>
  <c r="J203" i="1"/>
  <c r="J249" i="1" s="1"/>
  <c r="K203" i="1"/>
  <c r="F221" i="1"/>
  <c r="G221" i="1"/>
  <c r="H221" i="1"/>
  <c r="I221" i="1"/>
  <c r="J221" i="1"/>
  <c r="F239" i="1"/>
  <c r="G239" i="1"/>
  <c r="G249" i="1" s="1"/>
  <c r="G263" i="1" s="1"/>
  <c r="H239" i="1"/>
  <c r="I239" i="1"/>
  <c r="J239" i="1"/>
  <c r="K239" i="1"/>
  <c r="F248" i="1"/>
  <c r="G248" i="1"/>
  <c r="H248" i="1"/>
  <c r="I248" i="1"/>
  <c r="J248" i="1"/>
  <c r="L248" i="1" s="1"/>
  <c r="K248" i="1"/>
  <c r="F282" i="1"/>
  <c r="F330" i="1" s="1"/>
  <c r="F344" i="1" s="1"/>
  <c r="G282" i="1"/>
  <c r="H282" i="1"/>
  <c r="I282" i="1"/>
  <c r="I330" i="1" s="1"/>
  <c r="I344" i="1" s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L329" i="1" s="1"/>
  <c r="K329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L374" i="1"/>
  <c r="F385" i="1"/>
  <c r="F400" i="1" s="1"/>
  <c r="H633" i="1" s="1"/>
  <c r="G385" i="1"/>
  <c r="H385" i="1"/>
  <c r="I385" i="1"/>
  <c r="F393" i="1"/>
  <c r="G393" i="1"/>
  <c r="H393" i="1"/>
  <c r="H400" i="1" s="1"/>
  <c r="H634" i="1" s="1"/>
  <c r="J634" i="1" s="1"/>
  <c r="I393" i="1"/>
  <c r="F399" i="1"/>
  <c r="G399" i="1"/>
  <c r="G400" i="1" s="1"/>
  <c r="H635" i="1" s="1"/>
  <c r="H399" i="1"/>
  <c r="I399" i="1"/>
  <c r="I400" i="1" s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I426" i="1" s="1"/>
  <c r="J425" i="1"/>
  <c r="J426" i="1" s="1"/>
  <c r="F438" i="1"/>
  <c r="G629" i="1" s="1"/>
  <c r="J629" i="1" s="1"/>
  <c r="G438" i="1"/>
  <c r="G630" i="1" s="1"/>
  <c r="J630" i="1" s="1"/>
  <c r="H438" i="1"/>
  <c r="G631" i="1" s="1"/>
  <c r="J631" i="1" s="1"/>
  <c r="F444" i="1"/>
  <c r="G444" i="1"/>
  <c r="H444" i="1"/>
  <c r="F450" i="1"/>
  <c r="G450" i="1"/>
  <c r="H450" i="1"/>
  <c r="I450" i="1"/>
  <c r="F451" i="1"/>
  <c r="H629" i="1" s="1"/>
  <c r="G451" i="1"/>
  <c r="H630" i="1" s="1"/>
  <c r="H451" i="1"/>
  <c r="H631" i="1" s="1"/>
  <c r="F460" i="1"/>
  <c r="G460" i="1"/>
  <c r="H460" i="1"/>
  <c r="H466" i="1" s="1"/>
  <c r="H614" i="1" s="1"/>
  <c r="I460" i="1"/>
  <c r="J460" i="1"/>
  <c r="F464" i="1"/>
  <c r="G464" i="1"/>
  <c r="G466" i="1"/>
  <c r="H613" i="1"/>
  <c r="J613" i="1" s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/>
  <c r="K514" i="1"/>
  <c r="F519" i="1"/>
  <c r="F535" i="1" s="1"/>
  <c r="G519" i="1"/>
  <c r="G535" i="1" s="1"/>
  <c r="H519" i="1"/>
  <c r="I519" i="1"/>
  <c r="J519" i="1"/>
  <c r="K519" i="1"/>
  <c r="F524" i="1"/>
  <c r="G524" i="1"/>
  <c r="H524" i="1"/>
  <c r="H535" i="1" s="1"/>
  <c r="I524" i="1"/>
  <c r="J524" i="1"/>
  <c r="K524" i="1"/>
  <c r="L524" i="1"/>
  <c r="F529" i="1"/>
  <c r="G529" i="1"/>
  <c r="H529" i="1"/>
  <c r="I529" i="1"/>
  <c r="J529" i="1"/>
  <c r="K529" i="1"/>
  <c r="K535" i="1" s="1"/>
  <c r="F534" i="1"/>
  <c r="G534" i="1"/>
  <c r="H534" i="1"/>
  <c r="I534" i="1"/>
  <c r="J534" i="1"/>
  <c r="K534" i="1"/>
  <c r="L547" i="1"/>
  <c r="L548" i="1"/>
  <c r="L550" i="1" s="1"/>
  <c r="L549" i="1"/>
  <c r="F550" i="1"/>
  <c r="G550" i="1"/>
  <c r="H550" i="1"/>
  <c r="I550" i="1"/>
  <c r="J550" i="1"/>
  <c r="K550" i="1"/>
  <c r="K561" i="1"/>
  <c r="L552" i="1"/>
  <c r="L555" i="1"/>
  <c r="L553" i="1"/>
  <c r="L554" i="1"/>
  <c r="F555" i="1"/>
  <c r="F561" i="1" s="1"/>
  <c r="G555" i="1"/>
  <c r="G561" i="1" s="1"/>
  <c r="H555" i="1"/>
  <c r="I555" i="1"/>
  <c r="J555" i="1"/>
  <c r="K555" i="1"/>
  <c r="L557" i="1"/>
  <c r="L558" i="1"/>
  <c r="L560" i="1" s="1"/>
  <c r="L559" i="1"/>
  <c r="F560" i="1"/>
  <c r="G560" i="1"/>
  <c r="H560" i="1"/>
  <c r="H561" i="1" s="1"/>
  <c r="I560" i="1"/>
  <c r="I561" i="1" s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G612" i="1"/>
  <c r="G613" i="1"/>
  <c r="G614" i="1"/>
  <c r="G615" i="1"/>
  <c r="J615" i="1" s="1"/>
  <c r="H617" i="1"/>
  <c r="H618" i="1"/>
  <c r="H619" i="1"/>
  <c r="H620" i="1"/>
  <c r="H621" i="1"/>
  <c r="H622" i="1"/>
  <c r="H623" i="1"/>
  <c r="G624" i="1"/>
  <c r="H625" i="1"/>
  <c r="G626" i="1"/>
  <c r="J626" i="1" s="1"/>
  <c r="H626" i="1"/>
  <c r="H627" i="1"/>
  <c r="H628" i="1"/>
  <c r="G633" i="1"/>
  <c r="G634" i="1"/>
  <c r="G635" i="1"/>
  <c r="H639" i="1"/>
  <c r="G640" i="1"/>
  <c r="J640" i="1" s="1"/>
  <c r="G642" i="1"/>
  <c r="H642" i="1"/>
  <c r="J642" i="1" s="1"/>
  <c r="G643" i="1"/>
  <c r="H643" i="1"/>
  <c r="J643" i="1"/>
  <c r="G644" i="1"/>
  <c r="H644" i="1"/>
  <c r="J644" i="1"/>
  <c r="G645" i="1"/>
  <c r="J645" i="1" s="1"/>
  <c r="H645" i="1"/>
  <c r="D73" i="2"/>
  <c r="D32" i="2"/>
  <c r="G148" i="2"/>
  <c r="F54" i="2"/>
  <c r="E19" i="2"/>
  <c r="D18" i="13"/>
  <c r="C18" i="13"/>
  <c r="C22" i="13"/>
  <c r="G9" i="2"/>
  <c r="F44" i="1"/>
  <c r="H607" i="1" s="1"/>
  <c r="J466" i="1"/>
  <c r="H616" i="1" s="1"/>
  <c r="F466" i="1"/>
  <c r="H612" i="1"/>
  <c r="J612" i="1"/>
  <c r="E101" i="2"/>
  <c r="I249" i="1"/>
  <c r="I263" i="1"/>
  <c r="D7" i="13"/>
  <c r="C7" i="13" s="1"/>
  <c r="G12" i="13"/>
  <c r="K221" i="1"/>
  <c r="K249" i="1" s="1"/>
  <c r="K263" i="1" s="1"/>
  <c r="L215" i="1"/>
  <c r="C113" i="2"/>
  <c r="A22" i="12"/>
  <c r="A40" i="12"/>
  <c r="H249" i="1"/>
  <c r="H263" i="1" s="1"/>
  <c r="E8" i="13"/>
  <c r="C112" i="2"/>
  <c r="C6" i="10"/>
  <c r="K541" i="1"/>
  <c r="G40" i="2"/>
  <c r="C8" i="13"/>
  <c r="C5" i="10"/>
  <c r="J614" i="1" l="1"/>
  <c r="E54" i="2"/>
  <c r="L426" i="1"/>
  <c r="G628" i="1" s="1"/>
  <c r="J628" i="1" s="1"/>
  <c r="E55" i="2"/>
  <c r="E96" i="2" s="1"/>
  <c r="C27" i="10"/>
  <c r="G625" i="1"/>
  <c r="J625" i="1" s="1"/>
  <c r="H650" i="1"/>
  <c r="J33" i="1"/>
  <c r="G542" i="1"/>
  <c r="J635" i="1"/>
  <c r="J638" i="1"/>
  <c r="G37" i="2"/>
  <c r="G42" i="2" s="1"/>
  <c r="G43" i="2" s="1"/>
  <c r="J43" i="1"/>
  <c r="J637" i="1"/>
  <c r="J607" i="1"/>
  <c r="D96" i="2"/>
  <c r="C96" i="2"/>
  <c r="G12" i="2"/>
  <c r="G19" i="2" s="1"/>
  <c r="J19" i="1"/>
  <c r="G611" i="1" s="1"/>
  <c r="L400" i="1"/>
  <c r="C130" i="2"/>
  <c r="C133" i="2" s="1"/>
  <c r="H638" i="1"/>
  <c r="J263" i="1"/>
  <c r="J633" i="1"/>
  <c r="L561" i="1"/>
  <c r="F43" i="2"/>
  <c r="E136" i="2"/>
  <c r="K540" i="1"/>
  <c r="F96" i="2"/>
  <c r="G650" i="1"/>
  <c r="G654" i="1" s="1"/>
  <c r="E33" i="13"/>
  <c r="D35" i="13" s="1"/>
  <c r="C43" i="2"/>
  <c r="C39" i="10"/>
  <c r="H185" i="1"/>
  <c r="G619" i="1" s="1"/>
  <c r="J619" i="1" s="1"/>
  <c r="E120" i="2"/>
  <c r="G636" i="1"/>
  <c r="G621" i="1"/>
  <c r="J621" i="1" s="1"/>
  <c r="C25" i="13"/>
  <c r="H33" i="13"/>
  <c r="L330" i="1"/>
  <c r="L344" i="1" s="1"/>
  <c r="G623" i="1" s="1"/>
  <c r="J623" i="1" s="1"/>
  <c r="D31" i="13"/>
  <c r="C31" i="13" s="1"/>
  <c r="C18" i="10"/>
  <c r="E16" i="13"/>
  <c r="C16" i="13" s="1"/>
  <c r="I104" i="1"/>
  <c r="I185" i="1" s="1"/>
  <c r="G620" i="1" s="1"/>
  <c r="J620" i="1" s="1"/>
  <c r="D5" i="13"/>
  <c r="C11" i="10"/>
  <c r="L529" i="1"/>
  <c r="L535" i="1" s="1"/>
  <c r="H652" i="1"/>
  <c r="G22" i="2"/>
  <c r="G32" i="2" s="1"/>
  <c r="C105" i="2"/>
  <c r="G652" i="1"/>
  <c r="I652" i="1" s="1"/>
  <c r="G48" i="2"/>
  <c r="G55" i="2" s="1"/>
  <c r="G96" i="2" s="1"/>
  <c r="L604" i="1"/>
  <c r="E104" i="2"/>
  <c r="E107" i="2" s="1"/>
  <c r="E137" i="2" s="1"/>
  <c r="C123" i="2"/>
  <c r="H651" i="1"/>
  <c r="C153" i="2"/>
  <c r="G153" i="2" s="1"/>
  <c r="C24" i="10"/>
  <c r="H637" i="1"/>
  <c r="L534" i="1"/>
  <c r="D119" i="2"/>
  <c r="D120" i="2" s="1"/>
  <c r="D137" i="2" s="1"/>
  <c r="D77" i="2"/>
  <c r="D83" i="2" s="1"/>
  <c r="G651" i="1"/>
  <c r="C10" i="10"/>
  <c r="C19" i="10"/>
  <c r="C114" i="2"/>
  <c r="C120" i="2" s="1"/>
  <c r="C12" i="10"/>
  <c r="D14" i="13"/>
  <c r="C14" i="13" s="1"/>
  <c r="G639" i="1"/>
  <c r="J639" i="1" s="1"/>
  <c r="B156" i="2"/>
  <c r="G156" i="2" s="1"/>
  <c r="F539" i="1"/>
  <c r="F651" i="1"/>
  <c r="L203" i="1"/>
  <c r="C116" i="2"/>
  <c r="C102" i="2"/>
  <c r="C107" i="2" s="1"/>
  <c r="G31" i="13"/>
  <c r="G33" i="13" s="1"/>
  <c r="F104" i="1"/>
  <c r="F185" i="1" s="1"/>
  <c r="G617" i="1" s="1"/>
  <c r="J617" i="1" s="1"/>
  <c r="D27" i="10" l="1"/>
  <c r="C28" i="10"/>
  <c r="D10" i="10"/>
  <c r="D18" i="10"/>
  <c r="L249" i="1"/>
  <c r="L263" i="1" s="1"/>
  <c r="G622" i="1" s="1"/>
  <c r="J622" i="1" s="1"/>
  <c r="F650" i="1"/>
  <c r="I651" i="1"/>
  <c r="J636" i="1"/>
  <c r="K539" i="1"/>
  <c r="K542" i="1" s="1"/>
  <c r="F542" i="1"/>
  <c r="D24" i="10"/>
  <c r="D19" i="10"/>
  <c r="G657" i="1"/>
  <c r="G662" i="1"/>
  <c r="D11" i="10"/>
  <c r="D33" i="13"/>
  <c r="D36" i="13" s="1"/>
  <c r="C5" i="13"/>
  <c r="H654" i="1"/>
  <c r="C36" i="10"/>
  <c r="D12" i="10"/>
  <c r="C136" i="2"/>
  <c r="C137" i="2" s="1"/>
  <c r="G627" i="1"/>
  <c r="J627" i="1" s="1"/>
  <c r="H636" i="1"/>
  <c r="J44" i="1"/>
  <c r="H611" i="1" s="1"/>
  <c r="J611" i="1" s="1"/>
  <c r="G616" i="1"/>
  <c r="J616" i="1" s="1"/>
  <c r="C41" i="10" l="1"/>
  <c r="I650" i="1"/>
  <c r="I654" i="1" s="1"/>
  <c r="F654" i="1"/>
  <c r="C30" i="10"/>
  <c r="D15" i="10"/>
  <c r="D22" i="10"/>
  <c r="D25" i="10"/>
  <c r="D13" i="10"/>
  <c r="D28" i="10" s="1"/>
  <c r="D17" i="10"/>
  <c r="D26" i="10"/>
  <c r="D16" i="10"/>
  <c r="D21" i="10"/>
  <c r="D20" i="10"/>
  <c r="D23" i="10"/>
  <c r="H657" i="1"/>
  <c r="H662" i="1"/>
  <c r="H646" i="1"/>
  <c r="F662" i="1" l="1"/>
  <c r="C4" i="10" s="1"/>
  <c r="F657" i="1"/>
  <c r="D40" i="10"/>
  <c r="D37" i="10"/>
  <c r="D35" i="10"/>
  <c r="D38" i="10"/>
  <c r="D39" i="10"/>
  <c r="I662" i="1"/>
  <c r="C7" i="10" s="1"/>
  <c r="I657" i="1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0F6A280-3BB2-4561-8C0A-F14384620E23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6E1EA14-8DA6-45C3-A263-DA9BB322A25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F249EDA-AA56-4343-9B13-054351ACBA2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D2812CF-53BF-414C-99C5-575391CEA0B9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E0416F3-6F12-435D-B5A3-6A7F7AD70EF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8CC85D3-9FBC-40D2-85B6-5E30DB8558FC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CAA9D2CD-639B-48AD-947B-A3F9E4791B35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F4D30A9B-8D32-4E49-A4EC-C8F4BD2E7EAB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0E3E63AC-FB44-41BA-BC47-928C2EC6201E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E753DE03-E1F3-4D3A-9168-9C9813127F29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F7136F3A-688F-47D9-881F-905A25A6C2C3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8D55EAA-CAE9-450B-9462-F3B628862821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<sst xmlns="http://schemas.openxmlformats.org/spreadsheetml/2006/main" count="3861" uniqueCount="898">
  <si>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</si>
  <si>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</si>
  <si>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</si>
  <si>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</si>
  <si>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</si>
  <si>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</si>
  <si>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</si>
  <si>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</si>
  <si>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</si>
  <si>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</si>
  <si>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</si>
  <si>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</si>
  <si>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</si>
  <si>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</si>
  <si>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</si>
  <si>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</si>
  <si>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</si>
  <si>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</si>
  <si>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</si>
  <si>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</si>
  <si>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</si>
  <si>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</si>
  <si>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</si>
  <si>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</si>
  <si>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</si>
  <si>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</si>
  <si>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</si>
  <si>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</si>
  <si>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</si>
  <si>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</si>
  <si>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</si>
  <si>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</si>
  <si>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</si>
  <si>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</si>
  <si>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</si>
  <si>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</si>
  <si>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</si>
  <si>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</si>
  <si>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</si>
  <si>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</si>
  <si>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</si>
  <si>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</si>
  <si>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</si>
  <si>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</si>
  <si>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</si>
  <si>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</si>
  <si>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</si>
  <si>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</si>
  <si>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</si>
  <si>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</si>
  <si>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</si>
  <si>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</si>
  <si>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</si>
  <si>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</si>
  <si>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</si>
  <si>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</si>
  <si>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</si>
  <si>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</si>
  <si>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</si>
  <si>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</si>
  <si>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</si>
  <si>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</si>
  <si>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</si>
  <si>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</si>
  <si>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</si>
  <si>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</si>
  <si>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</si>
  <si>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</si>
  <si>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</si>
  <si>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</si>
  <si>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</si>
  <si>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</si>
  <si>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</si>
  <si>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</si>
  <si>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</si>
  <si>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</si>
  <si>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</si>
  <si>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</si>
  <si>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</si>
  <si>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</si>
  <si>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</si>
  <si>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</si>
  <si>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</si>
  <si>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</si>
  <si>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</si>
  <si>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</si>
  <si>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</si>
  <si>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</si>
  <si>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</si>
  <si>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</si>
  <si>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</si>
  <si>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</si>
  <si>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</si>
  <si>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</si>
  <si>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</si>
  <si>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</si>
  <si>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</si>
  <si>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</si>
  <si>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</si>
  <si>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</si>
  <si>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</si>
  <si>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</si>
  <si>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</si>
  <si>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</si>
  <si>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</si>
  <si>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</si>
  <si>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</si>
  <si>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</si>
  <si>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</si>
  <si>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</si>
  <si>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</si>
  <si>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</si>
  <si>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</si>
  <si>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</si>
  <si>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</si>
  <si>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</si>
  <si>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</si>
  <si>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</si>
  <si>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</si>
  <si>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</si>
  <si>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</si>
  <si>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</si>
  <si>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</si>
  <si>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</si>
  <si>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</si>
  <si>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</si>
  <si>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</si>
  <si>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</si>
  <si>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</si>
  <si>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</si>
  <si>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</si>
  <si>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</si>
  <si>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</si>
  <si>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</si>
  <si>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</si>
  <si>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</si>
  <si>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</si>
  <si>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</si>
  <si>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</si>
  <si>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</si>
  <si>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</si>
  <si>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</si>
  <si>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</si>
  <si>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</si>
  <si>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</si>
  <si>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</si>
  <si>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</si>
  <si>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</si>
  <si>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</si>
  <si>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</si>
  <si>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</si>
  <si>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</si>
  <si>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</si>
  <si>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</si>
  <si>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</si>
  <si>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</si>
  <si>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</si>
  <si>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</si>
  <si>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</si>
  <si>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</si>
  <si>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</si>
  <si>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</si>
  <si>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</si>
  <si>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</si>
  <si>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</si>
  <si>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</si>
  <si>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</si>
  <si>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</si>
  <si>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</si>
  <si>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</si>
  <si>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</si>
  <si>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</si>
  <si>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</si>
  <si>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</si>
  <si>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</si>
  <si>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</si>
  <si>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</si>
  <si>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</si>
  <si>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</si>
  <si>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</si>
  <si>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</si>
  <si>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</si>
  <si>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</si>
  <si>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</si>
  <si>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</si>
  <si>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</si>
  <si>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</si>
  <si>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</si>
  <si>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</si>
  <si>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</si>
  <si>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</si>
  <si>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</si>
  <si>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</si>
  <si>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</si>
  <si>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</si>
  <si>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</si>
  <si>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</si>
  <si>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</si>
  <si>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</si>
  <si>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</si>
  <si>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</si>
  <si>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</si>
  <si>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</si>
  <si>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</si>
  <si>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</si>
  <si>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</si>
  <si>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</si>
  <si>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</si>
  <si>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</si>
  <si>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</si>
  <si>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</si>
  <si>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</si>
  <si>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</si>
  <si>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</si>
  <si>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</si>
  <si>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</si>
  <si>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</si>
  <si>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</si>
  <si>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</si>
  <si>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</si>
  <si>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</si>
  <si>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</si>
  <si>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</si>
  <si>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</si>
  <si>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</si>
  <si>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</si>
  <si>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</si>
  <si>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</si>
  <si>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</si>
  <si>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</si>
  <si>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</si>
  <si>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</si>
  <si>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</si>
  <si>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</si>
  <si>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</si>
  <si>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</si>
  <si>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</si>
  <si>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</si>
  <si>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</si>
  <si>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</si>
  <si>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</si>
  <si>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</si>
  <si>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</si>
  <si>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</si>
  <si>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</si>
  <si>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</si>
  <si>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</si>
  <si>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</si>
  <si>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</si>
  <si>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</si>
  <si>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</si>
  <si>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</si>
  <si>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</si>
  <si>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</si>
  <si>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</si>
  <si>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</si>
  <si>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</si>
  <si>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</si>
  <si>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</si>
  <si>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</si>
  <si>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</si>
  <si>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</si>
  <si>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</si>
  <si>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</si>
  <si>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</si>
  <si>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</si>
  <si>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</si>
  <si>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</si>
  <si>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</si>
  <si>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</si>
  <si>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</si>
  <si>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</si>
  <si>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</si>
  <si>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</si>
  <si>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</si>
  <si>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</si>
  <si>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</si>
  <si>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</si>
  <si>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</si>
  <si>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</si>
  <si>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</si>
  <si>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</si>
  <si>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</si>
  <si>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</si>
  <si>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</si>
  <si>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</si>
  <si>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</si>
  <si>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</si>
  <si>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</si>
  <si>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</si>
  <si>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</si>
  <si>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</si>
  <si>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</si>
  <si>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</si>
  <si>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</si>
  <si>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</si>
  <si>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</si>
  <si>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</si>
  <si>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</si>
  <si>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</si>
  <si>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</si>
  <si>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</si>
  <si>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</si>
  <si>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</si>
  <si>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</si>
  <si>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</si>
  <si>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</si>
  <si>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</si>
  <si>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</si>
  <si>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</si>
  <si>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</si>
  <si>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</si>
  <si>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</si>
  <si>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</si>
  <si>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</si>
  <si>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</si>
  <si>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</si>
  <si>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</si>
  <si>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</si>
  <si>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</si>
  <si>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</si>
  <si>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</si>
  <si>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</si>
  <si>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</si>
  <si>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</si>
  <si>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</si>
  <si>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</si>
  <si>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</si>
  <si>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</si>
  <si>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</si>
  <si>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</si>
  <si>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</si>
  <si>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</si>
  <si>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</si>
  <si>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</si>
  <si>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</si>
  <si>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</si>
  <si>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</si>
  <si>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</si>
  <si>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</si>
  <si>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</si>
  <si>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</si>
  <si>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</si>
  <si>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</si>
  <si>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</si>
  <si>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</si>
  <si>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</si>
  <si>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</si>
  <si>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</si>
  <si>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</si>
  <si>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</si>
  <si>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</si>
  <si>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</si>
  <si>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</si>
  <si>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</si>
  <si>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</si>
  <si>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</si>
  <si>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</si>
  <si>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</si>
  <si>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</si>
  <si>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</si>
  <si>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</si>
  <si>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</si>
  <si>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</si>
  <si>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</si>
  <si>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</si>
  <si>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</si>
  <si>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</si>
  <si>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</si>
  <si>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</si>
  <si>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</si>
  <si>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</si>
  <si>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</si>
  <si>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</si>
  <si>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</si>
  <si>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</si>
  <si>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</si>
  <si>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</si>
  <si>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</si>
  <si>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</si>
  <si>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</si>
  <si>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</si>
  <si>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</si>
  <si>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</si>
  <si>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</si>
  <si>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</si>
  <si>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</si>
  <si>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</si>
  <si>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</si>
  <si>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</si>
  <si>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</si>
  <si>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</si>
  <si>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</si>
  <si>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</si>
  <si>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</si>
  <si>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</si>
  <si>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</si>
  <si>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</si>
  <si>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</si>
  <si>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</si>
  <si>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</si>
  <si>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</si>
  <si>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</si>
  <si>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</si>
  <si>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</si>
  <si>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</si>
  <si>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</si>
  <si>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</si>
  <si>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</si>
  <si>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</si>
  <si>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</si>
  <si>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</si>
  <si>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</si>
  <si>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</si>
  <si>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</si>
  <si>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</si>
  <si>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</si>
  <si>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</si>
  <si>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</si>
  <si>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</si>
  <si>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</si>
  <si>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</si>
  <si>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</si>
  <si>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</si>
  <si>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</si>
  <si>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</si>
  <si>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</si>
  <si>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</si>
  <si>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</si>
  <si>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</si>
  <si>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</si>
  <si>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</si>
  <si>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</si>
  <si>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</si>
  <si>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</si>
  <si>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</si>
  <si>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</si>
  <si>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</si>
  <si>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</si>
  <si>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</si>
  <si>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</si>
  <si>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</si>
  <si>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</si>
  <si>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</si>
  <si>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</si>
  <si>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</si>
  <si>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</si>
  <si>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</si>
  <si>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</si>
  <si>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</si>
  <si>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</si>
  <si>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</si>
  <si>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</si>
  <si>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</si>
  <si>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</si>
  <si>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</si>
  <si>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</si>
  <si>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</si>
  <si>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</si>
  <si>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</si>
  <si>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</si>
  <si>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</si>
  <si>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</si>
  <si>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</si>
  <si>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</si>
  <si>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</si>
  <si>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</si>
  <si>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</si>
  <si>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</si>
  <si>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</si>
  <si>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</si>
  <si>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</si>
  <si>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</si>
  <si>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</si>
  <si>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</si>
  <si>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</si>
  <si>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</si>
  <si>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</si>
  <si>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</si>
  <si>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</si>
  <si>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</si>
  <si>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</si>
  <si>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</si>
  <si>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</si>
  <si>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</si>
  <si>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</si>
  <si>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</si>
  <si>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</si>
  <si>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</si>
  <si>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</si>
  <si>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</si>
  <si>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</si>
  <si>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</si>
  <si>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</si>
  <si>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</si>
  <si>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</si>
  <si>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</si>
  <si>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</si>
  <si>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</si>
  <si>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</si>
  <si>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</si>
  <si>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</si>
  <si>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</si>
  <si>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</si>
  <si>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</si>
  <si>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</si>
  <si>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</si>
  <si>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</si>
  <si>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</si>
  <si>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</si>
  <si>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</si>
  <si>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</si>
  <si>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</si>
  <si>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</si>
  <si>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</si>
  <si>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</si>
  <si>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</si>
  <si>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</si>
  <si>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</si>
  <si>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</si>
  <si>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</si>
  <si>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</si>
  <si>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</si>
  <si>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</si>
  <si>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</si>
  <si>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</si>
  <si>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</si>
  <si>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</si>
  <si>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</si>
  <si>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</si>
  <si>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</si>
  <si>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</si>
  <si>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</si>
  <si>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</si>
  <si>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</si>
  <si>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</si>
  <si>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</si>
  <si>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</si>
  <si>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</si>
  <si>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</si>
  <si>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</si>
  <si>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</si>
  <si>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</si>
  <si>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</si>
  <si>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</si>
  <si>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</si>
  <si>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</si>
  <si>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</si>
  <si>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</si>
  <si>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</si>
  <si>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</si>
  <si>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</si>
  <si>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</si>
  <si>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</si>
  <si>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</si>
  <si>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</si>
  <si>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</si>
  <si>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</si>
  <si>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</si>
  <si>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</si>
  <si>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</si>
  <si>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</si>
  <si>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</si>
  <si>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</si>
  <si>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</si>
  <si>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</si>
  <si>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</si>
  <si>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</si>
  <si>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</si>
  <si>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</si>
  <si>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</si>
  <si>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</si>
  <si>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</si>
  <si>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</si>
  <si>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</si>
  <si>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</si>
  <si>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</si>
  <si>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</si>
  <si>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</si>
  <si>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</si>
  <si>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</si>
  <si>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</si>
  <si>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</si>
  <si>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</si>
  <si>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</si>
  <si>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</si>
  <si>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</si>
  <si>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</si>
  <si>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</si>
  <si>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</si>
  <si>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</si>
  <si>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</si>
  <si>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</si>
  <si>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</si>
  <si>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</si>
  <si>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</si>
  <si>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</si>
  <si>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</si>
  <si>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</si>
  <si>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</si>
  <si>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</si>
  <si>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</si>
  <si>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</si>
  <si>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</si>
  <si>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</si>
  <si>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</si>
  <si>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</si>
  <si>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</si>
  <si>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</si>
  <si>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</si>
  <si>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</si>
  <si>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</si>
  <si>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</si>
  <si>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</si>
  <si>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</si>
  <si>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</si>
  <si>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</si>
  <si>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</si>
  <si>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</si>
  <si>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</si>
  <si>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</si>
  <si>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</si>
  <si>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</si>
  <si>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</si>
  <si>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</si>
  <si>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</si>
  <si>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</si>
  <si>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</si>
  <si>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</si>
  <si>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</si>
  <si>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</si>
  <si>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</si>
  <si>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</si>
  <si>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</si>
  <si>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</si>
  <si>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</si>
  <si>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</si>
  <si>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</si>
  <si>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</si>
  <si>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</si>
  <si>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</si>
  <si>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</si>
  <si>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</si>
  <si>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</si>
  <si>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</si>
  <si>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</si>
  <si>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</si>
  <si>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</si>
  <si>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</si>
  <si>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</si>
  <si>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</si>
  <si>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</si>
  <si>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</si>
  <si>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</si>
  <si>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</si>
  <si>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</si>
  <si>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</si>
  <si>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</si>
  <si>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</si>
  <si>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</si>
  <si>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</si>
  <si>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</si>
  <si>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</si>
  <si>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</si>
  <si>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</si>
  <si>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</si>
  <si>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</si>
  <si>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</si>
  <si>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</si>
  <si>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</si>
  <si>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</si>
  <si>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</si>
  <si>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</si>
  <si>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</si>
  <si>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</si>
  <si>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</si>
  <si>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</si>
  <si>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</si>
  <si>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</si>
  <si>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</si>
  <si>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</si>
  <si>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</si>
  <si>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</si>
  <si>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</si>
  <si>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</si>
  <si>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</si>
  <si>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</si>
  <si>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</si>
  <si>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</si>
  <si>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</si>
  <si>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</si>
  <si>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</si>
  <si>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</si>
  <si>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</si>
  <si>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</si>
  <si>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</si>
  <si>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</si>
  <si>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</si>
  <si>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</si>
  <si>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</si>
  <si>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</si>
  <si>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</si>
  <si>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</si>
  <si>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</si>
  <si>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</si>
  <si>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</si>
  <si>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</si>
  <si>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</si>
  <si>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</si>
  <si>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</si>
  <si>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</si>
  <si>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</si>
  <si>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</si>
  <si>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</si>
  <si>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</si>
  <si>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</si>
  <si>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</si>
  <si>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</si>
  <si>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</si>
  <si>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</si>
  <si>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</si>
  <si>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</si>
  <si>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</si>
  <si>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</si>
  <si>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</si>
  <si>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</si>
  <si>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</si>
  <si>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</si>
  <si>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</si>
  <si>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</si>
  <si>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</si>
  <si>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</si>
  <si>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</si>
  <si>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</si>
  <si>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</si>
  <si>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</si>
  <si>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</si>
  <si>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</si>
  <si>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</si>
  <si>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</si>
  <si>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</si>
  <si>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</si>
  <si>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</si>
  <si>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</si>
  <si>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</si>
  <si>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</si>
  <si>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</si>
  <si>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</si>
  <si>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</si>
  <si>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</si>
  <si>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</si>
  <si>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</si>
  <si>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</si>
  <si>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</si>
  <si>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</si>
  <si>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</si>
  <si>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</si>
  <si>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</si>
  <si>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</si>
  <si>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</si>
  <si>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</si>
  <si>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</si>
  <si>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</si>
  <si>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</si>
  <si>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</si>
  <si>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</si>
  <si>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</si>
  <si>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</si>
  <si>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</si>
  <si>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</si>
  <si>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</si>
  <si>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</si>
  <si>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</si>
  <si>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</si>
  <si>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</si>
  <si>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</si>
  <si>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</si>
  <si>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</si>
  <si>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</si>
  <si>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</si>
  <si>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</si>
  <si>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</si>
  <si>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</si>
  <si>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</si>
  <si>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</si>
  <si>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</si>
  <si>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</si>
  <si>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</si>
  <si>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</si>
  <si>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</si>
  <si>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</si>
  <si>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</si>
  <si>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</si>
  <si>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</si>
  <si>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</si>
  <si>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</si>
  <si>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</si>
  <si>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</si>
  <si>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</si>
  <si>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</si>
  <si>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</si>
  <si>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</si>
  <si>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</si>
  <si>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</si>
  <si>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</si>
  <si>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</si>
  <si>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</si>
  <si>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</si>
  <si>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</si>
  <si>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</si>
  <si>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</si>
  <si>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</si>
  <si>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</si>
  <si>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</si>
  <si>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</si>
  <si>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</si>
  <si>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</si>
  <si>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</si>
  <si>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</si>
  <si>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</si>
  <si>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</si>
  <si>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</si>
  <si>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</si>
  <si>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</si>
  <si>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</si>
  <si>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</si>
  <si>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</si>
  <si>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</si>
  <si>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</si>
  <si>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</si>
  <si>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</si>
  <si>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</si>
  <si>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</si>
  <si>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</si>
  <si>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</si>
  <si>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</si>
  <si>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</si>
  <si>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</si>
  <si>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</si>
  <si>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</si>
  <si>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</si>
  <si>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</si>
  <si>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</si>
  <si>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</si>
  <si>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</si>
  <si>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</si>
  <si>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</si>
  <si>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</si>
  <si>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</si>
  <si>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</si>
  <si>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</si>
  <si>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</si>
  <si>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</si>
  <si>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</si>
  <si>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</si>
  <si>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</si>
  <si>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</si>
  <si>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</si>
  <si>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</si>
  <si>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</si>
  <si>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</si>
  <si>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</si>
  <si>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</si>
  <si>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</si>
  <si>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</si>
  <si>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</si>
  <si>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</si>
  <si>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</si>
  <si>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</si>
  <si>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</si>
  <si>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</si>
  <si>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</si>
  <si>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</si>
  <si>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</si>
  <si>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</si>
  <si>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</si>
  <si>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</si>
  <si>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</si>
  <si>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</si>
  <si>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</si>
  <si>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</si>
  <si>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</si>
  <si>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</si>
  <si>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</si>
  <si>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</si>
  <si>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</si>
  <si>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</si>
  <si>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</si>
  <si>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</si>
  <si>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</si>
  <si>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</si>
  <si>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</si>
  <si>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</si>
  <si>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</si>
  <si>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06/2002</t>
  </si>
  <si>
    <t>07/2017</t>
  </si>
  <si>
    <t>Milan SD</t>
  </si>
  <si>
    <t>EdJobsNN - Project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</si>
</sst>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B10A-34E3-4BAD-A487-893DFBDC5A7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355</v>
      </c>
      <c r="C2" s="21">
        <v>355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112457.77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30909.48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44267.13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10302.870000000001</v>
      </c>
      <c r="G13" s="18"/>
      <c r="H13" s="18">
        <v>54482.720000000001</v>
      </c>
      <c r="I13" s="18"/>
      <c r="J13" s="67">
        <f>SUM(I434)</f>
        <v>330128.89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1144.0999999999999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197937.25</v>
      </c>
      <c r="G19" s="41">
        <f>SUM(G9:G18)</f>
        <v>1144.0999999999999</v>
      </c>
      <c r="H19" s="41">
        <f>SUM(H9:H18)</f>
        <v>54482.720000000001</v>
      </c>
      <c r="I19" s="41">
        <f>SUM(I9:I18)</f>
        <v>0</v>
      </c>
      <c r="J19" s="41">
        <f>SUM(J9:J18)</f>
        <v>330128.89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f>106468.18-105674.48</f>
        <v>793.69999999999709</v>
      </c>
      <c r="H23" s="18">
        <v>43473.43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17905.32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11009.29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17905.32</v>
      </c>
      <c r="G33" s="41">
        <f>SUM(G23:G32)</f>
        <v>793.69999999999709</v>
      </c>
      <c r="H33" s="41">
        <f>SUM(H23:H32)</f>
        <v>54482.720000000001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350.4</v>
      </c>
      <c r="H41" s="18"/>
      <c r="I41" s="18"/>
      <c r="J41" s="13">
        <f>SUM(I449)</f>
        <v>330128.89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175031.93</f>
        <v>175031.93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180031.93</v>
      </c>
      <c r="G43" s="41">
        <f>SUM(G35:G42)</f>
        <v>350.4</v>
      </c>
      <c r="H43" s="41">
        <f>SUM(H35:H42)</f>
        <v>0</v>
      </c>
      <c r="I43" s="41">
        <f>SUM(I35:I42)</f>
        <v>0</v>
      </c>
      <c r="J43" s="41">
        <f>SUM(J35:J42)</f>
        <v>330128.89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197937.25</v>
      </c>
      <c r="G44" s="41">
        <f>G43+G33</f>
        <v>1144.0999999999972</v>
      </c>
      <c r="H44" s="41">
        <f>H43+H33</f>
        <v>54482.720000000001</v>
      </c>
      <c r="I44" s="41">
        <f>I43+I33</f>
        <v>0</v>
      </c>
      <c r="J44" s="41">
        <f>J43+J33</f>
        <v>330128.89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814308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814308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182005.33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182005.33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632.04</v>
      </c>
      <c r="G88" s="18"/>
      <c r="H88" s="18"/>
      <c r="I88" s="18"/>
      <c r="J88" s="18">
        <v>483.83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22741.61+13</f>
        <v>22754.61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7000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14501.71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2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52028.95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59662.99</v>
      </c>
      <c r="G103" s="41">
        <f>SUM(G88:G102)</f>
        <v>22754.61</v>
      </c>
      <c r="H103" s="41">
        <f>SUM(H88:H102)</f>
        <v>14501.71</v>
      </c>
      <c r="I103" s="41">
        <f>SUM(I88:I102)</f>
        <v>0</v>
      </c>
      <c r="J103" s="41">
        <f>SUM(J88:J102)</f>
        <v>483.83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1055976.32</v>
      </c>
      <c r="G104" s="41">
        <f>G52+G103</f>
        <v>22754.61</v>
      </c>
      <c r="H104" s="41">
        <f>H52+H71+H86+H103</f>
        <v>14501.71</v>
      </c>
      <c r="I104" s="41">
        <f>I52+I103</f>
        <v>0</v>
      </c>
      <c r="J104" s="41">
        <f>J52+J103</f>
        <v>483.83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1099814.06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246896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39889.94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1386600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72267.31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12685.13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485.59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84952.44</v>
      </c>
      <c r="G128" s="41">
        <f>SUM(G115:G127)</f>
        <v>485.59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1471552.44</v>
      </c>
      <c r="G132" s="41">
        <f>G113+SUM(G128:G129)</f>
        <v>485.59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21892.71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52223.59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11633.72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39714.6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16249.8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29933.73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46183.53</v>
      </c>
      <c r="G154" s="41">
        <f>SUM(G142:G153)</f>
        <v>11633.72</v>
      </c>
      <c r="H154" s="41">
        <f>SUM(H142:H153)</f>
        <v>113830.9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f>4351.41+4923.09</f>
        <v>9274.5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55458.03</v>
      </c>
      <c r="G161" s="41">
        <f>G139+G154+SUM(G155:G160)</f>
        <v>11633.72</v>
      </c>
      <c r="H161" s="41">
        <f>H139+H154+SUM(H155:H160)</f>
        <v>113830.9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2582986.7899999996</v>
      </c>
      <c r="G185" s="47">
        <f>G104+G132+G161+G184</f>
        <v>34873.919999999998</v>
      </c>
      <c r="H185" s="47">
        <f>H104+H132+H161+H184</f>
        <v>128332.60999999999</v>
      </c>
      <c r="I185" s="47">
        <f>I104+I132+I161+I184</f>
        <v>0</v>
      </c>
      <c r="J185" s="47">
        <f>J104+J132+J184</f>
        <v>15483.83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317928.92+123.75</f>
        <v>318052.67</v>
      </c>
      <c r="G189" s="18">
        <f>125932.1+9.46</f>
        <v>125941.56000000001</v>
      </c>
      <c r="H189" s="18">
        <f>2842.35</f>
        <v>2842.35</v>
      </c>
      <c r="I189" s="18">
        <v>20602.04</v>
      </c>
      <c r="J189" s="18">
        <v>13256.05</v>
      </c>
      <c r="K189" s="18">
        <v>663.5</v>
      </c>
      <c r="L189" s="19">
        <f>SUM(F189:K189)</f>
        <v>481358.16999999993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83538.53</f>
        <v>83538.53</v>
      </c>
      <c r="G190" s="18">
        <f>26591.75</f>
        <v>26591.75</v>
      </c>
      <c r="H190" s="18">
        <f>3.78+485.76+41.6</f>
        <v>531.14</v>
      </c>
      <c r="I190" s="18">
        <f>789.1</f>
        <v>789.1</v>
      </c>
      <c r="J190" s="18"/>
      <c r="K190" s="18"/>
      <c r="L190" s="19">
        <f>SUM(F190:K190)</f>
        <v>111450.52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2063.25</f>
        <v>2063.25</v>
      </c>
      <c r="G192" s="18">
        <v>256.33999999999997</v>
      </c>
      <c r="H192" s="18"/>
      <c r="I192" s="18">
        <v>6.94</v>
      </c>
      <c r="J192" s="18"/>
      <c r="K192" s="18"/>
      <c r="L192" s="19">
        <f>SUM(F192:K192)</f>
        <v>2326.5300000000002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16123.1+14288.98</f>
        <v>30412.080000000002</v>
      </c>
      <c r="G194" s="18">
        <f>1432.65+1299.84</f>
        <v>2732.49</v>
      </c>
      <c r="H194" s="18">
        <f>935+2346+6333.46+1230+279+22129.68+34329.68+21450</f>
        <v>89032.82</v>
      </c>
      <c r="I194" s="18">
        <f>1942.26+1073.16</f>
        <v>3015.42</v>
      </c>
      <c r="J194" s="18">
        <f>159.95</f>
        <v>159.94999999999999</v>
      </c>
      <c r="K194" s="18"/>
      <c r="L194" s="19">
        <f t="shared" ref="L194:L200" si="0">SUM(F194:K194)</f>
        <v>125352.76000000001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1479.3+22622.58</f>
        <v>24101.88</v>
      </c>
      <c r="G195" s="18">
        <f>153.23+9798.19</f>
        <v>9951.42</v>
      </c>
      <c r="H195" s="18">
        <f>2360+1200+289</f>
        <v>3849</v>
      </c>
      <c r="I195" s="18">
        <f>367.92+2479.85</f>
        <v>2847.77</v>
      </c>
      <c r="J195" s="18">
        <v>2101.5</v>
      </c>
      <c r="K195" s="18">
        <v>666</v>
      </c>
      <c r="L195" s="19">
        <f t="shared" si="0"/>
        <v>43517.57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2800*0.552</f>
        <v>1545.6000000000001</v>
      </c>
      <c r="G196" s="18">
        <f>222.32*0.552</f>
        <v>122.72064</v>
      </c>
      <c r="H196" s="18">
        <f>(525+2568.8+3525+115175)*0.552</f>
        <v>67230.17760000001</v>
      </c>
      <c r="I196" s="18">
        <f>(450+223.61)*0.552</f>
        <v>371.83272000000005</v>
      </c>
      <c r="J196" s="18"/>
      <c r="K196" s="18">
        <f>(2837.42+180)*0.552</f>
        <v>1665.6158400000002</v>
      </c>
      <c r="L196" s="19">
        <f t="shared" si="0"/>
        <v>70935.94680000002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89684.32</v>
      </c>
      <c r="G197" s="18">
        <v>33392.589999999997</v>
      </c>
      <c r="H197" s="18">
        <f>2253.68+4520.68</f>
        <v>6774.3600000000006</v>
      </c>
      <c r="I197" s="18">
        <v>3202.83</v>
      </c>
      <c r="J197" s="18"/>
      <c r="K197" s="18">
        <v>1773</v>
      </c>
      <c r="L197" s="19">
        <f t="shared" si="0"/>
        <v>134827.1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52917.65</v>
      </c>
      <c r="G199" s="18">
        <v>31087.25</v>
      </c>
      <c r="H199" s="18">
        <f>13514.24+11449.09+4593.7</f>
        <v>29557.030000000002</v>
      </c>
      <c r="I199" s="18">
        <v>59740.26</v>
      </c>
      <c r="J199" s="18">
        <v>4108.43</v>
      </c>
      <c r="K199" s="18"/>
      <c r="L199" s="19">
        <f t="shared" si="0"/>
        <v>177410.62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((2278.74+120788.55)*0.552)+2852.26+1881.25</f>
        <v>72666.654080000008</v>
      </c>
      <c r="I200" s="18">
        <f>17848.31*0.552</f>
        <v>9852.2671200000023</v>
      </c>
      <c r="J200" s="18"/>
      <c r="K200" s="18"/>
      <c r="L200" s="19">
        <f t="shared" si="0"/>
        <v>82518.921200000012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602315.98</v>
      </c>
      <c r="G203" s="41">
        <f t="shared" si="1"/>
        <v>230076.12064000001</v>
      </c>
      <c r="H203" s="41">
        <f t="shared" si="1"/>
        <v>272483.53168000001</v>
      </c>
      <c r="I203" s="41">
        <f t="shared" si="1"/>
        <v>100428.45984</v>
      </c>
      <c r="J203" s="41">
        <f t="shared" si="1"/>
        <v>19625.93</v>
      </c>
      <c r="K203" s="41">
        <f t="shared" si="1"/>
        <v>4768.1158400000004</v>
      </c>
      <c r="L203" s="41">
        <f t="shared" si="1"/>
        <v>1229698.138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287582.76</v>
      </c>
      <c r="I207" s="18"/>
      <c r="J207" s="18"/>
      <c r="K207" s="18"/>
      <c r="L207" s="19">
        <f>SUM(F207:K207)</f>
        <v>287582.76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11234.12</v>
      </c>
      <c r="I208" s="18"/>
      <c r="J208" s="18"/>
      <c r="K208" s="18"/>
      <c r="L208" s="19">
        <f>SUM(F208:K208)</f>
        <v>11234.12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385</v>
      </c>
      <c r="G210" s="18">
        <v>29.46</v>
      </c>
      <c r="H210" s="18"/>
      <c r="I210" s="18"/>
      <c r="J210" s="18"/>
      <c r="K210" s="18"/>
      <c r="L210" s="19">
        <f>SUM(F210:K210)</f>
        <v>414.46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>
        <f>4874.16</f>
        <v>4874.16</v>
      </c>
      <c r="I212" s="18"/>
      <c r="J212" s="18"/>
      <c r="K212" s="18"/>
      <c r="L212" s="19">
        <f t="shared" ref="L212:L218" si="2">SUM(F212:K212)</f>
        <v>4874.16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2800*0.119</f>
        <v>333.2</v>
      </c>
      <c r="G214" s="18">
        <f>222.32*0.119</f>
        <v>26.456079999999996</v>
      </c>
      <c r="H214" s="18">
        <f>(525+2568.8+3525+115175)*0.119</f>
        <v>14493.4622</v>
      </c>
      <c r="I214" s="18">
        <f>(450+223.61)*0.119</f>
        <v>80.159589999999994</v>
      </c>
      <c r="J214" s="18"/>
      <c r="K214" s="18">
        <f>(2837.42+180)*0.119</f>
        <v>359.07297999999997</v>
      </c>
      <c r="L214" s="19">
        <f t="shared" si="2"/>
        <v>15292.350850000001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((2278.74+120788.55)*0.119)+1391.25</f>
        <v>16036.257509999999</v>
      </c>
      <c r="I218" s="18">
        <f>17848.31*0.119</f>
        <v>2123.9488900000001</v>
      </c>
      <c r="J218" s="18"/>
      <c r="K218" s="18"/>
      <c r="L218" s="19">
        <f t="shared" si="2"/>
        <v>18160.206399999999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718.2</v>
      </c>
      <c r="G221" s="41">
        <f>SUM(G207:G220)</f>
        <v>55.916079999999994</v>
      </c>
      <c r="H221" s="41">
        <f>SUM(H207:H220)</f>
        <v>334220.75971000001</v>
      </c>
      <c r="I221" s="41">
        <f>SUM(I207:I220)</f>
        <v>2204.1084800000003</v>
      </c>
      <c r="J221" s="41">
        <f>SUM(J207:J220)</f>
        <v>0</v>
      </c>
      <c r="K221" s="41">
        <f t="shared" si="3"/>
        <v>359.07297999999997</v>
      </c>
      <c r="L221" s="41">
        <f t="shared" si="3"/>
        <v>337558.05725000001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658675.72</v>
      </c>
      <c r="I225" s="18"/>
      <c r="J225" s="18"/>
      <c r="K225" s="18"/>
      <c r="L225" s="19">
        <f>SUM(F225:K225)</f>
        <v>658675.72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39145</v>
      </c>
      <c r="G226" s="18">
        <v>12364.63</v>
      </c>
      <c r="H226" s="18">
        <f>89457.7+41943.61</f>
        <v>131401.31</v>
      </c>
      <c r="I226" s="18"/>
      <c r="J226" s="18"/>
      <c r="K226" s="18"/>
      <c r="L226" s="19">
        <f>SUM(F226:K226)</f>
        <v>182910.94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4851.92</v>
      </c>
      <c r="G228" s="18">
        <v>371.18</v>
      </c>
      <c r="H228" s="18">
        <f>6698.17+530</f>
        <v>7228.17</v>
      </c>
      <c r="I228" s="18"/>
      <c r="J228" s="18"/>
      <c r="K228" s="18"/>
      <c r="L228" s="19">
        <f>SUM(F228:K228)</f>
        <v>12451.27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1400+5430.16+546.25+91.4</f>
        <v>7467.8099999999995</v>
      </c>
      <c r="I230" s="18"/>
      <c r="J230" s="18"/>
      <c r="K230" s="18"/>
      <c r="L230" s="19">
        <f t="shared" ref="L230:L236" si="4">SUM(F230:K230)</f>
        <v>7467.8099999999995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2800*0.329</f>
        <v>921.2</v>
      </c>
      <c r="G232" s="18">
        <f>222.32*0.329</f>
        <v>73.143280000000004</v>
      </c>
      <c r="H232" s="18">
        <f>(525+2568.8+3525+115175)*0.329</f>
        <v>40070.160200000006</v>
      </c>
      <c r="I232" s="18">
        <f>(450+223.61)*0.329</f>
        <v>221.61769000000001</v>
      </c>
      <c r="J232" s="18"/>
      <c r="K232" s="18">
        <f>(2837.42+180)*0.329</f>
        <v>992.73118000000011</v>
      </c>
      <c r="L232" s="19">
        <f t="shared" si="4"/>
        <v>42278.852350000008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((2278.74+120788.55)*0.329)+12755.14</f>
        <v>53244.278410000006</v>
      </c>
      <c r="I236" s="18">
        <f>17848.31*0.329</f>
        <v>5872.0939900000003</v>
      </c>
      <c r="J236" s="18"/>
      <c r="K236" s="18"/>
      <c r="L236" s="19">
        <f t="shared" si="4"/>
        <v>59116.372400000007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44918.119999999995</v>
      </c>
      <c r="G239" s="41">
        <f t="shared" si="5"/>
        <v>12808.95328</v>
      </c>
      <c r="H239" s="41">
        <f t="shared" si="5"/>
        <v>898087.4486100002</v>
      </c>
      <c r="I239" s="41">
        <f t="shared" si="5"/>
        <v>6093.7116800000003</v>
      </c>
      <c r="J239" s="41">
        <f t="shared" si="5"/>
        <v>0</v>
      </c>
      <c r="K239" s="41">
        <f t="shared" si="5"/>
        <v>992.73118000000011</v>
      </c>
      <c r="L239" s="41">
        <f t="shared" si="5"/>
        <v>962900.96475000004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3030</v>
      </c>
      <c r="G245" s="18">
        <v>333.61</v>
      </c>
      <c r="H245" s="18">
        <f>1770+804</f>
        <v>2574</v>
      </c>
      <c r="I245" s="18">
        <v>672.66</v>
      </c>
      <c r="J245" s="18"/>
      <c r="K245" s="18">
        <v>383</v>
      </c>
      <c r="L245" s="19">
        <f t="shared" si="6"/>
        <v>6993.27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3030</v>
      </c>
      <c r="G248" s="41">
        <f t="shared" si="7"/>
        <v>333.61</v>
      </c>
      <c r="H248" s="41">
        <f t="shared" si="7"/>
        <v>2574</v>
      </c>
      <c r="I248" s="41">
        <f t="shared" si="7"/>
        <v>672.66</v>
      </c>
      <c r="J248" s="41">
        <f t="shared" si="7"/>
        <v>0</v>
      </c>
      <c r="K248" s="41">
        <f t="shared" si="7"/>
        <v>383</v>
      </c>
      <c r="L248" s="41">
        <f>SUM(F248:K248)</f>
        <v>6993.27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650982.29999999993</v>
      </c>
      <c r="G249" s="41">
        <f t="shared" si="8"/>
        <v>243274.59999999998</v>
      </c>
      <c r="H249" s="41">
        <f t="shared" si="8"/>
        <v>1507365.7400000002</v>
      </c>
      <c r="I249" s="41">
        <f t="shared" si="8"/>
        <v>109398.94</v>
      </c>
      <c r="J249" s="41">
        <f t="shared" si="8"/>
        <v>19625.93</v>
      </c>
      <c r="K249" s="41">
        <f t="shared" si="8"/>
        <v>6502.92</v>
      </c>
      <c r="L249" s="41">
        <f t="shared" si="8"/>
        <v>2537150.4300000002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175000</v>
      </c>
      <c r="L252" s="19">
        <f>SUM(F252:K252)</f>
        <v>175000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56732.5</v>
      </c>
      <c r="L253" s="19">
        <f>SUM(F253:K253)</f>
        <v>56732.5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</v>
      </c>
      <c r="L258" s="19">
        <f t="shared" si="9"/>
        <v>15000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5450</v>
      </c>
      <c r="L260" s="19">
        <f t="shared" si="9"/>
        <v>5450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252182.5</v>
      </c>
      <c r="L262" s="41">
        <f t="shared" si="9"/>
        <v>252182.5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650982.29999999993</v>
      </c>
      <c r="G263" s="42">
        <f t="shared" si="11"/>
        <v>243274.59999999998</v>
      </c>
      <c r="H263" s="42">
        <f t="shared" si="11"/>
        <v>1507365.7400000002</v>
      </c>
      <c r="I263" s="42">
        <f t="shared" si="11"/>
        <v>109398.94</v>
      </c>
      <c r="J263" s="42">
        <f t="shared" si="11"/>
        <v>19625.93</v>
      </c>
      <c r="K263" s="42">
        <f t="shared" si="11"/>
        <v>258685.42</v>
      </c>
      <c r="L263" s="42">
        <f t="shared" si="11"/>
        <v>2789332.93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1949.08+25388.61+832.41+9105.29+3762.21+2853.46</f>
        <v>43891.06</v>
      </c>
      <c r="G268" s="18">
        <f>19223.76+287.79+218.27</f>
        <v>19729.82</v>
      </c>
      <c r="H268" s="18"/>
      <c r="I268" s="18">
        <f>43.72+109.69+880</f>
        <v>1033.4100000000001</v>
      </c>
      <c r="J268" s="18">
        <f>23.24</f>
        <v>23.24</v>
      </c>
      <c r="K268" s="18"/>
      <c r="L268" s="19">
        <f>SUM(F268:K268)</f>
        <v>64677.53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28980.9+7224.61</f>
        <v>36205.51</v>
      </c>
      <c r="G269" s="18">
        <f>1560.73</f>
        <v>1560.73</v>
      </c>
      <c r="H269" s="18"/>
      <c r="I269" s="18">
        <v>12.96</v>
      </c>
      <c r="J269" s="18"/>
      <c r="K269" s="18"/>
      <c r="L269" s="19">
        <f>SUM(F269:K269)</f>
        <v>37779.200000000004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70</v>
      </c>
      <c r="I271" s="18"/>
      <c r="J271" s="18"/>
      <c r="K271" s="18"/>
      <c r="L271" s="19">
        <f>SUM(F271:K271)</f>
        <v>70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480.42</v>
      </c>
      <c r="I273" s="18"/>
      <c r="J273" s="18"/>
      <c r="K273" s="18"/>
      <c r="L273" s="19">
        <f t="shared" ref="L273:L279" si="12">SUM(F273:K273)</f>
        <v>480.42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4525</v>
      </c>
      <c r="G274" s="18">
        <v>685.29</v>
      </c>
      <c r="H274" s="18">
        <f>339.5+170</f>
        <v>509.5</v>
      </c>
      <c r="I274" s="18"/>
      <c r="J274" s="18"/>
      <c r="K274" s="18"/>
      <c r="L274" s="19">
        <f t="shared" si="12"/>
        <v>5719.79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>
        <v>443</v>
      </c>
      <c r="J276" s="18"/>
      <c r="K276" s="18">
        <v>35</v>
      </c>
      <c r="L276" s="19">
        <f t="shared" si="12"/>
        <v>478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985.35+719.87+863.21+16.33+513.4+14.21+453.3</f>
        <v>3565.6700000000005</v>
      </c>
      <c r="L277" s="19">
        <f t="shared" si="12"/>
        <v>3565.6700000000005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84621.57</v>
      </c>
      <c r="G282" s="42">
        <f t="shared" si="13"/>
        <v>21975.84</v>
      </c>
      <c r="H282" s="42">
        <f t="shared" si="13"/>
        <v>1059.92</v>
      </c>
      <c r="I282" s="42">
        <f t="shared" si="13"/>
        <v>1489.3700000000001</v>
      </c>
      <c r="J282" s="42">
        <f t="shared" si="13"/>
        <v>23.24</v>
      </c>
      <c r="K282" s="42">
        <f t="shared" si="13"/>
        <v>3600.6700000000005</v>
      </c>
      <c r="L282" s="41">
        <f t="shared" si="13"/>
        <v>112770.61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>
        <v>462</v>
      </c>
      <c r="J327" s="18"/>
      <c r="K327" s="18"/>
      <c r="L327" s="19">
        <f t="shared" si="18"/>
        <v>462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462</v>
      </c>
      <c r="J329" s="41">
        <f t="shared" si="19"/>
        <v>0</v>
      </c>
      <c r="K329" s="41">
        <f t="shared" si="19"/>
        <v>0</v>
      </c>
      <c r="L329" s="41">
        <f t="shared" si="18"/>
        <v>462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84621.57</v>
      </c>
      <c r="G330" s="41">
        <f t="shared" si="20"/>
        <v>21975.84</v>
      </c>
      <c r="H330" s="41">
        <f t="shared" si="20"/>
        <v>1059.92</v>
      </c>
      <c r="I330" s="41">
        <f t="shared" si="20"/>
        <v>1951.3700000000001</v>
      </c>
      <c r="J330" s="41">
        <f t="shared" si="20"/>
        <v>23.24</v>
      </c>
      <c r="K330" s="41">
        <f t="shared" si="20"/>
        <v>3600.6700000000005</v>
      </c>
      <c r="L330" s="41">
        <f t="shared" si="20"/>
        <v>113232.61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15100</v>
      </c>
      <c r="L342" s="19">
        <f t="shared" si="21"/>
        <v>15100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15100</v>
      </c>
      <c r="L343" s="41">
        <f>SUM(L333:L342)</f>
        <v>15100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84621.57</v>
      </c>
      <c r="G344" s="41">
        <f>G330</f>
        <v>21975.84</v>
      </c>
      <c r="H344" s="41">
        <f>H330</f>
        <v>1059.92</v>
      </c>
      <c r="I344" s="41">
        <f>I330</f>
        <v>1951.3700000000001</v>
      </c>
      <c r="J344" s="41">
        <f>J330</f>
        <v>23.24</v>
      </c>
      <c r="K344" s="47">
        <f>K330+K343</f>
        <v>18700.670000000002</v>
      </c>
      <c r="L344" s="41">
        <f>L330+L343</f>
        <v>128332.61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34719</v>
      </c>
      <c r="I350" s="18"/>
      <c r="J350" s="18"/>
      <c r="K350" s="18"/>
      <c r="L350" s="13">
        <f>SUM(F350:K350)</f>
        <v>34719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34719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34719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186.92</v>
      </c>
      <c r="I381" s="18"/>
      <c r="J381" s="24" t="s">
        <v>312</v>
      </c>
      <c r="K381" s="24" t="s">
        <v>312</v>
      </c>
      <c r="L381" s="56">
        <f t="shared" si="25"/>
        <v>186.92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46.34</v>
      </c>
      <c r="I384" s="18"/>
      <c r="J384" s="24" t="s">
        <v>312</v>
      </c>
      <c r="K384" s="24" t="s">
        <v>312</v>
      </c>
      <c r="L384" s="56">
        <f t="shared" si="25"/>
        <v>46.34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233.26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233.26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226.16</v>
      </c>
      <c r="I390" s="18"/>
      <c r="J390" s="24" t="s">
        <v>312</v>
      </c>
      <c r="K390" s="24" t="s">
        <v>312</v>
      </c>
      <c r="L390" s="56">
        <f t="shared" si="26"/>
        <v>226.16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10000</v>
      </c>
      <c r="H391" s="18">
        <v>13.9</v>
      </c>
      <c r="I391" s="18"/>
      <c r="J391" s="24" t="s">
        <v>312</v>
      </c>
      <c r="K391" s="24" t="s">
        <v>312</v>
      </c>
      <c r="L391" s="56">
        <f t="shared" si="26"/>
        <v>10013.9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5000</v>
      </c>
      <c r="H392" s="18">
        <v>10.51</v>
      </c>
      <c r="I392" s="18"/>
      <c r="J392" s="24" t="s">
        <v>312</v>
      </c>
      <c r="K392" s="24" t="s">
        <v>312</v>
      </c>
      <c r="L392" s="56">
        <f t="shared" si="26"/>
        <v>5010.51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</v>
      </c>
      <c r="H393" s="47">
        <f>SUM(H387:H392)</f>
        <v>250.57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15250.57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</v>
      </c>
      <c r="H400" s="47">
        <f>H385+H393+H399</f>
        <v>483.83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15483.83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4500</v>
      </c>
      <c r="L407" s="56">
        <f t="shared" si="27"/>
        <v>4500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4500</v>
      </c>
      <c r="L411" s="47">
        <f t="shared" si="28"/>
        <v>4500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4500</v>
      </c>
      <c r="L426" s="47">
        <f t="shared" si="32"/>
        <v>4500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121460.75+31261.64</f>
        <v>152722.39000000001</v>
      </c>
      <c r="G434" s="18">
        <f>152215.1+751.92+14423.19+10016.29</f>
        <v>177406.50000000003</v>
      </c>
      <c r="H434" s="18"/>
      <c r="I434" s="56">
        <f t="shared" si="33"/>
        <v>330128.89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152722.39000000001</v>
      </c>
      <c r="G438" s="13">
        <f>SUM(G431:G437)</f>
        <v>177406.50000000003</v>
      </c>
      <c r="H438" s="13">
        <f>SUM(H431:H437)</f>
        <v>0</v>
      </c>
      <c r="I438" s="13">
        <f>SUM(I431:I437)</f>
        <v>330128.89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152722.39000000001</v>
      </c>
      <c r="G449" s="18">
        <v>177406.5</v>
      </c>
      <c r="H449" s="18"/>
      <c r="I449" s="56">
        <f>SUM(F449:H449)</f>
        <v>330128.89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152722.39000000001</v>
      </c>
      <c r="G450" s="83">
        <f>SUM(G446:G449)</f>
        <v>177406.5</v>
      </c>
      <c r="H450" s="83">
        <f>SUM(H446:H449)</f>
        <v>0</v>
      </c>
      <c r="I450" s="83">
        <f>SUM(I446:I449)</f>
        <v>330128.89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152722.39000000001</v>
      </c>
      <c r="G451" s="42">
        <f>G444+G450</f>
        <v>177406.5</v>
      </c>
      <c r="H451" s="42">
        <f>H444+H450</f>
        <v>0</v>
      </c>
      <c r="I451" s="42">
        <f>I444+I450</f>
        <v>330128.89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386378.07</v>
      </c>
      <c r="G455" s="18">
        <v>195.48</v>
      </c>
      <c r="H455" s="18">
        <v>0</v>
      </c>
      <c r="I455" s="18"/>
      <c r="J455" s="18">
        <v>319145.06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2582986.79</v>
      </c>
      <c r="G458" s="18">
        <v>34873.919999999998</v>
      </c>
      <c r="H458" s="18">
        <v>128332.61</v>
      </c>
      <c r="I458" s="18"/>
      <c r="J458" s="18">
        <f>15483.83</f>
        <v>15483.83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2582986.79</v>
      </c>
      <c r="G460" s="53">
        <f>SUM(G458:G459)</f>
        <v>34873.919999999998</v>
      </c>
      <c r="H460" s="53">
        <f>SUM(H458:H459)</f>
        <v>128332.61</v>
      </c>
      <c r="I460" s="53">
        <f>SUM(I458:I459)</f>
        <v>0</v>
      </c>
      <c r="J460" s="53">
        <f>SUM(J458:J459)</f>
        <v>15483.83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2789332.93</v>
      </c>
      <c r="G462" s="18">
        <v>34719</v>
      </c>
      <c r="H462" s="18">
        <v>128332.61</v>
      </c>
      <c r="I462" s="18"/>
      <c r="J462" s="18">
        <v>4500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2789332.93</v>
      </c>
      <c r="G464" s="53">
        <f>SUM(G462:G463)</f>
        <v>34719</v>
      </c>
      <c r="H464" s="53">
        <f>SUM(H462:H463)</f>
        <v>128332.61</v>
      </c>
      <c r="I464" s="53">
        <f>SUM(I462:I463)</f>
        <v>0</v>
      </c>
      <c r="J464" s="53">
        <f>SUM(J462:J463)</f>
        <v>4500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180031.9299999997</v>
      </c>
      <c r="G466" s="53">
        <f>(G455+G460)- G464</f>
        <v>350.40000000000146</v>
      </c>
      <c r="H466" s="53">
        <f>(H455+H460)- H464</f>
        <v>0</v>
      </c>
      <c r="I466" s="53">
        <f>(I455+I460)- I464</f>
        <v>0</v>
      </c>
      <c r="J466" s="53">
        <f>(J455+J460)- J464</f>
        <v>330128.89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2600000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4.38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1375000</v>
      </c>
      <c r="G485" s="18"/>
      <c r="H485" s="18"/>
      <c r="I485" s="18"/>
      <c r="J485" s="18"/>
      <c r="K485" s="53">
        <f>SUM(F485:J485)</f>
        <v>1375000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175000</v>
      </c>
      <c r="G487" s="18"/>
      <c r="H487" s="18"/>
      <c r="I487" s="18"/>
      <c r="J487" s="18"/>
      <c r="K487" s="53">
        <f t="shared" si="34"/>
        <v>175000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1200000</v>
      </c>
      <c r="G488" s="205"/>
      <c r="H488" s="205"/>
      <c r="I488" s="205"/>
      <c r="J488" s="205"/>
      <c r="K488" s="206">
        <f t="shared" si="34"/>
        <v>1200000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241537.5-56732.5</f>
        <v>184805</v>
      </c>
      <c r="G489" s="18"/>
      <c r="H489" s="18"/>
      <c r="I489" s="18"/>
      <c r="J489" s="18"/>
      <c r="K489" s="53">
        <f t="shared" si="34"/>
        <v>184805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1384805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1384805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175000</v>
      </c>
      <c r="G491" s="205"/>
      <c r="H491" s="205"/>
      <c r="I491" s="205"/>
      <c r="J491" s="205"/>
      <c r="K491" s="206">
        <f t="shared" si="34"/>
        <v>175000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49120</v>
      </c>
      <c r="G492" s="18"/>
      <c r="H492" s="18"/>
      <c r="I492" s="18"/>
      <c r="J492" s="18"/>
      <c r="K492" s="53">
        <f t="shared" si="34"/>
        <v>49120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224120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224120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16258</v>
      </c>
      <c r="G497" s="144"/>
      <c r="H497" s="144"/>
      <c r="I497" s="144">
        <v>15713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33000</v>
      </c>
      <c r="G501" s="24" t="s">
        <v>312</v>
      </c>
      <c r="H501" s="18">
        <v>33000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3160490</v>
      </c>
      <c r="G503" s="24" t="s">
        <v>312</v>
      </c>
      <c r="H503" s="18">
        <v>3090560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50764</v>
      </c>
      <c r="G504" s="24" t="s">
        <v>312</v>
      </c>
      <c r="H504" s="18">
        <v>44705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3244254</v>
      </c>
      <c r="G507" s="42">
        <f>SUM(G501:G506)</f>
        <v>0</v>
      </c>
      <c r="H507" s="42">
        <f>SUM(H501:H506)</f>
        <v>3168265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83538.53+2063.25+28980.9+7224.61</f>
        <v>121807.29</v>
      </c>
      <c r="G511" s="18">
        <f>26591.75+256.34+1560.73</f>
        <v>28408.82</v>
      </c>
      <c r="H511" s="18">
        <f>489.54+41.6</f>
        <v>531.14</v>
      </c>
      <c r="I511" s="18">
        <f>12.96+789.1+6.94</f>
        <v>809.00000000000011</v>
      </c>
      <c r="J511" s="18"/>
      <c r="K511" s="18"/>
      <c r="L511" s="88">
        <f>SUM(F511:K511)</f>
        <v>151556.25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385</f>
        <v>385</v>
      </c>
      <c r="G512" s="18">
        <f>29.46</f>
        <v>29.46</v>
      </c>
      <c r="H512" s="18">
        <f>11234.12</f>
        <v>11234.12</v>
      </c>
      <c r="I512" s="18"/>
      <c r="J512" s="18"/>
      <c r="K512" s="18"/>
      <c r="L512" s="88">
        <f>SUM(F512:K512)</f>
        <v>11648.58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39145+4851.92</f>
        <v>43996.92</v>
      </c>
      <c r="G513" s="18">
        <f>12364.63+371.18</f>
        <v>12735.81</v>
      </c>
      <c r="H513" s="18">
        <f>89457.7+41943.61+6698.17+530</f>
        <v>138629.48000000001</v>
      </c>
      <c r="I513" s="18"/>
      <c r="J513" s="18"/>
      <c r="K513" s="18"/>
      <c r="L513" s="88">
        <f>SUM(F513:K513)</f>
        <v>195362.21000000002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166189.21</v>
      </c>
      <c r="G514" s="108">
        <f t="shared" ref="G514:L514" si="35">SUM(G511:G513)</f>
        <v>41174.089999999997</v>
      </c>
      <c r="H514" s="108">
        <f t="shared" si="35"/>
        <v>150394.74000000002</v>
      </c>
      <c r="I514" s="108">
        <f t="shared" si="35"/>
        <v>809.00000000000011</v>
      </c>
      <c r="J514" s="108">
        <f t="shared" si="35"/>
        <v>0</v>
      </c>
      <c r="K514" s="108">
        <f t="shared" si="35"/>
        <v>0</v>
      </c>
      <c r="L514" s="89">
        <f t="shared" si="35"/>
        <v>358567.04000000004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2346+6333.46+1230+480.42+22129.68+34329.68+21450</f>
        <v>88299.239999999991</v>
      </c>
      <c r="I516" s="18"/>
      <c r="J516" s="18"/>
      <c r="K516" s="18"/>
      <c r="L516" s="88">
        <f>SUM(F516:K516)</f>
        <v>88299.239999999991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f>4874.16</f>
        <v>4874.16</v>
      </c>
      <c r="I517" s="18"/>
      <c r="J517" s="18"/>
      <c r="K517" s="18"/>
      <c r="L517" s="88">
        <f>SUM(F517:K517)</f>
        <v>4874.16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1400+5430.16+637.65</f>
        <v>7467.8099999999995</v>
      </c>
      <c r="I518" s="18"/>
      <c r="J518" s="18"/>
      <c r="K518" s="18"/>
      <c r="L518" s="88">
        <f>SUM(F518:K518)</f>
        <v>7467.8099999999995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100641.20999999999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100641.20999999999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1800+9186.1</f>
        <v>10986.1</v>
      </c>
      <c r="I521" s="18"/>
      <c r="J521" s="18"/>
      <c r="K521" s="18">
        <v>453.3</v>
      </c>
      <c r="L521" s="88">
        <f>SUM(F521:K521)</f>
        <v>11439.4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4344.78</v>
      </c>
      <c r="I522" s="18"/>
      <c r="J522" s="18"/>
      <c r="K522" s="18"/>
      <c r="L522" s="88">
        <f>SUM(F522:K522)</f>
        <v>4344.78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8689.5499999999993</v>
      </c>
      <c r="I523" s="18"/>
      <c r="J523" s="18"/>
      <c r="K523" s="18"/>
      <c r="L523" s="88">
        <f>SUM(F523:K523)</f>
        <v>8689.5499999999993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24020.43</v>
      </c>
      <c r="I524" s="89">
        <f t="shared" si="37"/>
        <v>0</v>
      </c>
      <c r="J524" s="89">
        <f t="shared" si="37"/>
        <v>0</v>
      </c>
      <c r="K524" s="89">
        <f t="shared" si="37"/>
        <v>453.3</v>
      </c>
      <c r="L524" s="89">
        <f t="shared" si="37"/>
        <v>24473.73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2852.26</v>
      </c>
      <c r="I531" s="18"/>
      <c r="J531" s="18"/>
      <c r="K531" s="18"/>
      <c r="L531" s="88">
        <f>SUM(F531:K531)</f>
        <v>2852.26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1391.25</v>
      </c>
      <c r="I532" s="18"/>
      <c r="J532" s="18"/>
      <c r="K532" s="18"/>
      <c r="L532" s="88">
        <f>SUM(F532:K532)</f>
        <v>1391.25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12755.14</v>
      </c>
      <c r="I533" s="18"/>
      <c r="J533" s="18"/>
      <c r="K533" s="18"/>
      <c r="L533" s="88">
        <f>SUM(F533:K533)</f>
        <v>12755.14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16998.650000000001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16998.650000000001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166189.21</v>
      </c>
      <c r="G535" s="89">
        <f t="shared" ref="G535:L535" si="40">G514+G519+G524+G529+G534</f>
        <v>41174.089999999997</v>
      </c>
      <c r="H535" s="89">
        <f t="shared" si="40"/>
        <v>292055.03000000003</v>
      </c>
      <c r="I535" s="89">
        <f t="shared" si="40"/>
        <v>809.00000000000011</v>
      </c>
      <c r="J535" s="89">
        <f t="shared" si="40"/>
        <v>0</v>
      </c>
      <c r="K535" s="89">
        <f t="shared" si="40"/>
        <v>453.3</v>
      </c>
      <c r="L535" s="89">
        <f t="shared" si="40"/>
        <v>500680.63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151556.25</v>
      </c>
      <c r="G539" s="87">
        <f>L516</f>
        <v>88299.239999999991</v>
      </c>
      <c r="H539" s="87">
        <f>L521</f>
        <v>11439.4</v>
      </c>
      <c r="I539" s="87">
        <f>L526</f>
        <v>0</v>
      </c>
      <c r="J539" s="87">
        <f>L531</f>
        <v>2852.26</v>
      </c>
      <c r="K539" s="87">
        <f>SUM(F539:J539)</f>
        <v>254147.15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11648.58</v>
      </c>
      <c r="G540" s="87">
        <f>L517</f>
        <v>4874.16</v>
      </c>
      <c r="H540" s="87">
        <f>L522</f>
        <v>4344.78</v>
      </c>
      <c r="I540" s="87">
        <f>L527</f>
        <v>0</v>
      </c>
      <c r="J540" s="87">
        <f>L532</f>
        <v>1391.25</v>
      </c>
      <c r="K540" s="87">
        <f>SUM(F540:J540)</f>
        <v>22258.769999999997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195362.21000000002</v>
      </c>
      <c r="G541" s="87">
        <f>L518</f>
        <v>7467.8099999999995</v>
      </c>
      <c r="H541" s="87">
        <f>L523</f>
        <v>8689.5499999999993</v>
      </c>
      <c r="I541" s="87">
        <f>L528</f>
        <v>0</v>
      </c>
      <c r="J541" s="87">
        <f>L533</f>
        <v>12755.14</v>
      </c>
      <c r="K541" s="87">
        <f>SUM(F541:J541)</f>
        <v>224274.71000000002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358567.04000000004</v>
      </c>
      <c r="G542" s="89">
        <f t="shared" si="41"/>
        <v>100641.20999999999</v>
      </c>
      <c r="H542" s="89">
        <f t="shared" si="41"/>
        <v>24473.73</v>
      </c>
      <c r="I542" s="89">
        <f t="shared" si="41"/>
        <v>0</v>
      </c>
      <c r="J542" s="89">
        <f t="shared" si="41"/>
        <v>16998.650000000001</v>
      </c>
      <c r="K542" s="89">
        <f t="shared" si="41"/>
        <v>500680.63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287582.76</v>
      </c>
      <c r="H565" s="18">
        <v>658675.72</v>
      </c>
      <c r="I565" s="87">
        <f>SUM(F565:H565)</f>
        <v>946258.48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485.76</v>
      </c>
      <c r="G572" s="18"/>
      <c r="H572" s="18">
        <v>41524.199999999997</v>
      </c>
      <c r="I572" s="87">
        <f t="shared" si="46"/>
        <v>42009.96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(2278.74+120788.55+17848.31)*0.552</f>
        <v>77785.411200000017</v>
      </c>
      <c r="I581" s="18">
        <f>(2278.74+120788.55+17848.31)*0.119</f>
        <v>16768.956399999999</v>
      </c>
      <c r="J581" s="18">
        <f>(2278.74+120788.55+17848.31)*0.329</f>
        <v>46361.232400000001</v>
      </c>
      <c r="K581" s="104">
        <f t="shared" ref="K581:K587" si="47">SUM(H581:J581)</f>
        <v>140915.6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2852.26</v>
      </c>
      <c r="I582" s="18">
        <v>1391.25</v>
      </c>
      <c r="J582" s="18">
        <v>12755.14</v>
      </c>
      <c r="K582" s="104">
        <f t="shared" si="47"/>
        <v>16998.650000000001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1881.25</v>
      </c>
      <c r="I585" s="18"/>
      <c r="J585" s="18"/>
      <c r="K585" s="104">
        <f t="shared" si="47"/>
        <v>1881.25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82518.921200000012</v>
      </c>
      <c r="I588" s="108">
        <f>SUM(I581:I587)</f>
        <v>18160.206399999999</v>
      </c>
      <c r="J588" s="108">
        <f>SUM(J581:J587)</f>
        <v>59116.3724</v>
      </c>
      <c r="K588" s="108">
        <f>SUM(K581:K587)</f>
        <v>159795.5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19649.169999999998</v>
      </c>
      <c r="I594" s="18"/>
      <c r="J594" s="18"/>
      <c r="K594" s="104">
        <f>SUM(H594:J594)</f>
        <v>19649.169999999998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19649.169999999998</v>
      </c>
      <c r="I595" s="108">
        <f>SUM(I592:I594)</f>
        <v>0</v>
      </c>
      <c r="J595" s="108">
        <f>SUM(J592:J594)</f>
        <v>0</v>
      </c>
      <c r="K595" s="108">
        <f>SUM(K592:K594)</f>
        <v>19649.169999999998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2063.25</f>
        <v>2063.25</v>
      </c>
      <c r="G601" s="18">
        <v>256.33999999999997</v>
      </c>
      <c r="H601" s="18"/>
      <c r="I601" s="18">
        <v>6.94</v>
      </c>
      <c r="J601" s="18"/>
      <c r="K601" s="18"/>
      <c r="L601" s="88">
        <f>SUM(F601:K601)</f>
        <v>2326.5300000000002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385</v>
      </c>
      <c r="G602" s="18">
        <v>29.46</v>
      </c>
      <c r="H602" s="18"/>
      <c r="I602" s="18"/>
      <c r="J602" s="18"/>
      <c r="K602" s="18"/>
      <c r="L602" s="88">
        <f>SUM(F602:K602)</f>
        <v>414.46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4851.92</v>
      </c>
      <c r="G603" s="18">
        <v>371.18</v>
      </c>
      <c r="H603" s="18">
        <v>530</v>
      </c>
      <c r="I603" s="18"/>
      <c r="J603" s="18"/>
      <c r="K603" s="18"/>
      <c r="L603" s="88">
        <f>SUM(F603:K603)</f>
        <v>5753.1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7300.17</v>
      </c>
      <c r="G604" s="108">
        <f t="shared" si="48"/>
        <v>656.98</v>
      </c>
      <c r="H604" s="108">
        <f t="shared" si="48"/>
        <v>530</v>
      </c>
      <c r="I604" s="108">
        <f t="shared" si="48"/>
        <v>6.94</v>
      </c>
      <c r="J604" s="108">
        <f t="shared" si="48"/>
        <v>0</v>
      </c>
      <c r="K604" s="108">
        <f t="shared" si="48"/>
        <v>0</v>
      </c>
      <c r="L604" s="89">
        <f t="shared" si="48"/>
        <v>8494.09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197937.25</v>
      </c>
      <c r="H607" s="109">
        <f>SUM(F44)</f>
        <v>197937.25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1144.0999999999999</v>
      </c>
      <c r="H608" s="109">
        <f>SUM(G44)</f>
        <v>1144.0999999999972</v>
      </c>
      <c r="I608" s="121" t="s">
        <v>102</v>
      </c>
      <c r="J608" s="109">
        <f>G608-H608</f>
        <v>2.7284841053187847E-12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54482.720000000001</v>
      </c>
      <c r="H609" s="109">
        <f>SUM(H44)</f>
        <v>54482.720000000001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330128.89</v>
      </c>
      <c r="H611" s="109">
        <f>SUM(J44)</f>
        <v>330128.89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180031.93</v>
      </c>
      <c r="H612" s="109">
        <f>F466</f>
        <v>180031.9299999997</v>
      </c>
      <c r="I612" s="121" t="s">
        <v>106</v>
      </c>
      <c r="J612" s="109">
        <f t="shared" ref="J612:J645" si="49">G612-H612</f>
        <v>2.9103830456733704E-10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350.4</v>
      </c>
      <c r="H613" s="109">
        <f>G466</f>
        <v>350.40000000000146</v>
      </c>
      <c r="I613" s="121" t="s">
        <v>108</v>
      </c>
      <c r="J613" s="109">
        <f t="shared" si="49"/>
        <v>-1.4779288903810084E-12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330128.89</v>
      </c>
      <c r="H616" s="109">
        <f>J466</f>
        <v>330128.89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2582986.7899999996</v>
      </c>
      <c r="H617" s="104">
        <f>SUM(F458)</f>
        <v>2582986.79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34873.919999999998</v>
      </c>
      <c r="H618" s="104">
        <f>SUM(G458)</f>
        <v>34873.919999999998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128332.60999999999</v>
      </c>
      <c r="H619" s="104">
        <f>SUM(H458)</f>
        <v>128332.61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15483.83</v>
      </c>
      <c r="H621" s="104">
        <f>SUM(J458)</f>
        <v>15483.83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2789332.93</v>
      </c>
      <c r="H622" s="104">
        <f>SUM(F462)</f>
        <v>2789332.93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128332.61</v>
      </c>
      <c r="H623" s="104">
        <f>SUM(H462)</f>
        <v>128332.61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34719</v>
      </c>
      <c r="H625" s="104">
        <f>SUM(G462)</f>
        <v>34719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15483.83</v>
      </c>
      <c r="H627" s="164">
        <f>SUM(J458)</f>
        <v>15483.83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4500</v>
      </c>
      <c r="H628" s="164">
        <f>SUM(J462)</f>
        <v>4500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152722.39000000001</v>
      </c>
      <c r="H629" s="104">
        <f>SUM(F451)</f>
        <v>152722.39000000001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177406.50000000003</v>
      </c>
      <c r="H630" s="104">
        <f>SUM(G451)</f>
        <v>177406.5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330128.89</v>
      </c>
      <c r="H632" s="104">
        <f>SUM(I451)</f>
        <v>330128.89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483.83</v>
      </c>
      <c r="H634" s="104">
        <f>H400</f>
        <v>483.83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</v>
      </c>
      <c r="H635" s="104">
        <f>G400</f>
        <v>15000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15483.83</v>
      </c>
      <c r="H636" s="104">
        <f>L400</f>
        <v>15483.83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159795.5</v>
      </c>
      <c r="H637" s="104">
        <f>L200+L218+L236</f>
        <v>159795.5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19649.169999999998</v>
      </c>
      <c r="H638" s="104">
        <f>(J249+J330)-(J247+J328)</f>
        <v>19649.170000000002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82518.921200000012</v>
      </c>
      <c r="H639" s="104">
        <f>H588</f>
        <v>82518.921200000012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18160.206399999999</v>
      </c>
      <c r="H640" s="104">
        <f>I588</f>
        <v>18160.206399999999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59116.372400000007</v>
      </c>
      <c r="H641" s="104">
        <f>J588</f>
        <v>59116.3724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</v>
      </c>
      <c r="H645" s="104">
        <f>K258+K339</f>
        <v>15000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1377187.7480000001</v>
      </c>
      <c r="G650" s="19">
        <f>(L221+L301+L351)</f>
        <v>337558.05725000001</v>
      </c>
      <c r="H650" s="19">
        <f>(L239+L320+L352)</f>
        <v>962900.96475000004</v>
      </c>
      <c r="I650" s="19">
        <f>SUM(F650:H650)</f>
        <v>2677646.7700000005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22754.61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22754.61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82518.921200000012</v>
      </c>
      <c r="G652" s="19">
        <f>(L218+L298)-(J218+J298)</f>
        <v>18160.206399999999</v>
      </c>
      <c r="H652" s="19">
        <f>(L236+L317)-(J236+J317)</f>
        <v>59116.372400000007</v>
      </c>
      <c r="I652" s="19">
        <f>SUM(F652:H652)</f>
        <v>159795.5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22461.459999999995</v>
      </c>
      <c r="G653" s="200">
        <f>SUM(G565:G577)+SUM(I592:I594)+L602</f>
        <v>287997.22000000003</v>
      </c>
      <c r="H653" s="200">
        <f>SUM(H565:H577)+SUM(J592:J594)+L603</f>
        <v>705953.0199999999</v>
      </c>
      <c r="I653" s="19">
        <f>SUM(F653:H653)</f>
        <v>1016411.7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1249452.7568000001</v>
      </c>
      <c r="G654" s="19">
        <f>G650-SUM(G651:G653)</f>
        <v>31400.630849999958</v>
      </c>
      <c r="H654" s="19">
        <f>H650-SUM(H651:H653)</f>
        <v>197831.57235000015</v>
      </c>
      <c r="I654" s="19">
        <f>I650-SUM(I651:I653)</f>
        <v>1478684.9600000004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100.37</v>
      </c>
      <c r="G655" s="249"/>
      <c r="H655" s="249"/>
      <c r="I655" s="19">
        <f>SUM(F655:H655)</f>
        <v>100.37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12448.47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14732.34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-31400.63</v>
      </c>
      <c r="H659" s="18">
        <v>-197831.57</v>
      </c>
      <c r="I659" s="19">
        <f>SUM(F659:H659)</f>
        <v>-229232.2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12448.47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12448.47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8EB3-D46E-44EE-B831-3DE7EF8830B7}">
  <sheetPr>
    <tabColor indexed="20"/>
  </sheetPr>
  <dimension ref="A1:C52"/>
  <sheetViews>
    <sheetView workbookViewId="0">
      <selection activeCell="B33" sqref="B33:C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Milan SD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361943.73</v>
      </c>
      <c r="C9" s="230">
        <f>'DOE25'!G189+'DOE25'!G207+'DOE25'!G225+'DOE25'!G268+'DOE25'!G287+'DOE25'!G306</f>
        <v>145671.38</v>
      </c>
    </row>
    <row r="10" spans="1:3" x14ac:dyDescent="0.2">
      <c r="A10" t="s">
        <v>810</v>
      </c>
      <c r="B10" s="241">
        <f>300590.42+1949.08+25388.61+832.41+9105.29</f>
        <v>337865.80999999994</v>
      </c>
      <c r="C10" s="241">
        <v>143610.17000000001</v>
      </c>
    </row>
    <row r="11" spans="1:3" x14ac:dyDescent="0.2">
      <c r="A11" t="s">
        <v>811</v>
      </c>
      <c r="B11" s="241">
        <f>8589.83+3762.21+2853.46</f>
        <v>15205.5</v>
      </c>
      <c r="C11" s="241">
        <v>1285.71</v>
      </c>
    </row>
    <row r="12" spans="1:3" x14ac:dyDescent="0.2">
      <c r="A12" t="s">
        <v>812</v>
      </c>
      <c r="B12" s="241">
        <f>4372.42+4500</f>
        <v>8872.42</v>
      </c>
      <c r="C12" s="241">
        <v>775.5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361943.72999999992</v>
      </c>
      <c r="C13" s="232">
        <f>SUM(C10:C12)</f>
        <v>145671.38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158889.04</v>
      </c>
      <c r="C18" s="230">
        <f>'DOE25'!G190+'DOE25'!G208+'DOE25'!G226+'DOE25'!G269+'DOE25'!G288+'DOE25'!G307</f>
        <v>40517.11</v>
      </c>
    </row>
    <row r="19" spans="1:3" x14ac:dyDescent="0.2">
      <c r="A19" t="s">
        <v>810</v>
      </c>
      <c r="B19" s="241">
        <f>47349.85+28980.9+7224.61</f>
        <v>83555.360000000001</v>
      </c>
      <c r="C19" s="241">
        <v>33271.050000000003</v>
      </c>
    </row>
    <row r="20" spans="1:3" x14ac:dyDescent="0.2">
      <c r="A20" t="s">
        <v>811</v>
      </c>
      <c r="B20" s="241">
        <v>72129.73</v>
      </c>
      <c r="C20" s="241">
        <v>6487.62</v>
      </c>
    </row>
    <row r="21" spans="1:3" x14ac:dyDescent="0.2">
      <c r="A21" t="s">
        <v>812</v>
      </c>
      <c r="B21" s="241">
        <v>3203.95</v>
      </c>
      <c r="C21" s="241">
        <v>758.44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158889.04</v>
      </c>
      <c r="C22" s="232">
        <f>SUM(C19:C21)</f>
        <v>40517.110000000008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7300.17</v>
      </c>
      <c r="C36" s="236">
        <f>'DOE25'!G192+'DOE25'!G210+'DOE25'!G228+'DOE25'!G271+'DOE25'!G290+'DOE25'!G309</f>
        <v>656.98</v>
      </c>
    </row>
    <row r="37" spans="1:3" x14ac:dyDescent="0.2">
      <c r="A37" t="s">
        <v>810</v>
      </c>
      <c r="B37" s="241">
        <v>5876.92</v>
      </c>
      <c r="C37" s="241">
        <v>541.97</v>
      </c>
    </row>
    <row r="38" spans="1:3" x14ac:dyDescent="0.2">
      <c r="A38" t="s">
        <v>811</v>
      </c>
      <c r="B38" s="241">
        <v>1423.25</v>
      </c>
      <c r="C38" s="241">
        <v>115.01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7300.17</v>
      </c>
      <c r="C40" s="232">
        <f>SUM(C37:C39)</f>
        <v>656.98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FD67-1B04-44D8-850A-556663B487BF}">
  <sheetPr>
    <tabColor indexed="11"/>
  </sheetPr>
  <dimension ref="A1:I51"/>
  <sheetViews>
    <sheetView topLeftCell="B1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Milan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1748404.49</v>
      </c>
      <c r="D5" s="20">
        <f>SUM('DOE25'!L189:L192)+SUM('DOE25'!L207:L210)+SUM('DOE25'!L225:L228)-F5-G5</f>
        <v>1734484.94</v>
      </c>
      <c r="E5" s="244"/>
      <c r="F5" s="256">
        <f>SUM('DOE25'!J189:J192)+SUM('DOE25'!J207:J210)+SUM('DOE25'!J225:J228)</f>
        <v>13256.05</v>
      </c>
      <c r="G5" s="53">
        <f>SUM('DOE25'!K189:K192)+SUM('DOE25'!K207:K210)+SUM('DOE25'!K225:K228)</f>
        <v>663.5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137694.73000000001</v>
      </c>
      <c r="D6" s="20">
        <f>'DOE25'!L194+'DOE25'!L212+'DOE25'!L230-F6-G6</f>
        <v>137534.78</v>
      </c>
      <c r="E6" s="244"/>
      <c r="F6" s="256">
        <f>'DOE25'!J194+'DOE25'!J212+'DOE25'!J230</f>
        <v>159.94999999999999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43517.57</v>
      </c>
      <c r="D7" s="20">
        <f>'DOE25'!L195+'DOE25'!L213+'DOE25'!L231-F7-G7</f>
        <v>40750.07</v>
      </c>
      <c r="E7" s="244"/>
      <c r="F7" s="256">
        <f>'DOE25'!J195+'DOE25'!J213+'DOE25'!J231</f>
        <v>2101.5</v>
      </c>
      <c r="G7" s="53">
        <f>'DOE25'!K195+'DOE25'!K213+'DOE25'!K231</f>
        <v>666</v>
      </c>
      <c r="H7" s="260"/>
    </row>
    <row r="8" spans="1:9" x14ac:dyDescent="0.2">
      <c r="A8" s="32">
        <v>2300</v>
      </c>
      <c r="B8" t="s">
        <v>833</v>
      </c>
      <c r="C8" s="246">
        <f t="shared" si="0"/>
        <v>92495.640000000029</v>
      </c>
      <c r="D8" s="244"/>
      <c r="E8" s="20">
        <f>'DOE25'!L196+'DOE25'!L214+'DOE25'!L232-F8-G8-D9-D11</f>
        <v>89478.22000000003</v>
      </c>
      <c r="F8" s="256">
        <f>'DOE25'!J196+'DOE25'!J214+'DOE25'!J232</f>
        <v>0</v>
      </c>
      <c r="G8" s="53">
        <f>'DOE25'!K196+'DOE25'!K214+'DOE25'!K232</f>
        <v>3017.42</v>
      </c>
      <c r="H8" s="260"/>
    </row>
    <row r="9" spans="1:9" x14ac:dyDescent="0.2">
      <c r="A9" s="32">
        <v>2310</v>
      </c>
      <c r="B9" t="s">
        <v>849</v>
      </c>
      <c r="C9" s="246">
        <f t="shared" si="0"/>
        <v>13332.15</v>
      </c>
      <c r="D9" s="245">
        <v>13332.15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3525</v>
      </c>
      <c r="D10" s="244"/>
      <c r="E10" s="245">
        <v>3525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22679.360000000001</v>
      </c>
      <c r="D11" s="245">
        <v>22679.360000000001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134827.1</v>
      </c>
      <c r="D12" s="20">
        <f>'DOE25'!L197+'DOE25'!L215+'DOE25'!L233-F12-G12</f>
        <v>133054.1</v>
      </c>
      <c r="E12" s="244"/>
      <c r="F12" s="256">
        <f>'DOE25'!J197+'DOE25'!J215+'DOE25'!J233</f>
        <v>0</v>
      </c>
      <c r="G12" s="53">
        <f>'DOE25'!K197+'DOE25'!K215+'DOE25'!K233</f>
        <v>1773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177410.62</v>
      </c>
      <c r="D14" s="20">
        <f>'DOE25'!L199+'DOE25'!L217+'DOE25'!L235-F14-G14</f>
        <v>173302.19</v>
      </c>
      <c r="E14" s="244"/>
      <c r="F14" s="256">
        <f>'DOE25'!J199+'DOE25'!J217+'DOE25'!J235</f>
        <v>4108.43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159795.5</v>
      </c>
      <c r="D15" s="20">
        <f>'DOE25'!L200+'DOE25'!L218+'DOE25'!L236-F15-G15</f>
        <v>159795.5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6993.27</v>
      </c>
      <c r="D19" s="20">
        <f>'DOE25'!L245-F19-G19</f>
        <v>6610.27</v>
      </c>
      <c r="E19" s="244"/>
      <c r="F19" s="256">
        <f>'DOE25'!J245</f>
        <v>0</v>
      </c>
      <c r="G19" s="53">
        <f>'DOE25'!K245</f>
        <v>383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231732.5</v>
      </c>
      <c r="D25" s="244"/>
      <c r="E25" s="244"/>
      <c r="F25" s="259"/>
      <c r="G25" s="257"/>
      <c r="H25" s="258">
        <f>'DOE25'!L252+'DOE25'!L253+'DOE25'!L333+'DOE25'!L334</f>
        <v>231732.5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34719</v>
      </c>
      <c r="D29" s="20">
        <f>'DOE25'!L350+'DOE25'!L351+'DOE25'!L352-'DOE25'!I359-F29-G29</f>
        <v>34719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113232.61</v>
      </c>
      <c r="D31" s="20">
        <f>'DOE25'!L282+'DOE25'!L301+'DOE25'!L320+'DOE25'!L325+'DOE25'!L326+'DOE25'!L327-F31-G31</f>
        <v>109608.7</v>
      </c>
      <c r="E31" s="244"/>
      <c r="F31" s="256">
        <f>'DOE25'!J282+'DOE25'!J301+'DOE25'!J320+'DOE25'!J325+'DOE25'!J326+'DOE25'!J327</f>
        <v>23.24</v>
      </c>
      <c r="G31" s="53">
        <f>'DOE25'!K282+'DOE25'!K301+'DOE25'!K320+'DOE25'!K325+'DOE25'!K326+'DOE25'!K327</f>
        <v>3600.6700000000005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2565871.0600000005</v>
      </c>
      <c r="E33" s="247">
        <f>SUM(E5:E31)</f>
        <v>93003.22000000003</v>
      </c>
      <c r="F33" s="247">
        <f>SUM(F5:F31)</f>
        <v>19649.170000000002</v>
      </c>
      <c r="G33" s="247">
        <f>SUM(G5:G31)</f>
        <v>10103.59</v>
      </c>
      <c r="H33" s="247">
        <f>SUM(H5:H31)</f>
        <v>231732.5</v>
      </c>
    </row>
    <row r="35" spans="2:8" ht="12" thickBot="1" x14ac:dyDescent="0.25">
      <c r="B35" s="254" t="s">
        <v>878</v>
      </c>
      <c r="D35" s="255">
        <f>E33</f>
        <v>93003.22000000003</v>
      </c>
      <c r="E35" s="250"/>
    </row>
    <row r="36" spans="2:8" ht="12" thickTop="1" x14ac:dyDescent="0.2">
      <c r="B36" t="s">
        <v>846</v>
      </c>
      <c r="D36" s="20">
        <f>D33</f>
        <v>2565871.0600000005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138C-3686-4A80-973D-6A461732C46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112457.77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30909.48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44267.13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10302.870000000001</v>
      </c>
      <c r="D13" s="95">
        <f>'DOE25'!G13</f>
        <v>0</v>
      </c>
      <c r="E13" s="95">
        <f>'DOE25'!H13</f>
        <v>54482.720000000001</v>
      </c>
      <c r="F13" s="95">
        <f>'DOE25'!I13</f>
        <v>0</v>
      </c>
      <c r="G13" s="95">
        <f>'DOE25'!J13</f>
        <v>330128.89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1144.0999999999999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197937.25</v>
      </c>
      <c r="D19" s="41">
        <f>SUM(D9:D18)</f>
        <v>1144.0999999999999</v>
      </c>
      <c r="E19" s="41">
        <f>SUM(E9:E18)</f>
        <v>54482.720000000001</v>
      </c>
      <c r="F19" s="41">
        <f>SUM(F9:F18)</f>
        <v>0</v>
      </c>
      <c r="G19" s="41">
        <f>SUM(G9:G18)</f>
        <v>330128.89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793.69999999999709</v>
      </c>
      <c r="E22" s="95">
        <f>'DOE25'!H23</f>
        <v>43473.43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17905.32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11009.29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17905.32</v>
      </c>
      <c r="D32" s="41">
        <f>SUM(D22:D31)</f>
        <v>793.69999999999709</v>
      </c>
      <c r="E32" s="41">
        <f>SUM(E22:E31)</f>
        <v>54482.720000000001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350.4</v>
      </c>
      <c r="E40" s="95">
        <f>'DOE25'!H41</f>
        <v>0</v>
      </c>
      <c r="F40" s="95">
        <f>'DOE25'!I41</f>
        <v>0</v>
      </c>
      <c r="G40" s="95">
        <f>'DOE25'!J41</f>
        <v>330128.89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175031.93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180031.93</v>
      </c>
      <c r="D42" s="41">
        <f>SUM(D34:D41)</f>
        <v>350.4</v>
      </c>
      <c r="E42" s="41">
        <f>SUM(E34:E41)</f>
        <v>0</v>
      </c>
      <c r="F42" s="41">
        <f>SUM(F34:F41)</f>
        <v>0</v>
      </c>
      <c r="G42" s="41">
        <f>SUM(G34:G41)</f>
        <v>330128.89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197937.25</v>
      </c>
      <c r="D43" s="41">
        <f>D42+D32</f>
        <v>1144.0999999999972</v>
      </c>
      <c r="E43" s="41">
        <f>E42+E32</f>
        <v>54482.720000000001</v>
      </c>
      <c r="F43" s="41">
        <f>F42+F32</f>
        <v>0</v>
      </c>
      <c r="G43" s="41">
        <f>G42+G32</f>
        <v>330128.89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814308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182005.33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632.04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483.83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22754.61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59030.95</v>
      </c>
      <c r="D53" s="95">
        <f>SUM('DOE25'!G90:G102)</f>
        <v>0</v>
      </c>
      <c r="E53" s="95">
        <f>SUM('DOE25'!H90:H102)</f>
        <v>14501.71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241668.32</v>
      </c>
      <c r="D54" s="130">
        <f>SUM(D49:D53)</f>
        <v>22754.61</v>
      </c>
      <c r="E54" s="130">
        <f>SUM(E49:E53)</f>
        <v>14501.71</v>
      </c>
      <c r="F54" s="130">
        <f>SUM(F49:F53)</f>
        <v>0</v>
      </c>
      <c r="G54" s="130">
        <f>SUM(G49:G53)</f>
        <v>483.83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1055976.32</v>
      </c>
      <c r="D55" s="22">
        <f>D48+D54</f>
        <v>22754.61</v>
      </c>
      <c r="E55" s="22">
        <f>E48+E54</f>
        <v>14501.71</v>
      </c>
      <c r="F55" s="22">
        <f>F48+F54</f>
        <v>0</v>
      </c>
      <c r="G55" s="22">
        <f>G48+G54</f>
        <v>483.83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1099814.06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246896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39889.94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1386600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72267.31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12685.13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485.59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84952.44</v>
      </c>
      <c r="D70" s="130">
        <f>SUM(D64:D69)</f>
        <v>485.59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1471552.44</v>
      </c>
      <c r="D73" s="130">
        <f>SUM(D71:D72)+D70+D62</f>
        <v>485.59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46183.53</v>
      </c>
      <c r="D80" s="95">
        <f>SUM('DOE25'!G145:G153)</f>
        <v>11633.72</v>
      </c>
      <c r="E80" s="95">
        <f>SUM('DOE25'!H145:H153)</f>
        <v>113830.9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9274.5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55458.03</v>
      </c>
      <c r="D83" s="131">
        <f>SUM(D77:D82)</f>
        <v>11633.72</v>
      </c>
      <c r="E83" s="131">
        <f>SUM(E77:E82)</f>
        <v>113830.9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15000</v>
      </c>
    </row>
    <row r="96" spans="1:7" ht="12.75" thickTop="1" thickBot="1" x14ac:dyDescent="0.25">
      <c r="A96" s="33" t="s">
        <v>796</v>
      </c>
      <c r="C96" s="86">
        <f>C55+C73+C83+C95</f>
        <v>2582986.7899999996</v>
      </c>
      <c r="D96" s="86">
        <f>D55+D73+D83+D95</f>
        <v>34873.919999999998</v>
      </c>
      <c r="E96" s="86">
        <f>E55+E73+E83+E95</f>
        <v>128332.60999999999</v>
      </c>
      <c r="F96" s="86">
        <f>F55+F73+F83+F95</f>
        <v>0</v>
      </c>
      <c r="G96" s="86">
        <f>G55+G73+G95</f>
        <v>15483.83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1427616.65</v>
      </c>
      <c r="D101" s="24" t="s">
        <v>312</v>
      </c>
      <c r="E101" s="95">
        <f>('DOE25'!L268)+('DOE25'!L287)+('DOE25'!L306)</f>
        <v>64677.53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305595.58</v>
      </c>
      <c r="D102" s="24" t="s">
        <v>312</v>
      </c>
      <c r="E102" s="95">
        <f>('DOE25'!L269)+('DOE25'!L288)+('DOE25'!L307)</f>
        <v>37779.200000000004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15192.26</v>
      </c>
      <c r="D104" s="24" t="s">
        <v>312</v>
      </c>
      <c r="E104" s="95">
        <f>+('DOE25'!L271)+('DOE25'!L290)+('DOE25'!L309)</f>
        <v>70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6993.27</v>
      </c>
      <c r="D106" s="24" t="s">
        <v>312</v>
      </c>
      <c r="E106" s="95">
        <f>+ SUM('DOE25'!L325:L327)</f>
        <v>462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1755397.76</v>
      </c>
      <c r="D107" s="86">
        <f>SUM(D101:D106)</f>
        <v>0</v>
      </c>
      <c r="E107" s="86">
        <f>SUM(E101:E106)</f>
        <v>102988.73000000001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137694.73000000001</v>
      </c>
      <c r="D110" s="24" t="s">
        <v>312</v>
      </c>
      <c r="E110" s="95">
        <f>+('DOE25'!L273)+('DOE25'!L292)+('DOE25'!L311)</f>
        <v>480.42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43517.57</v>
      </c>
      <c r="D111" s="24" t="s">
        <v>312</v>
      </c>
      <c r="E111" s="95">
        <f>+('DOE25'!L274)+('DOE25'!L293)+('DOE25'!L312)</f>
        <v>5719.79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128507.15000000002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134827.1</v>
      </c>
      <c r="D113" s="24" t="s">
        <v>312</v>
      </c>
      <c r="E113" s="95">
        <f>+('DOE25'!L276)+('DOE25'!L295)+('DOE25'!L314)</f>
        <v>478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3565.6700000000005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177410.62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159795.5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34719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781752.67</v>
      </c>
      <c r="D120" s="86">
        <f>SUM(D110:D119)</f>
        <v>34719</v>
      </c>
      <c r="E120" s="86">
        <f>SUM(E110:E119)</f>
        <v>10243.880000000001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56732.5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4500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233.26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15250.57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-483.82999999999993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5450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15100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252182.50000000003</v>
      </c>
      <c r="D136" s="141">
        <f>SUM(D122:D135)</f>
        <v>0</v>
      </c>
      <c r="E136" s="141">
        <f>SUM(E122:E135)</f>
        <v>15100</v>
      </c>
      <c r="F136" s="141">
        <f>SUM(F122:F135)</f>
        <v>0</v>
      </c>
      <c r="G136" s="141">
        <f>SUM(G122:G135)</f>
        <v>4500</v>
      </c>
    </row>
    <row r="137" spans="1:9" ht="12.75" thickTop="1" thickBot="1" x14ac:dyDescent="0.25">
      <c r="A137" s="33" t="s">
        <v>267</v>
      </c>
      <c r="C137" s="86">
        <f>(C107+C120+C136)</f>
        <v>2789332.93</v>
      </c>
      <c r="D137" s="86">
        <f>(D107+D120+D136)</f>
        <v>34719</v>
      </c>
      <c r="E137" s="86">
        <f>(E107+E120+E136)</f>
        <v>128332.61000000002</v>
      </c>
      <c r="F137" s="86">
        <f>(F107+F120+F136)</f>
        <v>0</v>
      </c>
      <c r="G137" s="86">
        <f>(G107+G120+G136)</f>
        <v>4500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06/2002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07/2017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2600000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1375000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1375000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175000</v>
      </c>
    </row>
    <row r="151" spans="1:7" x14ac:dyDescent="0.2">
      <c r="A151" s="22" t="s">
        <v>35</v>
      </c>
      <c r="B151" s="137">
        <f>'DOE25'!F488</f>
        <v>1200000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1200000</v>
      </c>
    </row>
    <row r="152" spans="1:7" x14ac:dyDescent="0.2">
      <c r="A152" s="22" t="s">
        <v>36</v>
      </c>
      <c r="B152" s="137">
        <f>'DOE25'!F489</f>
        <v>184805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184805</v>
      </c>
    </row>
    <row r="153" spans="1:7" x14ac:dyDescent="0.2">
      <c r="A153" s="22" t="s">
        <v>37</v>
      </c>
      <c r="B153" s="137">
        <f>'DOE25'!F490</f>
        <v>1384805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1384805</v>
      </c>
    </row>
    <row r="154" spans="1:7" x14ac:dyDescent="0.2">
      <c r="A154" s="22" t="s">
        <v>38</v>
      </c>
      <c r="B154" s="137">
        <f>'DOE25'!F491</f>
        <v>175000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175000</v>
      </c>
    </row>
    <row r="155" spans="1:7" x14ac:dyDescent="0.2">
      <c r="A155" s="22" t="s">
        <v>39</v>
      </c>
      <c r="B155" s="137">
        <f>'DOE25'!F492</f>
        <v>49120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49120</v>
      </c>
    </row>
    <row r="156" spans="1:7" x14ac:dyDescent="0.2">
      <c r="A156" s="22" t="s">
        <v>269</v>
      </c>
      <c r="B156" s="137">
        <f>'DOE25'!F493</f>
        <v>224120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224120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28F9-DABB-4218-8359-16229E41384A}">
  <sheetPr codeName="Sheet3">
    <tabColor indexed="43"/>
  </sheetPr>
  <dimension ref="A1:D42"/>
  <sheetViews>
    <sheetView topLeftCell="A7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Milan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12448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12448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1492294</v>
      </c>
      <c r="D10" s="182">
        <f>ROUND((C10/$C$28)*100,1)</f>
        <v>54.5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343375</v>
      </c>
      <c r="D11" s="182">
        <f>ROUND((C11/$C$28)*100,1)</f>
        <v>12.5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15262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138175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49237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128507</v>
      </c>
      <c r="D17" s="182">
        <f t="shared" si="0"/>
        <v>4.7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135305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3566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177411</v>
      </c>
      <c r="D20" s="182">
        <f t="shared" si="0"/>
        <v>6.5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159796</v>
      </c>
      <c r="D21" s="182">
        <f t="shared" si="0"/>
        <v>5.8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7455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56733</v>
      </c>
      <c r="D25" s="182">
        <f t="shared" si="0"/>
        <v>2.1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20550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11964.39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2739630.39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2739630.39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814308</v>
      </c>
      <c r="D35" s="182">
        <f t="shared" ref="D35:D40" si="1">ROUND((C35/$C$41)*100,1)</f>
        <v>29.9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256653.8600000001</v>
      </c>
      <c r="D36" s="182">
        <f t="shared" si="1"/>
        <v>9.4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1386600</v>
      </c>
      <c r="D37" s="182">
        <f t="shared" si="1"/>
        <v>50.9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85438</v>
      </c>
      <c r="D38" s="182">
        <f t="shared" si="1"/>
        <v>3.1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180923</v>
      </c>
      <c r="D39" s="182">
        <f t="shared" si="1"/>
        <v>6.6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2723922.8600000003</v>
      </c>
      <c r="D41" s="184">
        <f>SUM(D35:D40)</f>
        <v>99.899999999999977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2935-44C9-43E7-BA70-44028F6F50E4}">
  <sheetPr>
    <tabColor indexed="17"/>
  </sheetPr>
  <dimension ref="A1:IV90"/>
  <sheetViews>
    <sheetView workbookViewId="0">
      <pane ySplit="3" topLeftCell="A4" activePane="bottomLeft" state="frozen"/>
      <selection pane="bottomLeft" activeCell="B30" sqref="B3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Milan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5</v>
      </c>
      <c r="B4" s="220">
        <v>14</v>
      </c>
      <c r="C4" s="281" t="s">
        <v>897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2011-10-24T12:47:02Z</cp:lastPrinted>
  <dcterms:created xsi:type="dcterms:W3CDTF">1997-12-04T19:04:30Z</dcterms:created>
  <dcterms:modified xsi:type="dcterms:W3CDTF">2025-01-10T20:15:52Z</dcterms:modified>
</cp:coreProperties>
</file>