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679ECEF6-5A9D-4F1B-9B4F-53B791997927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D2F4C72A-567C-4C51-88DD-F06323B291A8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55" i="1" l="1"/>
  <c r="B12" i="12"/>
  <c r="C38" i="12"/>
  <c r="C12" i="12"/>
  <c r="C9" i="12"/>
  <c r="C10" i="12" s="1"/>
  <c r="C13" i="12" s="1"/>
  <c r="B38" i="12"/>
  <c r="B37" i="12"/>
  <c r="B39" i="12"/>
  <c r="C39" i="12" s="1"/>
  <c r="B21" i="12"/>
  <c r="C21" i="12" s="1"/>
  <c r="B20" i="12"/>
  <c r="B22" i="12" s="1"/>
  <c r="B19" i="12"/>
  <c r="B11" i="12"/>
  <c r="C11" i="12" s="1"/>
  <c r="B10" i="12"/>
  <c r="D9" i="13"/>
  <c r="G497" i="1"/>
  <c r="F497" i="1"/>
  <c r="H533" i="1"/>
  <c r="H532" i="1"/>
  <c r="H531" i="1"/>
  <c r="L531" i="1" s="1"/>
  <c r="H526" i="1"/>
  <c r="L526" i="1" s="1"/>
  <c r="H528" i="1"/>
  <c r="H527" i="1"/>
  <c r="G521" i="1"/>
  <c r="G523" i="1"/>
  <c r="G522" i="1"/>
  <c r="H523" i="1"/>
  <c r="H522" i="1"/>
  <c r="L522" i="1" s="1"/>
  <c r="H540" i="1" s="1"/>
  <c r="H521" i="1"/>
  <c r="K523" i="1"/>
  <c r="K522" i="1"/>
  <c r="K521" i="1"/>
  <c r="K524" i="1" s="1"/>
  <c r="I523" i="1"/>
  <c r="L523" i="1" s="1"/>
  <c r="H541" i="1" s="1"/>
  <c r="I522" i="1"/>
  <c r="I521" i="1"/>
  <c r="F523" i="1"/>
  <c r="F522" i="1"/>
  <c r="F521" i="1"/>
  <c r="G518" i="1"/>
  <c r="G517" i="1"/>
  <c r="L517" i="1" s="1"/>
  <c r="G540" i="1" s="1"/>
  <c r="G516" i="1"/>
  <c r="F518" i="1"/>
  <c r="F517" i="1"/>
  <c r="F516" i="1"/>
  <c r="F519" i="1" s="1"/>
  <c r="F535" i="1" s="1"/>
  <c r="I518" i="1"/>
  <c r="I517" i="1"/>
  <c r="I516" i="1"/>
  <c r="H518" i="1"/>
  <c r="H517" i="1"/>
  <c r="H516" i="1"/>
  <c r="J511" i="1"/>
  <c r="I511" i="1"/>
  <c r="L511" i="1" s="1"/>
  <c r="H511" i="1"/>
  <c r="G511" i="1"/>
  <c r="F511" i="1"/>
  <c r="J513" i="1"/>
  <c r="I513" i="1"/>
  <c r="G513" i="1"/>
  <c r="F513" i="1"/>
  <c r="L513" i="1" s="1"/>
  <c r="F541" i="1" s="1"/>
  <c r="J512" i="1"/>
  <c r="I512" i="1"/>
  <c r="G512" i="1"/>
  <c r="F512" i="1"/>
  <c r="H513" i="1"/>
  <c r="H514" i="1" s="1"/>
  <c r="H512" i="1"/>
  <c r="H572" i="1"/>
  <c r="G572" i="1"/>
  <c r="H574" i="1"/>
  <c r="F572" i="1"/>
  <c r="I572" i="1" s="1"/>
  <c r="K558" i="1"/>
  <c r="I558" i="1"/>
  <c r="K557" i="1"/>
  <c r="I557" i="1"/>
  <c r="G557" i="1"/>
  <c r="F557" i="1"/>
  <c r="G558" i="1"/>
  <c r="L558" i="1" s="1"/>
  <c r="L560" i="1" s="1"/>
  <c r="F558" i="1"/>
  <c r="G554" i="1"/>
  <c r="G553" i="1"/>
  <c r="G552" i="1"/>
  <c r="I552" i="1"/>
  <c r="I554" i="1"/>
  <c r="I553" i="1"/>
  <c r="F552" i="1"/>
  <c r="F554" i="1"/>
  <c r="F553" i="1"/>
  <c r="J547" i="1"/>
  <c r="I547" i="1"/>
  <c r="H547" i="1"/>
  <c r="F547" i="1"/>
  <c r="G547" i="1"/>
  <c r="G601" i="1"/>
  <c r="L601" i="1" s="1"/>
  <c r="I601" i="1"/>
  <c r="G603" i="1"/>
  <c r="L603" i="1" s="1"/>
  <c r="H653" i="1" s="1"/>
  <c r="G602" i="1"/>
  <c r="I602" i="1"/>
  <c r="F601" i="1"/>
  <c r="J584" i="1"/>
  <c r="J583" i="1"/>
  <c r="J582" i="1"/>
  <c r="I582" i="1"/>
  <c r="H582" i="1"/>
  <c r="I584" i="1"/>
  <c r="J581" i="1"/>
  <c r="I581" i="1"/>
  <c r="H581" i="1"/>
  <c r="J594" i="1"/>
  <c r="I594" i="1"/>
  <c r="H594" i="1"/>
  <c r="G233" i="1"/>
  <c r="G215" i="1"/>
  <c r="G197" i="1"/>
  <c r="L197" i="1" s="1"/>
  <c r="G232" i="1"/>
  <c r="G214" i="1"/>
  <c r="G196" i="1"/>
  <c r="F462" i="1"/>
  <c r="H622" i="1" s="1"/>
  <c r="H237" i="1"/>
  <c r="H236" i="1"/>
  <c r="H235" i="1"/>
  <c r="I235" i="1"/>
  <c r="H232" i="1"/>
  <c r="K232" i="1"/>
  <c r="I226" i="1"/>
  <c r="H226" i="1"/>
  <c r="J219" i="1"/>
  <c r="H218" i="1"/>
  <c r="H217" i="1"/>
  <c r="I217" i="1"/>
  <c r="H214" i="1"/>
  <c r="K214" i="1"/>
  <c r="I208" i="1"/>
  <c r="H208" i="1"/>
  <c r="J201" i="1"/>
  <c r="H200" i="1"/>
  <c r="H199" i="1"/>
  <c r="I199" i="1"/>
  <c r="H196" i="1"/>
  <c r="K196" i="1"/>
  <c r="I190" i="1"/>
  <c r="H190" i="1"/>
  <c r="H203" i="1" s="1"/>
  <c r="G207" i="1"/>
  <c r="G221" i="1" s="1"/>
  <c r="K233" i="1"/>
  <c r="J225" i="1"/>
  <c r="I225" i="1"/>
  <c r="I231" i="1"/>
  <c r="I227" i="1"/>
  <c r="H233" i="1"/>
  <c r="H225" i="1"/>
  <c r="H239" i="1" s="1"/>
  <c r="J207" i="1"/>
  <c r="J189" i="1"/>
  <c r="J194" i="1"/>
  <c r="I189" i="1"/>
  <c r="I195" i="1"/>
  <c r="I203" i="1" s="1"/>
  <c r="I197" i="1"/>
  <c r="H197" i="1"/>
  <c r="H195" i="1"/>
  <c r="H189" i="1"/>
  <c r="G235" i="1"/>
  <c r="G217" i="1"/>
  <c r="G199" i="1"/>
  <c r="L199" i="1" s="1"/>
  <c r="G225" i="1"/>
  <c r="G237" i="1"/>
  <c r="G231" i="1"/>
  <c r="G230" i="1"/>
  <c r="G228" i="1"/>
  <c r="C36" i="12" s="1"/>
  <c r="C37" i="12" s="1"/>
  <c r="C40" i="12" s="1"/>
  <c r="G227" i="1"/>
  <c r="G226" i="1"/>
  <c r="G239" i="1" s="1"/>
  <c r="G219" i="1"/>
  <c r="G213" i="1"/>
  <c r="G212" i="1"/>
  <c r="G210" i="1"/>
  <c r="L210" i="1" s="1"/>
  <c r="G208" i="1"/>
  <c r="L208" i="1" s="1"/>
  <c r="L221" i="1" s="1"/>
  <c r="G201" i="1"/>
  <c r="G195" i="1"/>
  <c r="G194" i="1"/>
  <c r="G189" i="1"/>
  <c r="G203" i="1" s="1"/>
  <c r="F237" i="1"/>
  <c r="L237" i="1" s="1"/>
  <c r="C117" i="2" s="1"/>
  <c r="F225" i="1"/>
  <c r="L225" i="1" s="1"/>
  <c r="F230" i="1"/>
  <c r="F219" i="1"/>
  <c r="F208" i="1"/>
  <c r="F207" i="1"/>
  <c r="F212" i="1"/>
  <c r="F213" i="1"/>
  <c r="F201" i="1"/>
  <c r="F195" i="1"/>
  <c r="F194" i="1"/>
  <c r="F190" i="1"/>
  <c r="L190" i="1" s="1"/>
  <c r="F189" i="1"/>
  <c r="L189" i="1" s="1"/>
  <c r="J237" i="1"/>
  <c r="I237" i="1"/>
  <c r="I219" i="1"/>
  <c r="H219" i="1"/>
  <c r="I201" i="1"/>
  <c r="H201" i="1"/>
  <c r="F235" i="1"/>
  <c r="L235" i="1" s="1"/>
  <c r="F217" i="1"/>
  <c r="F199" i="1"/>
  <c r="F232" i="1"/>
  <c r="I232" i="1"/>
  <c r="I214" i="1"/>
  <c r="I196" i="1"/>
  <c r="F214" i="1"/>
  <c r="F196" i="1"/>
  <c r="K231" i="1"/>
  <c r="K213" i="1"/>
  <c r="K195" i="1"/>
  <c r="G7" i="13" s="1"/>
  <c r="I213" i="1"/>
  <c r="H231" i="1"/>
  <c r="H213" i="1"/>
  <c r="I194" i="1"/>
  <c r="I212" i="1"/>
  <c r="I230" i="1"/>
  <c r="I239" i="1" s="1"/>
  <c r="H230" i="1"/>
  <c r="H212" i="1"/>
  <c r="H194" i="1"/>
  <c r="F226" i="1"/>
  <c r="J208" i="1"/>
  <c r="J226" i="1"/>
  <c r="K253" i="1"/>
  <c r="L253" i="1" s="1"/>
  <c r="K252" i="1"/>
  <c r="K230" i="1"/>
  <c r="K228" i="1"/>
  <c r="K227" i="1"/>
  <c r="K225" i="1"/>
  <c r="K215" i="1"/>
  <c r="K210" i="1"/>
  <c r="K207" i="1"/>
  <c r="K197" i="1"/>
  <c r="K192" i="1"/>
  <c r="K189" i="1"/>
  <c r="G5" i="13" s="1"/>
  <c r="J233" i="1"/>
  <c r="F12" i="13" s="1"/>
  <c r="J231" i="1"/>
  <c r="J228" i="1"/>
  <c r="J227" i="1"/>
  <c r="J217" i="1"/>
  <c r="F14" i="13" s="1"/>
  <c r="J195" i="1"/>
  <c r="F7" i="13" s="1"/>
  <c r="J190" i="1"/>
  <c r="I233" i="1"/>
  <c r="I228" i="1"/>
  <c r="I215" i="1"/>
  <c r="I210" i="1"/>
  <c r="I207" i="1"/>
  <c r="H228" i="1"/>
  <c r="H227" i="1"/>
  <c r="H215" i="1"/>
  <c r="H210" i="1"/>
  <c r="H207" i="1"/>
  <c r="H221" i="1" s="1"/>
  <c r="F233" i="1"/>
  <c r="F231" i="1"/>
  <c r="L231" i="1" s="1"/>
  <c r="F228" i="1"/>
  <c r="L228" i="1" s="1"/>
  <c r="F227" i="1"/>
  <c r="F215" i="1"/>
  <c r="F210" i="1"/>
  <c r="F197" i="1"/>
  <c r="F192" i="1"/>
  <c r="L192" i="1" s="1"/>
  <c r="F30" i="1"/>
  <c r="F110" i="1"/>
  <c r="F102" i="1"/>
  <c r="F62" i="1"/>
  <c r="F61" i="1"/>
  <c r="F60" i="1"/>
  <c r="F55" i="1"/>
  <c r="F71" i="1" s="1"/>
  <c r="C49" i="2" s="1"/>
  <c r="J307" i="1"/>
  <c r="H462" i="1"/>
  <c r="J311" i="1"/>
  <c r="J292" i="1"/>
  <c r="J288" i="1"/>
  <c r="J301" i="1" s="1"/>
  <c r="J273" i="1"/>
  <c r="J269" i="1"/>
  <c r="I316" i="1"/>
  <c r="I312" i="1"/>
  <c r="I311" i="1"/>
  <c r="I320" i="1" s="1"/>
  <c r="I307" i="1"/>
  <c r="I297" i="1"/>
  <c r="L297" i="1" s="1"/>
  <c r="I293" i="1"/>
  <c r="I292" i="1"/>
  <c r="I288" i="1"/>
  <c r="I287" i="1"/>
  <c r="I278" i="1"/>
  <c r="I282" i="1" s="1"/>
  <c r="I330" i="1" s="1"/>
  <c r="I344" i="1" s="1"/>
  <c r="I274" i="1"/>
  <c r="I273" i="1"/>
  <c r="I269" i="1"/>
  <c r="H312" i="1"/>
  <c r="H311" i="1"/>
  <c r="H320" i="1" s="1"/>
  <c r="H293" i="1"/>
  <c r="H292" i="1"/>
  <c r="H274" i="1"/>
  <c r="H273" i="1"/>
  <c r="H287" i="1"/>
  <c r="G312" i="1"/>
  <c r="G311" i="1"/>
  <c r="L311" i="1" s="1"/>
  <c r="L320" i="1" s="1"/>
  <c r="G307" i="1"/>
  <c r="G293" i="1"/>
  <c r="G292" i="1"/>
  <c r="G288" i="1"/>
  <c r="G287" i="1"/>
  <c r="G274" i="1"/>
  <c r="L274" i="1" s="1"/>
  <c r="E111" i="2" s="1"/>
  <c r="G273" i="1"/>
  <c r="L273" i="1" s="1"/>
  <c r="F312" i="1"/>
  <c r="F293" i="1"/>
  <c r="F274" i="1"/>
  <c r="F311" i="1"/>
  <c r="F292" i="1"/>
  <c r="L292" i="1" s="1"/>
  <c r="F273" i="1"/>
  <c r="F307" i="1"/>
  <c r="F288" i="1"/>
  <c r="F287" i="1"/>
  <c r="F301" i="1" s="1"/>
  <c r="J268" i="1"/>
  <c r="J282" i="1" s="1"/>
  <c r="J274" i="1"/>
  <c r="F271" i="1"/>
  <c r="F282" i="1" s="1"/>
  <c r="F330" i="1" s="1"/>
  <c r="F344" i="1" s="1"/>
  <c r="I271" i="1"/>
  <c r="I309" i="1"/>
  <c r="I308" i="1"/>
  <c r="I306" i="1"/>
  <c r="H298" i="1"/>
  <c r="L298" i="1" s="1"/>
  <c r="E116" i="2" s="1"/>
  <c r="H269" i="1"/>
  <c r="G275" i="1"/>
  <c r="G308" i="1"/>
  <c r="G271" i="1"/>
  <c r="G269" i="1"/>
  <c r="L269" i="1" s="1"/>
  <c r="E102" i="2" s="1"/>
  <c r="G268" i="1"/>
  <c r="L268" i="1" s="1"/>
  <c r="F275" i="1"/>
  <c r="F269" i="1"/>
  <c r="F268" i="1"/>
  <c r="H153" i="1"/>
  <c r="H147" i="1"/>
  <c r="H146" i="1"/>
  <c r="H154" i="1" s="1"/>
  <c r="H161" i="1" s="1"/>
  <c r="H127" i="1"/>
  <c r="H102" i="1"/>
  <c r="H94" i="1"/>
  <c r="H70" i="1"/>
  <c r="H455" i="1"/>
  <c r="H466" i="1" s="1"/>
  <c r="H614" i="1" s="1"/>
  <c r="H458" i="1"/>
  <c r="H41" i="1"/>
  <c r="H43" i="1" s="1"/>
  <c r="J458" i="1"/>
  <c r="I421" i="1"/>
  <c r="J421" i="1"/>
  <c r="H424" i="1"/>
  <c r="H418" i="1"/>
  <c r="H419" i="1" s="1"/>
  <c r="H426" i="1" s="1"/>
  <c r="I392" i="1"/>
  <c r="I398" i="1"/>
  <c r="H398" i="1"/>
  <c r="H392" i="1"/>
  <c r="H393" i="1" s="1"/>
  <c r="H400" i="1" s="1"/>
  <c r="H634" i="1" s="1"/>
  <c r="J634" i="1" s="1"/>
  <c r="G449" i="1"/>
  <c r="G450" i="1" s="1"/>
  <c r="G451" i="1" s="1"/>
  <c r="H630" i="1" s="1"/>
  <c r="H434" i="1"/>
  <c r="H449" i="1" s="1"/>
  <c r="H450" i="1" s="1"/>
  <c r="H451" i="1" s="1"/>
  <c r="H631" i="1" s="1"/>
  <c r="J102" i="1"/>
  <c r="J94" i="1"/>
  <c r="H350" i="1"/>
  <c r="H352" i="1"/>
  <c r="H351" i="1"/>
  <c r="H354" i="1" s="1"/>
  <c r="I352" i="1"/>
  <c r="F352" i="1"/>
  <c r="I351" i="1"/>
  <c r="F351" i="1"/>
  <c r="F354" i="1" s="1"/>
  <c r="I350" i="1"/>
  <c r="I354" i="1" s="1"/>
  <c r="G624" i="1" s="1"/>
  <c r="G89" i="1"/>
  <c r="G103" i="1" s="1"/>
  <c r="G104" i="1" s="1"/>
  <c r="I462" i="1"/>
  <c r="I464" i="1" s="1"/>
  <c r="I41" i="1"/>
  <c r="I12" i="1"/>
  <c r="K373" i="1"/>
  <c r="I370" i="1"/>
  <c r="H370" i="1"/>
  <c r="L370" i="1" s="1"/>
  <c r="L374" i="1" s="1"/>
  <c r="G626" i="1" s="1"/>
  <c r="J626" i="1" s="1"/>
  <c r="J370" i="1"/>
  <c r="I458" i="1"/>
  <c r="I165" i="1"/>
  <c r="I94" i="1"/>
  <c r="I88" i="1"/>
  <c r="F51" i="2" s="1"/>
  <c r="F54" i="2" s="1"/>
  <c r="H31" i="1"/>
  <c r="H33" i="1" s="1"/>
  <c r="H12" i="1"/>
  <c r="I317" i="1"/>
  <c r="H317" i="1"/>
  <c r="G306" i="1"/>
  <c r="F306" i="1"/>
  <c r="H125" i="1"/>
  <c r="H128" i="1" s="1"/>
  <c r="H57" i="1"/>
  <c r="I128" i="1"/>
  <c r="G128" i="1"/>
  <c r="G132" i="1"/>
  <c r="F113" i="1"/>
  <c r="F132" i="1" s="1"/>
  <c r="F128" i="1"/>
  <c r="C37" i="10"/>
  <c r="C60" i="2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L219" i="1"/>
  <c r="F5" i="13"/>
  <c r="L191" i="1"/>
  <c r="L207" i="1"/>
  <c r="L209" i="1"/>
  <c r="L227" i="1"/>
  <c r="C12" i="10" s="1"/>
  <c r="F6" i="13"/>
  <c r="G6" i="13"/>
  <c r="L194" i="1"/>
  <c r="D6" i="13" s="1"/>
  <c r="C6" i="13" s="1"/>
  <c r="L212" i="1"/>
  <c r="L230" i="1"/>
  <c r="L213" i="1"/>
  <c r="G12" i="13"/>
  <c r="L215" i="1"/>
  <c r="G14" i="13"/>
  <c r="L217" i="1"/>
  <c r="F15" i="13"/>
  <c r="G15" i="13"/>
  <c r="L200" i="1"/>
  <c r="L218" i="1"/>
  <c r="L236" i="1"/>
  <c r="G641" i="1" s="1"/>
  <c r="F17" i="13"/>
  <c r="G17" i="13"/>
  <c r="L243" i="1"/>
  <c r="D17" i="13"/>
  <c r="C17" i="13" s="1"/>
  <c r="F18" i="13"/>
  <c r="D18" i="13" s="1"/>
  <c r="C18" i="13" s="1"/>
  <c r="G18" i="13"/>
  <c r="L244" i="1"/>
  <c r="F19" i="13"/>
  <c r="G19" i="13"/>
  <c r="L245" i="1"/>
  <c r="D19" i="13" s="1"/>
  <c r="C19" i="13" s="1"/>
  <c r="F29" i="13"/>
  <c r="G29" i="13"/>
  <c r="L351" i="1"/>
  <c r="I359" i="1"/>
  <c r="J320" i="1"/>
  <c r="K282" i="1"/>
  <c r="G31" i="13" s="1"/>
  <c r="K301" i="1"/>
  <c r="K320" i="1"/>
  <c r="L270" i="1"/>
  <c r="L271" i="1"/>
  <c r="L275" i="1"/>
  <c r="E112" i="2" s="1"/>
  <c r="L276" i="1"/>
  <c r="L277" i="1"/>
  <c r="E114" i="2" s="1"/>
  <c r="L279" i="1"/>
  <c r="L280" i="1"/>
  <c r="L288" i="1"/>
  <c r="L289" i="1"/>
  <c r="L290" i="1"/>
  <c r="L293" i="1"/>
  <c r="L294" i="1"/>
  <c r="L295" i="1"/>
  <c r="L296" i="1"/>
  <c r="L299" i="1"/>
  <c r="L306" i="1"/>
  <c r="L307" i="1"/>
  <c r="L308" i="1"/>
  <c r="L309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L333" i="1"/>
  <c r="L334" i="1"/>
  <c r="L247" i="1"/>
  <c r="F22" i="13" s="1"/>
  <c r="C22" i="13" s="1"/>
  <c r="L328" i="1"/>
  <c r="E122" i="2" s="1"/>
  <c r="C11" i="13"/>
  <c r="C10" i="13"/>
  <c r="C9" i="13"/>
  <c r="L353" i="1"/>
  <c r="B4" i="12"/>
  <c r="B36" i="12"/>
  <c r="A40" i="12" s="1"/>
  <c r="B40" i="12"/>
  <c r="B27" i="12"/>
  <c r="A31" i="12" s="1"/>
  <c r="C27" i="12"/>
  <c r="B31" i="12"/>
  <c r="C31" i="12"/>
  <c r="B13" i="12"/>
  <c r="B18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/>
  <c r="G55" i="2" s="1"/>
  <c r="G51" i="2"/>
  <c r="G54" i="2" s="1"/>
  <c r="G53" i="2"/>
  <c r="F2" i="11"/>
  <c r="L602" i="1"/>
  <c r="G653" i="1" s="1"/>
  <c r="C40" i="10"/>
  <c r="F52" i="1"/>
  <c r="G52" i="1"/>
  <c r="H52" i="1"/>
  <c r="I52" i="1"/>
  <c r="F86" i="1"/>
  <c r="C50" i="2" s="1"/>
  <c r="F103" i="1"/>
  <c r="H71" i="1"/>
  <c r="H104" i="1" s="1"/>
  <c r="H86" i="1"/>
  <c r="E50" i="2" s="1"/>
  <c r="H103" i="1"/>
  <c r="J103" i="1"/>
  <c r="J104" i="1"/>
  <c r="G113" i="1"/>
  <c r="H113" i="1"/>
  <c r="I113" i="1"/>
  <c r="I132" i="1" s="1"/>
  <c r="J113" i="1"/>
  <c r="J132" i="1" s="1"/>
  <c r="J185" i="1" s="1"/>
  <c r="J128" i="1"/>
  <c r="F139" i="1"/>
  <c r="F154" i="1"/>
  <c r="F161" i="1"/>
  <c r="G139" i="1"/>
  <c r="G154" i="1"/>
  <c r="G161" i="1" s="1"/>
  <c r="H139" i="1"/>
  <c r="I139" i="1"/>
  <c r="I161" i="1" s="1"/>
  <c r="I154" i="1"/>
  <c r="C19" i="10"/>
  <c r="L242" i="1"/>
  <c r="L324" i="1"/>
  <c r="E105" i="2" s="1"/>
  <c r="C23" i="10"/>
  <c r="L246" i="1"/>
  <c r="C24" i="10" s="1"/>
  <c r="L260" i="1"/>
  <c r="L261" i="1"/>
  <c r="L341" i="1"/>
  <c r="E134" i="2" s="1"/>
  <c r="L342" i="1"/>
  <c r="C26" i="10" s="1"/>
  <c r="I655" i="1"/>
  <c r="I660" i="1"/>
  <c r="I659" i="1"/>
  <c r="C42" i="10"/>
  <c r="C32" i="10"/>
  <c r="L366" i="1"/>
  <c r="L367" i="1"/>
  <c r="L368" i="1"/>
  <c r="F122" i="2" s="1"/>
  <c r="F136" i="2" s="1"/>
  <c r="F137" i="2" s="1"/>
  <c r="L369" i="1"/>
  <c r="L371" i="1"/>
  <c r="L372" i="1"/>
  <c r="B2" i="10"/>
  <c r="L336" i="1"/>
  <c r="L343" i="1" s="1"/>
  <c r="L337" i="1"/>
  <c r="E127" i="2" s="1"/>
  <c r="L338" i="1"/>
  <c r="E129" i="2" s="1"/>
  <c r="L339" i="1"/>
  <c r="K343" i="1"/>
  <c r="L512" i="1"/>
  <c r="F540" i="1" s="1"/>
  <c r="L516" i="1"/>
  <c r="G539" i="1" s="1"/>
  <c r="L518" i="1"/>
  <c r="G541" i="1" s="1"/>
  <c r="L521" i="1"/>
  <c r="L527" i="1"/>
  <c r="I540" i="1" s="1"/>
  <c r="L528" i="1"/>
  <c r="I541" i="1" s="1"/>
  <c r="L532" i="1"/>
  <c r="J540" i="1"/>
  <c r="L533" i="1"/>
  <c r="J541" i="1" s="1"/>
  <c r="E124" i="2"/>
  <c r="E123" i="2"/>
  <c r="J262" i="1"/>
  <c r="I262" i="1"/>
  <c r="H262" i="1"/>
  <c r="G262" i="1"/>
  <c r="F262" i="1"/>
  <c r="C123" i="2"/>
  <c r="A1" i="2"/>
  <c r="A2" i="2"/>
  <c r="C9" i="2"/>
  <c r="D9" i="2"/>
  <c r="E9" i="2"/>
  <c r="F9" i="2"/>
  <c r="I431" i="1"/>
  <c r="J9" i="1" s="1"/>
  <c r="C10" i="2"/>
  <c r="D10" i="2"/>
  <c r="E10" i="2"/>
  <c r="F10" i="2"/>
  <c r="I432" i="1"/>
  <c r="J10" i="1" s="1"/>
  <c r="G10" i="2" s="1"/>
  <c r="C11" i="2"/>
  <c r="C19" i="2" s="1"/>
  <c r="C12" i="2"/>
  <c r="D12" i="2"/>
  <c r="D19" i="2" s="1"/>
  <c r="E12" i="2"/>
  <c r="E19" i="2" s="1"/>
  <c r="F12" i="2"/>
  <c r="I433" i="1"/>
  <c r="J12" i="1"/>
  <c r="G12" i="2" s="1"/>
  <c r="C13" i="2"/>
  <c r="D13" i="2"/>
  <c r="E13" i="2"/>
  <c r="F13" i="2"/>
  <c r="C14" i="2"/>
  <c r="D14" i="2"/>
  <c r="E14" i="2"/>
  <c r="F14" i="2"/>
  <c r="I435" i="1"/>
  <c r="J14" i="1"/>
  <c r="G14" i="2" s="1"/>
  <c r="F15" i="2"/>
  <c r="C16" i="2"/>
  <c r="D16" i="2"/>
  <c r="E16" i="2"/>
  <c r="F16" i="2"/>
  <c r="F19" i="2" s="1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 s="1"/>
  <c r="G18" i="2" s="1"/>
  <c r="C22" i="2"/>
  <c r="D22" i="2"/>
  <c r="E22" i="2"/>
  <c r="F22" i="2"/>
  <c r="I440" i="1"/>
  <c r="J23" i="1"/>
  <c r="G22" i="2" s="1"/>
  <c r="C23" i="2"/>
  <c r="D23" i="2"/>
  <c r="D32" i="2" s="1"/>
  <c r="E23" i="2"/>
  <c r="F23" i="2"/>
  <c r="F32" i="2" s="1"/>
  <c r="I441" i="1"/>
  <c r="J24" i="1" s="1"/>
  <c r="G23" i="2" s="1"/>
  <c r="C24" i="2"/>
  <c r="C32" i="2" s="1"/>
  <c r="D24" i="2"/>
  <c r="E24" i="2"/>
  <c r="F24" i="2"/>
  <c r="I442" i="1"/>
  <c r="J25" i="1"/>
  <c r="G24" i="2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F30" i="2"/>
  <c r="C31" i="2"/>
  <c r="D31" i="2"/>
  <c r="E31" i="2"/>
  <c r="F31" i="2"/>
  <c r="I443" i="1"/>
  <c r="J32" i="1"/>
  <c r="G31" i="2" s="1"/>
  <c r="C34" i="2"/>
  <c r="C42" i="2" s="1"/>
  <c r="C43" i="2" s="1"/>
  <c r="D34" i="2"/>
  <c r="E34" i="2"/>
  <c r="F34" i="2"/>
  <c r="F42" i="2" s="1"/>
  <c r="F43" i="2" s="1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F37" i="2"/>
  <c r="I447" i="1"/>
  <c r="J38" i="1" s="1"/>
  <c r="G37" i="2" s="1"/>
  <c r="C38" i="2"/>
  <c r="D38" i="2"/>
  <c r="D42" i="2" s="1"/>
  <c r="E38" i="2"/>
  <c r="F38" i="2"/>
  <c r="I448" i="1"/>
  <c r="J40" i="1"/>
  <c r="G39" i="2"/>
  <c r="C40" i="2"/>
  <c r="D40" i="2"/>
  <c r="F40" i="2"/>
  <c r="C41" i="2"/>
  <c r="D41" i="2"/>
  <c r="E41" i="2"/>
  <c r="F41" i="2"/>
  <c r="D48" i="2"/>
  <c r="E48" i="2"/>
  <c r="F48" i="2"/>
  <c r="F55" i="2" s="1"/>
  <c r="F96" i="2" s="1"/>
  <c r="C51" i="2"/>
  <c r="D51" i="2"/>
  <c r="E51" i="2"/>
  <c r="C53" i="2"/>
  <c r="D53" i="2"/>
  <c r="E53" i="2"/>
  <c r="F53" i="2"/>
  <c r="C58" i="2"/>
  <c r="C62" i="2" s="1"/>
  <c r="C59" i="2"/>
  <c r="C61" i="2"/>
  <c r="D61" i="2"/>
  <c r="E61" i="2"/>
  <c r="F61" i="2"/>
  <c r="G61" i="2"/>
  <c r="D62" i="2"/>
  <c r="D73" i="2" s="1"/>
  <c r="E62" i="2"/>
  <c r="F62" i="2"/>
  <c r="G62" i="2"/>
  <c r="C64" i="2"/>
  <c r="F64" i="2"/>
  <c r="F70" i="2" s="1"/>
  <c r="F73" i="2" s="1"/>
  <c r="C65" i="2"/>
  <c r="F65" i="2"/>
  <c r="C66" i="2"/>
  <c r="C67" i="2"/>
  <c r="C68" i="2"/>
  <c r="E68" i="2"/>
  <c r="F68" i="2"/>
  <c r="C69" i="2"/>
  <c r="C70" i="2" s="1"/>
  <c r="C73" i="2" s="1"/>
  <c r="D69" i="2"/>
  <c r="F69" i="2"/>
  <c r="G69" i="2"/>
  <c r="G70" i="2" s="1"/>
  <c r="G73" i="2" s="1"/>
  <c r="D70" i="2"/>
  <c r="C71" i="2"/>
  <c r="D71" i="2"/>
  <c r="E71" i="2"/>
  <c r="C72" i="2"/>
  <c r="E72" i="2"/>
  <c r="C77" i="2"/>
  <c r="D77" i="2"/>
  <c r="D83" i="2" s="1"/>
  <c r="E77" i="2"/>
  <c r="E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C85" i="2"/>
  <c r="C95" i="2" s="1"/>
  <c r="F85" i="2"/>
  <c r="F95" i="2" s="1"/>
  <c r="C86" i="2"/>
  <c r="F86" i="2"/>
  <c r="D88" i="2"/>
  <c r="E88" i="2"/>
  <c r="F88" i="2"/>
  <c r="G88" i="2"/>
  <c r="G95" i="2" s="1"/>
  <c r="C89" i="2"/>
  <c r="D89" i="2"/>
  <c r="E89" i="2"/>
  <c r="F89" i="2"/>
  <c r="G89" i="2"/>
  <c r="C90" i="2"/>
  <c r="D90" i="2"/>
  <c r="D95" i="2" s="1"/>
  <c r="E90" i="2"/>
  <c r="G90" i="2"/>
  <c r="C91" i="2"/>
  <c r="D91" i="2"/>
  <c r="E91" i="2"/>
  <c r="E95" i="2" s="1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103" i="2"/>
  <c r="E103" i="2"/>
  <c r="E104" i="2"/>
  <c r="C105" i="2"/>
  <c r="D107" i="2"/>
  <c r="F107" i="2"/>
  <c r="G107" i="2"/>
  <c r="C110" i="2"/>
  <c r="E113" i="2"/>
  <c r="C114" i="2"/>
  <c r="C116" i="2"/>
  <c r="E117" i="2"/>
  <c r="F120" i="2"/>
  <c r="G120" i="2"/>
  <c r="C122" i="2"/>
  <c r="D126" i="2"/>
  <c r="E126" i="2"/>
  <c r="F126" i="2"/>
  <c r="K411" i="1"/>
  <c r="K426" i="1" s="1"/>
  <c r="G126" i="2" s="1"/>
  <c r="G136" i="2" s="1"/>
  <c r="K419" i="1"/>
  <c r="K425" i="1"/>
  <c r="L255" i="1"/>
  <c r="C127" i="2"/>
  <c r="L256" i="1"/>
  <c r="C128" i="2"/>
  <c r="L257" i="1"/>
  <c r="C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G151" i="2" s="1"/>
  <c r="C151" i="2"/>
  <c r="D151" i="2"/>
  <c r="E151" i="2"/>
  <c r="F151" i="2"/>
  <c r="B152" i="2"/>
  <c r="C152" i="2"/>
  <c r="G152" i="2" s="1"/>
  <c r="D152" i="2"/>
  <c r="E152" i="2"/>
  <c r="F152" i="2"/>
  <c r="F490" i="1"/>
  <c r="K490" i="1" s="1"/>
  <c r="B153" i="2"/>
  <c r="G490" i="1"/>
  <c r="C153" i="2" s="1"/>
  <c r="H490" i="1"/>
  <c r="D153" i="2" s="1"/>
  <c r="I490" i="1"/>
  <c r="E153" i="2"/>
  <c r="J490" i="1"/>
  <c r="F153" i="2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K493" i="1" s="1"/>
  <c r="B156" i="2"/>
  <c r="G493" i="1"/>
  <c r="C156" i="2"/>
  <c r="H493" i="1"/>
  <c r="D156" i="2" s="1"/>
  <c r="G156" i="2" s="1"/>
  <c r="I493" i="1"/>
  <c r="E156" i="2"/>
  <c r="J493" i="1"/>
  <c r="F156" i="2"/>
  <c r="F19" i="1"/>
  <c r="G19" i="1"/>
  <c r="H19" i="1"/>
  <c r="G609" i="1" s="1"/>
  <c r="I19" i="1"/>
  <c r="F33" i="1"/>
  <c r="G33" i="1"/>
  <c r="I33" i="1"/>
  <c r="F43" i="1"/>
  <c r="F44" i="1" s="1"/>
  <c r="H607" i="1" s="1"/>
  <c r="J607" i="1" s="1"/>
  <c r="G43" i="1"/>
  <c r="G44" i="1" s="1"/>
  <c r="H608" i="1" s="1"/>
  <c r="I43" i="1"/>
  <c r="I44" i="1" s="1"/>
  <c r="H610" i="1" s="1"/>
  <c r="F169" i="1"/>
  <c r="F184" i="1" s="1"/>
  <c r="I169" i="1"/>
  <c r="F175" i="1"/>
  <c r="G175" i="1"/>
  <c r="G184" i="1" s="1"/>
  <c r="H175" i="1"/>
  <c r="I175" i="1"/>
  <c r="J175" i="1"/>
  <c r="G635" i="1" s="1"/>
  <c r="J635" i="1" s="1"/>
  <c r="F180" i="1"/>
  <c r="G180" i="1"/>
  <c r="H180" i="1"/>
  <c r="H184" i="1" s="1"/>
  <c r="I180" i="1"/>
  <c r="I184" i="1"/>
  <c r="J184" i="1"/>
  <c r="F203" i="1"/>
  <c r="F249" i="1" s="1"/>
  <c r="F263" i="1" s="1"/>
  <c r="K203" i="1"/>
  <c r="F221" i="1"/>
  <c r="I221" i="1"/>
  <c r="J221" i="1"/>
  <c r="K221" i="1"/>
  <c r="F239" i="1"/>
  <c r="K239" i="1"/>
  <c r="F248" i="1"/>
  <c r="L248" i="1" s="1"/>
  <c r="G248" i="1"/>
  <c r="H248" i="1"/>
  <c r="I248" i="1"/>
  <c r="J248" i="1"/>
  <c r="K248" i="1"/>
  <c r="K249" i="1"/>
  <c r="G282" i="1"/>
  <c r="H282" i="1"/>
  <c r="H330" i="1" s="1"/>
  <c r="H344" i="1" s="1"/>
  <c r="G301" i="1"/>
  <c r="H301" i="1"/>
  <c r="I301" i="1"/>
  <c r="F320" i="1"/>
  <c r="F329" i="1"/>
  <c r="G329" i="1"/>
  <c r="L329" i="1" s="1"/>
  <c r="H329" i="1"/>
  <c r="I329" i="1"/>
  <c r="J329" i="1"/>
  <c r="K329" i="1"/>
  <c r="J354" i="1"/>
  <c r="K354" i="1"/>
  <c r="I360" i="1"/>
  <c r="I361" i="1" s="1"/>
  <c r="H624" i="1" s="1"/>
  <c r="F361" i="1"/>
  <c r="G361" i="1"/>
  <c r="H361" i="1"/>
  <c r="L373" i="1"/>
  <c r="F374" i="1"/>
  <c r="G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I393" i="1"/>
  <c r="F399" i="1"/>
  <c r="G399" i="1"/>
  <c r="H399" i="1"/>
  <c r="I399" i="1"/>
  <c r="I400" i="1" s="1"/>
  <c r="L405" i="1"/>
  <c r="L406" i="1"/>
  <c r="L407" i="1"/>
  <c r="L408" i="1"/>
  <c r="L409" i="1"/>
  <c r="L410" i="1"/>
  <c r="L411" i="1" s="1"/>
  <c r="F411" i="1"/>
  <c r="F426" i="1" s="1"/>
  <c r="G411" i="1"/>
  <c r="H411" i="1"/>
  <c r="I411" i="1"/>
  <c r="I426" i="1" s="1"/>
  <c r="J411" i="1"/>
  <c r="J426" i="1" s="1"/>
  <c r="L413" i="1"/>
  <c r="L414" i="1"/>
  <c r="L415" i="1"/>
  <c r="L416" i="1"/>
  <c r="L417" i="1"/>
  <c r="L418" i="1"/>
  <c r="L419" i="1" s="1"/>
  <c r="F419" i="1"/>
  <c r="G419" i="1"/>
  <c r="I419" i="1"/>
  <c r="J419" i="1"/>
  <c r="L421" i="1"/>
  <c r="L425" i="1" s="1"/>
  <c r="L422" i="1"/>
  <c r="L423" i="1"/>
  <c r="L424" i="1"/>
  <c r="F425" i="1"/>
  <c r="G425" i="1"/>
  <c r="G426" i="1" s="1"/>
  <c r="H425" i="1"/>
  <c r="I425" i="1"/>
  <c r="J425" i="1"/>
  <c r="F438" i="1"/>
  <c r="G629" i="1" s="1"/>
  <c r="G438" i="1"/>
  <c r="G630" i="1" s="1"/>
  <c r="J630" i="1" s="1"/>
  <c r="H438" i="1"/>
  <c r="G631" i="1" s="1"/>
  <c r="J631" i="1" s="1"/>
  <c r="F444" i="1"/>
  <c r="G444" i="1"/>
  <c r="H444" i="1"/>
  <c r="I444" i="1"/>
  <c r="F450" i="1"/>
  <c r="F451" i="1" s="1"/>
  <c r="H629" i="1" s="1"/>
  <c r="F460" i="1"/>
  <c r="G460" i="1"/>
  <c r="G466" i="1" s="1"/>
  <c r="H613" i="1" s="1"/>
  <c r="H460" i="1"/>
  <c r="I460" i="1"/>
  <c r="J460" i="1"/>
  <c r="G464" i="1"/>
  <c r="H464" i="1"/>
  <c r="J464" i="1"/>
  <c r="J466" i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J514" i="1"/>
  <c r="K514" i="1"/>
  <c r="K535" i="1" s="1"/>
  <c r="H519" i="1"/>
  <c r="I519" i="1"/>
  <c r="J519" i="1"/>
  <c r="J535" i="1" s="1"/>
  <c r="K519" i="1"/>
  <c r="F524" i="1"/>
  <c r="G524" i="1"/>
  <c r="I524" i="1"/>
  <c r="J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61" i="1" s="1"/>
  <c r="L548" i="1"/>
  <c r="L549" i="1"/>
  <c r="F550" i="1"/>
  <c r="G550" i="1"/>
  <c r="G561" i="1" s="1"/>
  <c r="H550" i="1"/>
  <c r="H561" i="1" s="1"/>
  <c r="I550" i="1"/>
  <c r="I561" i="1" s="1"/>
  <c r="J550" i="1"/>
  <c r="K550" i="1"/>
  <c r="L552" i="1"/>
  <c r="L555" i="1" s="1"/>
  <c r="L553" i="1"/>
  <c r="L554" i="1"/>
  <c r="F555" i="1"/>
  <c r="G555" i="1"/>
  <c r="H555" i="1"/>
  <c r="I555" i="1"/>
  <c r="J555" i="1"/>
  <c r="J561" i="1" s="1"/>
  <c r="K555" i="1"/>
  <c r="L557" i="1"/>
  <c r="L559" i="1"/>
  <c r="F560" i="1"/>
  <c r="F561" i="1" s="1"/>
  <c r="G560" i="1"/>
  <c r="H560" i="1"/>
  <c r="I560" i="1"/>
  <c r="J560" i="1"/>
  <c r="K560" i="1"/>
  <c r="K561" i="1"/>
  <c r="I565" i="1"/>
  <c r="I566" i="1"/>
  <c r="I567" i="1"/>
  <c r="I568" i="1"/>
  <c r="I569" i="1"/>
  <c r="I570" i="1"/>
  <c r="I571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 s="1"/>
  <c r="I588" i="1"/>
  <c r="J588" i="1"/>
  <c r="H641" i="1" s="1"/>
  <c r="K588" i="1"/>
  <c r="G637" i="1" s="1"/>
  <c r="K592" i="1"/>
  <c r="K593" i="1"/>
  <c r="K595" i="1" s="1"/>
  <c r="G638" i="1" s="1"/>
  <c r="K594" i="1"/>
  <c r="H595" i="1"/>
  <c r="I595" i="1"/>
  <c r="J595" i="1"/>
  <c r="F604" i="1"/>
  <c r="G604" i="1"/>
  <c r="H604" i="1"/>
  <c r="I604" i="1"/>
  <c r="J604" i="1"/>
  <c r="K604" i="1"/>
  <c r="G607" i="1"/>
  <c r="G608" i="1"/>
  <c r="G610" i="1"/>
  <c r="G615" i="1"/>
  <c r="H617" i="1"/>
  <c r="H618" i="1"/>
  <c r="H619" i="1"/>
  <c r="H620" i="1"/>
  <c r="H621" i="1"/>
  <c r="H623" i="1"/>
  <c r="H625" i="1"/>
  <c r="H626" i="1"/>
  <c r="H627" i="1"/>
  <c r="H628" i="1"/>
  <c r="G633" i="1"/>
  <c r="G634" i="1"/>
  <c r="G640" i="1"/>
  <c r="J640" i="1" s="1"/>
  <c r="H640" i="1"/>
  <c r="G642" i="1"/>
  <c r="H642" i="1"/>
  <c r="J642" i="1"/>
  <c r="G643" i="1"/>
  <c r="H643" i="1"/>
  <c r="J643" i="1"/>
  <c r="G644" i="1"/>
  <c r="J644" i="1" s="1"/>
  <c r="H644" i="1"/>
  <c r="G645" i="1"/>
  <c r="H645" i="1"/>
  <c r="J645" i="1"/>
  <c r="L352" i="1"/>
  <c r="G354" i="1"/>
  <c r="G32" i="2" l="1"/>
  <c r="I466" i="1"/>
  <c r="H615" i="1" s="1"/>
  <c r="J615" i="1" s="1"/>
  <c r="L426" i="1"/>
  <c r="G628" i="1" s="1"/>
  <c r="J628" i="1" s="1"/>
  <c r="D43" i="2"/>
  <c r="C39" i="10"/>
  <c r="G96" i="2"/>
  <c r="L524" i="1"/>
  <c r="J641" i="1"/>
  <c r="C54" i="2"/>
  <c r="K541" i="1"/>
  <c r="J610" i="1"/>
  <c r="H25" i="13"/>
  <c r="G614" i="1"/>
  <c r="J614" i="1" s="1"/>
  <c r="H44" i="1"/>
  <c r="H609" i="1" s="1"/>
  <c r="J609" i="1" s="1"/>
  <c r="E110" i="2"/>
  <c r="G542" i="1"/>
  <c r="G652" i="1"/>
  <c r="J608" i="1"/>
  <c r="K540" i="1"/>
  <c r="G636" i="1"/>
  <c r="G621" i="1"/>
  <c r="J621" i="1" s="1"/>
  <c r="C21" i="10"/>
  <c r="G185" i="1"/>
  <c r="G618" i="1" s="1"/>
  <c r="J618" i="1" s="1"/>
  <c r="F31" i="13"/>
  <c r="J330" i="1"/>
  <c r="J344" i="1" s="1"/>
  <c r="C101" i="2"/>
  <c r="I249" i="1"/>
  <c r="I263" i="1" s="1"/>
  <c r="I539" i="1"/>
  <c r="I542" i="1" s="1"/>
  <c r="L529" i="1"/>
  <c r="I451" i="1"/>
  <c r="H632" i="1" s="1"/>
  <c r="G9" i="2"/>
  <c r="C38" i="10"/>
  <c r="J624" i="1"/>
  <c r="G249" i="1"/>
  <c r="G263" i="1" s="1"/>
  <c r="H249" i="1"/>
  <c r="H263" i="1" s="1"/>
  <c r="L604" i="1"/>
  <c r="F653" i="1"/>
  <c r="I653" i="1" s="1"/>
  <c r="L534" i="1"/>
  <c r="J539" i="1"/>
  <c r="J542" i="1" s="1"/>
  <c r="J637" i="1"/>
  <c r="E32" i="2"/>
  <c r="H132" i="1"/>
  <c r="H185" i="1" s="1"/>
  <c r="G619" i="1" s="1"/>
  <c r="J619" i="1" s="1"/>
  <c r="F104" i="1"/>
  <c r="F185" i="1" s="1"/>
  <c r="G617" i="1" s="1"/>
  <c r="J617" i="1" s="1"/>
  <c r="G36" i="2"/>
  <c r="G42" i="2" s="1"/>
  <c r="G43" i="2" s="1"/>
  <c r="J43" i="1"/>
  <c r="L400" i="1"/>
  <c r="C130" i="2"/>
  <c r="C133" i="2" s="1"/>
  <c r="G153" i="2"/>
  <c r="C104" i="2"/>
  <c r="C13" i="10"/>
  <c r="C124" i="2"/>
  <c r="C136" i="2" s="1"/>
  <c r="C25" i="10"/>
  <c r="D14" i="13"/>
  <c r="C14" i="13" s="1"/>
  <c r="C115" i="2"/>
  <c r="D12" i="13"/>
  <c r="C12" i="13" s="1"/>
  <c r="L514" i="1"/>
  <c r="F539" i="1"/>
  <c r="C8" i="13"/>
  <c r="E33" i="13"/>
  <c r="D35" i="13" s="1"/>
  <c r="G33" i="13"/>
  <c r="J629" i="1"/>
  <c r="G137" i="2"/>
  <c r="E16" i="13"/>
  <c r="C16" i="13" s="1"/>
  <c r="H524" i="1"/>
  <c r="H535" i="1" s="1"/>
  <c r="K330" i="1"/>
  <c r="K344" i="1" s="1"/>
  <c r="J239" i="1"/>
  <c r="J203" i="1"/>
  <c r="J33" i="1"/>
  <c r="E135" i="2"/>
  <c r="E136" i="2" s="1"/>
  <c r="E30" i="2"/>
  <c r="H652" i="1"/>
  <c r="L287" i="1"/>
  <c r="L301" i="1" s="1"/>
  <c r="G650" i="1" s="1"/>
  <c r="L350" i="1"/>
  <c r="L195" i="1"/>
  <c r="L203" i="1" s="1"/>
  <c r="L226" i="1"/>
  <c r="D5" i="13" s="1"/>
  <c r="G613" i="1"/>
  <c r="J613" i="1" s="1"/>
  <c r="I514" i="1"/>
  <c r="I535" i="1" s="1"/>
  <c r="I450" i="1"/>
  <c r="C106" i="2"/>
  <c r="I449" i="1"/>
  <c r="J41" i="1" s="1"/>
  <c r="G40" i="2" s="1"/>
  <c r="I434" i="1"/>
  <c r="J13" i="1" s="1"/>
  <c r="G13" i="2" s="1"/>
  <c r="K262" i="1"/>
  <c r="K263" i="1" s="1"/>
  <c r="C17" i="10"/>
  <c r="C35" i="10"/>
  <c r="H637" i="1"/>
  <c r="H374" i="1"/>
  <c r="C112" i="2"/>
  <c r="C29" i="10"/>
  <c r="F652" i="1"/>
  <c r="I103" i="1"/>
  <c r="I104" i="1" s="1"/>
  <c r="I185" i="1" s="1"/>
  <c r="G620" i="1" s="1"/>
  <c r="J620" i="1" s="1"/>
  <c r="B9" i="12"/>
  <c r="A13" i="12" s="1"/>
  <c r="L519" i="1"/>
  <c r="F464" i="1"/>
  <c r="F466" i="1" s="1"/>
  <c r="H612" i="1" s="1"/>
  <c r="G320" i="1"/>
  <c r="G330" i="1" s="1"/>
  <c r="G344" i="1" s="1"/>
  <c r="E49" i="2"/>
  <c r="E54" i="2" s="1"/>
  <c r="E55" i="2" s="1"/>
  <c r="E96" i="2" s="1"/>
  <c r="E40" i="2"/>
  <c r="E42" i="2" s="1"/>
  <c r="E43" i="2" s="1"/>
  <c r="H539" i="1"/>
  <c r="H542" i="1" s="1"/>
  <c r="C15" i="10"/>
  <c r="D15" i="13"/>
  <c r="C15" i="13" s="1"/>
  <c r="C18" i="12"/>
  <c r="C19" i="12" s="1"/>
  <c r="C22" i="12" s="1"/>
  <c r="G612" i="1"/>
  <c r="J612" i="1" s="1"/>
  <c r="L278" i="1"/>
  <c r="E115" i="2" s="1"/>
  <c r="L233" i="1"/>
  <c r="C18" i="10" s="1"/>
  <c r="G519" i="1"/>
  <c r="G535" i="1" s="1"/>
  <c r="E69" i="2"/>
  <c r="E70" i="2" s="1"/>
  <c r="E73" i="2" s="1"/>
  <c r="D52" i="2"/>
  <c r="D54" i="2" s="1"/>
  <c r="D55" i="2" s="1"/>
  <c r="D96" i="2" s="1"/>
  <c r="C48" i="2"/>
  <c r="C55" i="2" s="1"/>
  <c r="C96" i="2" s="1"/>
  <c r="F33" i="13"/>
  <c r="C20" i="12"/>
  <c r="G639" i="1"/>
  <c r="J639" i="1" s="1"/>
  <c r="C5" i="13" l="1"/>
  <c r="F650" i="1"/>
  <c r="A22" i="12"/>
  <c r="C25" i="13"/>
  <c r="H33" i="13"/>
  <c r="G616" i="1"/>
  <c r="J616" i="1" s="1"/>
  <c r="J44" i="1"/>
  <c r="H611" i="1" s="1"/>
  <c r="E120" i="2"/>
  <c r="C20" i="10"/>
  <c r="C11" i="10"/>
  <c r="L239" i="1"/>
  <c r="H650" i="1" s="1"/>
  <c r="H654" i="1" s="1"/>
  <c r="C36" i="10"/>
  <c r="C41" i="10" s="1"/>
  <c r="J249" i="1"/>
  <c r="C102" i="2"/>
  <c r="C107" i="2" s="1"/>
  <c r="C137" i="2" s="1"/>
  <c r="L282" i="1"/>
  <c r="E101" i="2"/>
  <c r="E107" i="2" s="1"/>
  <c r="E137" i="2" s="1"/>
  <c r="I652" i="1"/>
  <c r="K539" i="1"/>
  <c r="K542" i="1" s="1"/>
  <c r="F542" i="1"/>
  <c r="I438" i="1"/>
  <c r="G632" i="1" s="1"/>
  <c r="J632" i="1" s="1"/>
  <c r="J19" i="1"/>
  <c r="G611" i="1" s="1"/>
  <c r="L262" i="1"/>
  <c r="D7" i="13"/>
  <c r="C7" i="13" s="1"/>
  <c r="C111" i="2"/>
  <c r="C120" i="2" s="1"/>
  <c r="C16" i="10"/>
  <c r="C113" i="2"/>
  <c r="G627" i="1"/>
  <c r="J627" i="1" s="1"/>
  <c r="H636" i="1"/>
  <c r="J636" i="1" s="1"/>
  <c r="G19" i="2"/>
  <c r="C10" i="10"/>
  <c r="L535" i="1"/>
  <c r="G651" i="1"/>
  <c r="G654" i="1" s="1"/>
  <c r="L354" i="1"/>
  <c r="D119" i="2"/>
  <c r="D120" i="2" s="1"/>
  <c r="D137" i="2" s="1"/>
  <c r="D29" i="13"/>
  <c r="C29" i="13" s="1"/>
  <c r="H651" i="1"/>
  <c r="F651" i="1"/>
  <c r="I651" i="1" s="1"/>
  <c r="G657" i="1" l="1"/>
  <c r="G662" i="1"/>
  <c r="C5" i="10" s="1"/>
  <c r="D40" i="10"/>
  <c r="D37" i="10"/>
  <c r="D39" i="10"/>
  <c r="D35" i="10"/>
  <c r="D38" i="10"/>
  <c r="C27" i="10"/>
  <c r="G625" i="1"/>
  <c r="J625" i="1" s="1"/>
  <c r="J263" i="1"/>
  <c r="H638" i="1"/>
  <c r="J638" i="1" s="1"/>
  <c r="J611" i="1"/>
  <c r="H657" i="1"/>
  <c r="H662" i="1"/>
  <c r="C6" i="10" s="1"/>
  <c r="I650" i="1"/>
  <c r="I654" i="1" s="1"/>
  <c r="F654" i="1"/>
  <c r="L249" i="1"/>
  <c r="L263" i="1" s="1"/>
  <c r="G622" i="1" s="1"/>
  <c r="J622" i="1" s="1"/>
  <c r="D36" i="10"/>
  <c r="C28" i="10"/>
  <c r="D16" i="10" s="1"/>
  <c r="D31" i="13"/>
  <c r="C31" i="13" s="1"/>
  <c r="L330" i="1"/>
  <c r="L344" i="1" s="1"/>
  <c r="G623" i="1" s="1"/>
  <c r="J623" i="1" s="1"/>
  <c r="I662" i="1" l="1"/>
  <c r="C7" i="10" s="1"/>
  <c r="I657" i="1"/>
  <c r="D22" i="10"/>
  <c r="C30" i="10"/>
  <c r="D23" i="10"/>
  <c r="D19" i="10"/>
  <c r="D12" i="10"/>
  <c r="D24" i="10"/>
  <c r="D26" i="10"/>
  <c r="D17" i="10"/>
  <c r="D18" i="10"/>
  <c r="D25" i="10"/>
  <c r="D13" i="10"/>
  <c r="D15" i="10"/>
  <c r="D21" i="10"/>
  <c r="D33" i="13"/>
  <c r="D36" i="13" s="1"/>
  <c r="D20" i="10"/>
  <c r="D11" i="10"/>
  <c r="D27" i="10"/>
  <c r="D41" i="10"/>
  <c r="F657" i="1"/>
  <c r="F662" i="1"/>
  <c r="C4" i="10" s="1"/>
  <c r="D10" i="10"/>
  <c r="H646" i="1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2AD8C2ED-CA19-4202-BB7F-50A260F24932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F2D31CB9-7164-4708-BA22-4C5DA4020C85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61D6E91-45CB-4D71-969F-1EA6616A1E2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8962F530-C04B-407C-8755-ADE2C86DB3B2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AAD302F-4123-4EA7-9FF3-14E6DAB298FC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53A362C4-2F21-4838-A85A-75EDFB6C2CE7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76CC7F48-91E9-49F0-9451-49414D4820FF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58422B03-59F6-4F4B-B701-0043AC1681A4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9194531C-08CA-4D0C-A392-4C14D2715D57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BED96591-036A-4376-A0CC-31C75E630485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6FDACB79-2DF8-459C-B664-FF3FE73BDAEA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56733E3C-4DB3-4C80-AD2A-AA2223B7A5E2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<sst xmlns="http://schemas.openxmlformats.org/spreadsheetml/2006/main" count="3876" uniqueCount="909">
  <si>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</si>
  <si>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</si>
  <si>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</si>
  <si>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</si>
  <si>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</si>
  <si>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</si>
  <si>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</si>
  <si>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</si>
  <si>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</si>
  <si>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</si>
  <si>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</si>
  <si>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</si>
  <si>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</si>
  <si>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</si>
  <si>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</si>
  <si>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</si>
  <si>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</si>
  <si>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</si>
  <si>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</si>
  <si>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</si>
  <si>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</si>
  <si>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</si>
  <si>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</si>
  <si>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</si>
  <si>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</si>
  <si>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</si>
  <si>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</si>
  <si>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</si>
  <si>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</si>
  <si>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</si>
  <si>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</si>
  <si>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</si>
  <si>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</si>
  <si>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</si>
  <si>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</si>
  <si>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</si>
  <si>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</si>
  <si>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</si>
  <si>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</si>
  <si>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</si>
  <si>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</si>
  <si>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</si>
  <si>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</si>
  <si>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</si>
  <si>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</si>
  <si>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</si>
  <si>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</si>
  <si>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</si>
  <si>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</si>
  <si>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</si>
  <si>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</si>
  <si>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</si>
  <si>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</si>
  <si>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</si>
  <si>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</si>
  <si>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</si>
  <si>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</si>
  <si>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</si>
  <si>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</si>
  <si>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</si>
  <si>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</si>
  <si>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</si>
  <si>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</si>
  <si>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</si>
  <si>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</si>
  <si>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</si>
  <si>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</si>
  <si>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</si>
  <si>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</si>
  <si>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</si>
  <si>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</si>
  <si>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</si>
  <si>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</si>
  <si>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</si>
  <si>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</si>
  <si>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</si>
  <si>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</si>
  <si>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</si>
  <si>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</si>
  <si>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</si>
  <si>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</si>
  <si>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</si>
  <si>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</si>
  <si>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</si>
  <si>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</si>
  <si>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</si>
  <si>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</si>
  <si>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</si>
  <si>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</si>
  <si>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</si>
  <si>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</si>
  <si>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</si>
  <si>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</si>
  <si>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</si>
  <si>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</si>
  <si>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</si>
  <si>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</si>
  <si>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</si>
  <si>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</si>
  <si>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</si>
  <si>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</si>
  <si>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</si>
  <si>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</si>
  <si>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</si>
  <si>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</si>
  <si>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</si>
  <si>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</si>
  <si>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</si>
  <si>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</si>
  <si>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</si>
  <si>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</si>
  <si>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</si>
  <si>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</si>
  <si>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</si>
  <si>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</si>
  <si>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</si>
  <si>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</si>
  <si>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</si>
  <si>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</si>
  <si>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</si>
  <si>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</si>
  <si>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</si>
  <si>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</si>
  <si>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</si>
  <si>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</si>
  <si>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</si>
  <si>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</si>
  <si>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</si>
  <si>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</si>
  <si>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</si>
  <si>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</si>
  <si>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</si>
  <si>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</si>
  <si>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</si>
  <si>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</si>
  <si>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</si>
  <si>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</si>
  <si>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</si>
  <si>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</si>
  <si>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</si>
  <si>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</si>
  <si>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</si>
  <si>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</si>
  <si>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</si>
  <si>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</si>
  <si>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</si>
  <si>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</si>
  <si>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</si>
  <si>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</si>
  <si>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</si>
  <si>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</si>
  <si>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</si>
  <si>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</si>
  <si>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</si>
  <si>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</si>
  <si>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</si>
  <si>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</si>
  <si>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</si>
  <si>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</si>
  <si>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</si>
  <si>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</si>
  <si>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</si>
  <si>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</si>
  <si>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</si>
  <si>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</si>
  <si>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</si>
  <si>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</si>
  <si>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</si>
  <si>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</si>
  <si>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</si>
  <si>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</si>
  <si>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</si>
  <si>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</si>
  <si>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</si>
  <si>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</si>
  <si>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</si>
  <si>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</si>
  <si>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</si>
  <si>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</si>
  <si>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</si>
  <si>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</si>
  <si>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</si>
  <si>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</si>
  <si>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</si>
  <si>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</si>
  <si>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</si>
  <si>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</si>
  <si>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</si>
  <si>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</si>
  <si>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</si>
  <si>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</si>
  <si>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</si>
  <si>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</si>
  <si>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</si>
  <si>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</si>
  <si>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</si>
  <si>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</si>
  <si>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</si>
  <si>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</si>
  <si>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</si>
  <si>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</si>
  <si>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</si>
  <si>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</si>
  <si>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</si>
  <si>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</si>
  <si>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</si>
  <si>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</si>
  <si>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</si>
  <si>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</si>
  <si>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</si>
  <si>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</si>
  <si>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</si>
  <si>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</si>
  <si>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</si>
  <si>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</si>
  <si>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</si>
  <si>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</si>
  <si>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</si>
  <si>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</si>
  <si>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</si>
  <si>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</si>
  <si>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</si>
  <si>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</si>
  <si>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</si>
  <si>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</si>
  <si>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</si>
  <si>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</si>
  <si>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</si>
  <si>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</si>
  <si>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</si>
  <si>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</si>
  <si>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</si>
  <si>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</si>
  <si>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</si>
  <si>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</si>
  <si>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</si>
  <si>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</si>
  <si>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</si>
  <si>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</si>
  <si>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</si>
  <si>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</si>
  <si>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</si>
  <si>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</si>
  <si>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</si>
  <si>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</si>
  <si>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</si>
  <si>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</si>
  <si>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</si>
  <si>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</si>
  <si>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</si>
  <si>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</si>
  <si>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</si>
  <si>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</si>
  <si>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</si>
  <si>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</si>
  <si>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</si>
  <si>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</si>
  <si>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</si>
  <si>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</si>
  <si>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</si>
  <si>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</si>
  <si>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</si>
  <si>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</si>
  <si>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</si>
  <si>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</si>
  <si>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</si>
  <si>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</si>
  <si>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</si>
  <si>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</si>
  <si>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</si>
  <si>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</si>
  <si>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</si>
  <si>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</si>
  <si>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</si>
  <si>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</si>
  <si>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</si>
  <si>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</si>
  <si>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</si>
  <si>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</si>
  <si>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</si>
  <si>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</si>
  <si>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</si>
  <si>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</si>
  <si>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</si>
  <si>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</si>
  <si>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</si>
  <si>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</si>
  <si>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</si>
  <si>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</si>
  <si>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</si>
  <si>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</si>
  <si>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</si>
  <si>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</si>
  <si>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</si>
  <si>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</si>
  <si>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</si>
  <si>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</si>
  <si>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</si>
  <si>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</si>
  <si>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</si>
  <si>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</si>
  <si>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</si>
  <si>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</si>
  <si>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</si>
  <si>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</si>
  <si>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</si>
  <si>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</si>
  <si>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</si>
  <si>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</si>
  <si>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</si>
  <si>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</si>
  <si>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</si>
  <si>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</si>
  <si>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</si>
  <si>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</si>
  <si>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</si>
  <si>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</si>
  <si>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</si>
  <si>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</si>
  <si>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</si>
  <si>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</si>
  <si>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</si>
  <si>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</si>
  <si>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</si>
  <si>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</si>
  <si>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</si>
  <si>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</si>
  <si>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</si>
  <si>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</si>
  <si>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</si>
  <si>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</si>
  <si>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</si>
  <si>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</si>
  <si>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</si>
  <si>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</si>
  <si>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</si>
  <si>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</si>
  <si>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</si>
  <si>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</si>
  <si>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</si>
  <si>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</si>
  <si>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</si>
  <si>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</si>
  <si>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</si>
  <si>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</si>
  <si>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</si>
  <si>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</si>
  <si>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</si>
  <si>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</si>
  <si>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</si>
  <si>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</si>
  <si>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</si>
  <si>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</si>
  <si>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</si>
  <si>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</si>
  <si>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</si>
  <si>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</si>
  <si>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</si>
  <si>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</si>
  <si>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</si>
  <si>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</si>
  <si>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</si>
  <si>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</si>
  <si>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</si>
  <si>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</si>
  <si>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</si>
  <si>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</si>
  <si>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</si>
  <si>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</si>
  <si>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</si>
  <si>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</si>
  <si>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</si>
  <si>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</si>
  <si>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</si>
  <si>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</si>
  <si>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</si>
  <si>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</si>
  <si>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</si>
  <si>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</si>
  <si>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</si>
  <si>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</si>
  <si>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</si>
  <si>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</si>
  <si>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</si>
  <si>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</si>
  <si>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</si>
  <si>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</si>
  <si>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</si>
  <si>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</si>
  <si>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</si>
  <si>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</si>
  <si>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</si>
  <si>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</si>
  <si>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</si>
  <si>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</si>
  <si>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</si>
  <si>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</si>
  <si>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</si>
  <si>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</si>
  <si>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</si>
  <si>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</si>
  <si>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</si>
  <si>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</si>
  <si>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</si>
  <si>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</si>
  <si>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</si>
  <si>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</si>
  <si>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</si>
  <si>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</si>
  <si>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</si>
  <si>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</si>
  <si>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</si>
  <si>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</si>
  <si>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</si>
  <si>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</si>
  <si>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</si>
  <si>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</si>
  <si>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</si>
  <si>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</si>
  <si>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</si>
  <si>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</si>
  <si>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</si>
  <si>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</si>
  <si>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</si>
  <si>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</si>
  <si>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</si>
  <si>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</si>
  <si>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</si>
  <si>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</si>
  <si>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</si>
  <si>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</si>
  <si>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</si>
  <si>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</si>
  <si>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</si>
  <si>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</si>
  <si>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</si>
  <si>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</si>
  <si>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</si>
  <si>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</si>
  <si>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</si>
  <si>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</si>
  <si>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</si>
  <si>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</si>
  <si>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</si>
  <si>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</si>
  <si>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</si>
  <si>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</si>
  <si>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</si>
  <si>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</si>
  <si>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</si>
  <si>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</si>
  <si>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</si>
  <si>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</si>
  <si>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</si>
  <si>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</si>
  <si>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</si>
  <si>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</si>
  <si>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</si>
  <si>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</si>
  <si>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</si>
  <si>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</si>
  <si>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</si>
  <si>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</si>
  <si>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</si>
  <si>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</si>
  <si>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</si>
  <si>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</si>
  <si>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</si>
  <si>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</si>
  <si>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</si>
  <si>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</si>
  <si>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</si>
  <si>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</si>
  <si>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</si>
  <si>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</si>
  <si>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</si>
  <si>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</si>
  <si>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</si>
  <si>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</si>
  <si>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</si>
  <si>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</si>
  <si>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</si>
  <si>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</si>
  <si>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</si>
  <si>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</si>
  <si>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</si>
  <si>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</si>
  <si>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</si>
  <si>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</si>
  <si>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</si>
  <si>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</si>
  <si>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</si>
  <si>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</si>
  <si>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</si>
  <si>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</si>
  <si>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</si>
  <si>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</si>
  <si>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</si>
  <si>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</si>
  <si>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</si>
  <si>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</si>
  <si>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</si>
  <si>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</si>
  <si>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</si>
  <si>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</si>
  <si>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</si>
  <si>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</si>
  <si>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</si>
  <si>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</si>
  <si>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</si>
  <si>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</si>
  <si>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</si>
  <si>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</si>
  <si>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</si>
  <si>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</si>
  <si>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</si>
  <si>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</si>
  <si>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</si>
  <si>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</si>
  <si>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</si>
  <si>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</si>
  <si>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</si>
  <si>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</si>
  <si>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</si>
  <si>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</si>
  <si>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</si>
  <si>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</si>
  <si>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</si>
  <si>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</si>
  <si>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</si>
  <si>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</si>
  <si>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</si>
  <si>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</si>
  <si>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</si>
  <si>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</si>
  <si>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</si>
  <si>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</si>
  <si>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</si>
  <si>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</si>
  <si>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</si>
  <si>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</si>
  <si>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</si>
  <si>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</si>
  <si>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</si>
  <si>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</si>
  <si>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</si>
  <si>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</si>
  <si>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</si>
  <si>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</si>
  <si>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</si>
  <si>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</si>
  <si>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</si>
  <si>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</si>
  <si>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</si>
  <si>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</si>
  <si>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</si>
  <si>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</si>
  <si>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</si>
  <si>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</si>
  <si>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</si>
  <si>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</si>
  <si>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</si>
  <si>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</si>
  <si>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</si>
  <si>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</si>
  <si>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</si>
  <si>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</si>
  <si>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</si>
  <si>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</si>
  <si>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</si>
  <si>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</si>
  <si>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</si>
  <si>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</si>
  <si>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</si>
  <si>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</si>
  <si>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</si>
  <si>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</si>
  <si>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</si>
  <si>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</si>
  <si>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</si>
  <si>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</si>
  <si>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</si>
  <si>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</si>
  <si>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</si>
  <si>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</si>
  <si>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</si>
  <si>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</si>
  <si>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</si>
  <si>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</si>
  <si>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</si>
  <si>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</si>
  <si>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</si>
  <si>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</si>
  <si>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</si>
  <si>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</si>
  <si>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</si>
  <si>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</si>
  <si>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</si>
  <si>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</si>
  <si>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</si>
  <si>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</si>
  <si>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</si>
  <si>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</si>
  <si>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</si>
  <si>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</si>
  <si>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</si>
  <si>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</si>
  <si>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</si>
  <si>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</si>
  <si>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</si>
  <si>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</si>
  <si>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</si>
  <si>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</si>
  <si>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</si>
  <si>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</si>
  <si>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</si>
  <si>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</si>
  <si>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</si>
  <si>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</si>
  <si>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</si>
  <si>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</si>
  <si>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</si>
  <si>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</si>
  <si>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</si>
  <si>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</si>
  <si>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</si>
  <si>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</si>
  <si>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</si>
  <si>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</si>
  <si>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</si>
  <si>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</si>
  <si>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</si>
  <si>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</si>
  <si>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</si>
  <si>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</si>
  <si>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</si>
  <si>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</si>
  <si>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</si>
  <si>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</si>
  <si>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</si>
  <si>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</si>
  <si>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</si>
  <si>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</si>
  <si>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</si>
  <si>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</si>
  <si>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</si>
  <si>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</si>
  <si>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</si>
  <si>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</si>
  <si>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</si>
  <si>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</si>
  <si>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</si>
  <si>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</si>
  <si>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</si>
  <si>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</si>
  <si>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</si>
  <si>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</si>
  <si>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</si>
  <si>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</si>
  <si>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</si>
  <si>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</si>
  <si>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</si>
  <si>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</si>
  <si>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</si>
  <si>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</si>
  <si>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</si>
  <si>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</si>
  <si>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</si>
  <si>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</si>
  <si>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</si>
  <si>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</si>
  <si>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</si>
  <si>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</si>
  <si>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</si>
  <si>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</si>
  <si>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</si>
  <si>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</si>
  <si>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</si>
  <si>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</si>
  <si>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</si>
  <si>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</si>
  <si>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</si>
  <si>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</si>
  <si>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</si>
  <si>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</si>
  <si>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</si>
  <si>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</si>
  <si>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</si>
  <si>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</si>
  <si>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</si>
  <si>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</si>
  <si>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</si>
  <si>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</si>
  <si>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</si>
  <si>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</si>
  <si>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</si>
  <si>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</si>
  <si>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</si>
  <si>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</si>
  <si>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</si>
  <si>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</si>
  <si>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</si>
  <si>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</si>
  <si>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</si>
  <si>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</si>
  <si>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</si>
  <si>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</si>
  <si>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</si>
  <si>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</si>
  <si>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</si>
  <si>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</si>
  <si>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</si>
  <si>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</si>
  <si>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</si>
  <si>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</si>
  <si>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</si>
  <si>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</si>
  <si>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</si>
  <si>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</si>
  <si>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</si>
  <si>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</si>
  <si>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</si>
  <si>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</si>
  <si>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</si>
  <si>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</si>
  <si>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</si>
  <si>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</si>
  <si>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</si>
  <si>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</si>
  <si>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</si>
  <si>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</si>
  <si>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</si>
  <si>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</si>
  <si>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</si>
  <si>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</si>
  <si>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</si>
  <si>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</si>
  <si>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</si>
  <si>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</si>
  <si>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</si>
  <si>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</si>
  <si>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</si>
  <si>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</si>
  <si>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</si>
  <si>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</si>
  <si>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</si>
  <si>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</si>
  <si>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</si>
  <si>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</si>
  <si>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</si>
  <si>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</si>
  <si>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</si>
  <si>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</si>
  <si>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</si>
  <si>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</si>
  <si>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</si>
  <si>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</si>
  <si>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</si>
  <si>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</si>
  <si>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</si>
  <si>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</si>
  <si>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</si>
  <si>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</si>
  <si>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</si>
  <si>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</si>
  <si>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</si>
  <si>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</si>
  <si>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</si>
  <si>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</si>
  <si>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</si>
  <si>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</si>
  <si>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</si>
  <si>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</si>
  <si>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</si>
  <si>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</si>
  <si>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</si>
  <si>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</si>
  <si>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</si>
  <si>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</si>
  <si>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</si>
  <si>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</si>
  <si>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</si>
  <si>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</si>
  <si>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</si>
  <si>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</si>
  <si>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</si>
  <si>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</si>
  <si>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</si>
  <si>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</si>
  <si>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</si>
  <si>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</si>
  <si>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</si>
  <si>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</si>
  <si>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</si>
  <si>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</si>
  <si>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</si>
  <si>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</si>
  <si>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</si>
  <si>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</si>
  <si>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</si>
  <si>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</si>
  <si>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</si>
  <si>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</si>
  <si>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</si>
  <si>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</si>
  <si>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</si>
  <si>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</si>
  <si>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</si>
  <si>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</si>
  <si>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</si>
  <si>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</si>
  <si>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</si>
  <si>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</si>
  <si>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</si>
  <si>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</si>
  <si>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</si>
  <si>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</si>
  <si>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</si>
  <si>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</si>
  <si>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</si>
  <si>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</si>
  <si>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</si>
  <si>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</si>
  <si>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</si>
  <si>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</si>
  <si>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</si>
  <si>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</si>
  <si>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</si>
  <si>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</si>
  <si>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</si>
  <si>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</si>
  <si>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</si>
  <si>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</si>
  <si>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</si>
  <si>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</si>
  <si>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</si>
  <si>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</si>
  <si>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</si>
  <si>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</si>
  <si>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</si>
  <si>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</si>
  <si>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</si>
  <si>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</si>
  <si>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</si>
  <si>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</si>
  <si>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</si>
  <si>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</si>
  <si>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</si>
  <si>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</si>
  <si>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</si>
  <si>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</si>
  <si>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</si>
  <si>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</si>
  <si>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</si>
  <si>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</si>
  <si>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</si>
  <si>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</si>
  <si>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</si>
  <si>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</si>
  <si>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</si>
  <si>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</si>
  <si>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</si>
  <si>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</si>
  <si>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</si>
  <si>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</si>
  <si>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</si>
  <si>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</si>
  <si>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</si>
  <si>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</si>
  <si>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</si>
  <si>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</si>
  <si>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</si>
  <si>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</si>
  <si>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</si>
  <si>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</si>
  <si>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</si>
  <si>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</si>
  <si>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</si>
  <si>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</si>
  <si>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</si>
  <si>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</si>
  <si>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</si>
  <si>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</si>
  <si>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</si>
  <si>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</si>
  <si>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</si>
  <si>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</si>
  <si>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</si>
  <si>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</si>
  <si>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</si>
  <si>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</si>
  <si>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</si>
  <si>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</si>
  <si>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</si>
  <si>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MAA OCONNOR</t>
  </si>
  <si>
    <t>MARCHESI</t>
  </si>
  <si>
    <t>PHILIPS</t>
  </si>
  <si>
    <t>SCHOLARSHIP FUNDS</t>
  </si>
  <si>
    <t>01/98</t>
  </si>
  <si>
    <t>01/08</t>
  </si>
  <si>
    <t>01/92</t>
  </si>
  <si>
    <t>01/00</t>
  </si>
  <si>
    <t>07/10</t>
  </si>
  <si>
    <t>01/13</t>
  </si>
  <si>
    <t>01/28</t>
  </si>
  <si>
    <t>01/12</t>
  </si>
  <si>
    <t>01/20</t>
  </si>
  <si>
    <t>07/15</t>
  </si>
  <si>
    <t>Milford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</si>
</sst>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B4B5-5BF9-48B3-A487-288D2569E9A0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I655" sqref="I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908</v>
      </c>
      <c r="B2" s="21">
        <v>357</v>
      </c>
      <c r="C2" s="21">
        <v>357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1072260.98</v>
      </c>
      <c r="G9" s="18">
        <v>390.9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68497.88</v>
      </c>
      <c r="G12" s="18">
        <v>79683.14</v>
      </c>
      <c r="H12" s="18">
        <f>14707.85</f>
        <v>14707.85</v>
      </c>
      <c r="I12" s="18">
        <f>239146.6</f>
        <v>239146.6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337229.45</v>
      </c>
      <c r="G13" s="18">
        <v>26498.32</v>
      </c>
      <c r="H13" s="18">
        <v>496404.93</v>
      </c>
      <c r="I13" s="18"/>
      <c r="J13" s="67">
        <f>SUM(I434)</f>
        <v>2506577.58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4809.09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124462.43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8">
        <v>500</v>
      </c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1607259.8299999998</v>
      </c>
      <c r="G19" s="41">
        <f>SUM(G9:G18)</f>
        <v>106572.35999999999</v>
      </c>
      <c r="H19" s="41">
        <f>SUM(H9:H18)</f>
        <v>511612.77999999997</v>
      </c>
      <c r="I19" s="41">
        <f>SUM(I9:I18)</f>
        <v>239146.6</v>
      </c>
      <c r="J19" s="41">
        <f>SUM(J9:J18)</f>
        <v>2506577.58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402035.47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105731.09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73542.320000000007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6677.29-819.13</f>
        <v>5858.16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>
        <f>19520</f>
        <v>19520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185131.57</v>
      </c>
      <c r="G33" s="41">
        <f>SUM(G23:G32)</f>
        <v>0</v>
      </c>
      <c r="H33" s="41">
        <f>SUM(H23:H32)</f>
        <v>421555.47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338058.65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77000</v>
      </c>
      <c r="G41" s="18">
        <v>106572.36</v>
      </c>
      <c r="H41" s="18">
        <f>-4812.15+94869.46</f>
        <v>90057.310000000012</v>
      </c>
      <c r="I41" s="18">
        <f>239146.6</f>
        <v>239146.6</v>
      </c>
      <c r="J41" s="13">
        <f>SUM(I449)</f>
        <v>2506577.58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1007069.61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1422128.26</v>
      </c>
      <c r="G43" s="41">
        <f>SUM(G35:G42)</f>
        <v>106572.36</v>
      </c>
      <c r="H43" s="41">
        <f>SUM(H35:H42)</f>
        <v>90057.310000000012</v>
      </c>
      <c r="I43" s="41">
        <f>SUM(I35:I42)</f>
        <v>239146.6</v>
      </c>
      <c r="J43" s="41">
        <f>SUM(J35:J42)</f>
        <v>2506577.58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1607259.83</v>
      </c>
      <c r="G44" s="41">
        <f>G43+G33</f>
        <v>106572.36</v>
      </c>
      <c r="H44" s="41">
        <f>H43+H33</f>
        <v>511612.77999999997</v>
      </c>
      <c r="I44" s="41">
        <f>I43+I33</f>
        <v>239146.6</v>
      </c>
      <c r="J44" s="41">
        <f>J43+J33</f>
        <v>2506577.58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18458204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18458204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15292.4+6800</f>
        <v>22092.400000000001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9080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>
        <f>64859</f>
        <v>64859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f>677531.97</f>
        <v>677531.97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f>205772.15</f>
        <v>205772.15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f>55643.61</f>
        <v>55643.61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>
        <f>655</f>
        <v>655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970120.13</v>
      </c>
      <c r="G71" s="45" t="s">
        <v>312</v>
      </c>
      <c r="H71" s="41">
        <f>SUM(H55:H70)</f>
        <v>65514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7560.87</v>
      </c>
      <c r="G88" s="18"/>
      <c r="H88" s="18"/>
      <c r="I88" s="18">
        <f>236.62</f>
        <v>236.62</v>
      </c>
      <c r="J88" s="18">
        <v>67793.88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513071.17</f>
        <v>513071.17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7979.47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f>46956.93</f>
        <v>46956.93</v>
      </c>
      <c r="I94" s="18">
        <f>5532</f>
        <v>5532</v>
      </c>
      <c r="J94" s="18">
        <f>25672.28-14845.68</f>
        <v>10826.599999999999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25477.81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3351.14</f>
        <v>3351.14</v>
      </c>
      <c r="G102" s="18"/>
      <c r="H102" s="18">
        <f>1945.45+6556.27</f>
        <v>8501.7200000000012</v>
      </c>
      <c r="I102" s="18"/>
      <c r="J102" s="18">
        <f>10791.98+16473.16</f>
        <v>27265.14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44369.29</v>
      </c>
      <c r="G103" s="41">
        <f>SUM(G88:G102)</f>
        <v>513071.17</v>
      </c>
      <c r="H103" s="41">
        <f>SUM(H88:H102)</f>
        <v>55458.65</v>
      </c>
      <c r="I103" s="41">
        <f>SUM(I88:I102)</f>
        <v>5768.62</v>
      </c>
      <c r="J103" s="41">
        <f>SUM(J88:J102)</f>
        <v>105885.62000000001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19472693.419999998</v>
      </c>
      <c r="G104" s="41">
        <f>G52+G103</f>
        <v>513071.17</v>
      </c>
      <c r="H104" s="41">
        <f>H52+H71+H86+H103</f>
        <v>120972.65</v>
      </c>
      <c r="I104" s="41">
        <f>I52+I103</f>
        <v>5768.62</v>
      </c>
      <c r="J104" s="41">
        <f>J52+J103</f>
        <v>105885.62000000001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7956917.8399999999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f>3273728</f>
        <v>3273728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288595.15999999997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248675.79</v>
      </c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11767916.789999999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366534.04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>
        <v>1279529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269100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150252.6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131822.56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1375.45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9715.32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f>21900</f>
        <v>21900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>
        <f>39000+1000</f>
        <v>40000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919084.64999999991</v>
      </c>
      <c r="G128" s="41">
        <f>SUM(G115:G127)</f>
        <v>9715.32</v>
      </c>
      <c r="H128" s="41">
        <f>SUM(H115:H127)</f>
        <v>61900</v>
      </c>
      <c r="I128" s="41">
        <f>SUM(I115:I127)</f>
        <v>1279529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12687001.439999999</v>
      </c>
      <c r="G132" s="41">
        <f>G113+SUM(G128:G129)</f>
        <v>9715.32</v>
      </c>
      <c r="H132" s="41">
        <f>H113+SUM(H128:H131)</f>
        <v>61900</v>
      </c>
      <c r="I132" s="41">
        <f>I113+I128</f>
        <v>1279529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443360.71</f>
        <v>443360.71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136985.54</f>
        <v>136985.54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81160.039999999994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264723.92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832366.97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369639.82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42403.56</v>
      </c>
      <c r="H153" s="18">
        <f>16994.93</f>
        <v>16994.93</v>
      </c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369639.82</v>
      </c>
      <c r="G154" s="41">
        <f>SUM(G142:G153)</f>
        <v>307127.48</v>
      </c>
      <c r="H154" s="41">
        <f>SUM(H142:H153)</f>
        <v>1510868.19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369639.82</v>
      </c>
      <c r="G161" s="41">
        <f>G139+G154+SUM(G155:G160)</f>
        <v>307127.48</v>
      </c>
      <c r="H161" s="41">
        <f>H139+H154+SUM(H155:H160)</f>
        <v>1510868.19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f>438009</f>
        <v>438009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438009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159114.89000000001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159114.89000000001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35000</v>
      </c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35000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194114.89</v>
      </c>
      <c r="G184" s="41">
        <f>G175+SUM(G180:G183)</f>
        <v>0</v>
      </c>
      <c r="H184" s="41">
        <f>+H175+SUM(H180:H183)</f>
        <v>0</v>
      </c>
      <c r="I184" s="41">
        <f>I169+I175+SUM(I180:I183)</f>
        <v>438009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32723449.57</v>
      </c>
      <c r="G185" s="47">
        <f>G104+G132+G161+G184</f>
        <v>829913.97</v>
      </c>
      <c r="H185" s="47">
        <f>H104+H132+H161+H184</f>
        <v>1693740.8399999999</v>
      </c>
      <c r="I185" s="47">
        <f>I104+I132+I161+I184</f>
        <v>1723306.62</v>
      </c>
      <c r="J185" s="47">
        <f>J104+J132+J184</f>
        <v>105885.62000000001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3785683.32</f>
        <v>3785683.32</v>
      </c>
      <c r="G189" s="18">
        <f>1608798.15</f>
        <v>1608798.15</v>
      </c>
      <c r="H189" s="18">
        <f>4325.11+90</f>
        <v>4415.1099999999997</v>
      </c>
      <c r="I189" s="18">
        <f>164614.37-41904.58+55.93+85.44+7380.3+66+3928.36</f>
        <v>134225.81999999998</v>
      </c>
      <c r="J189" s="18">
        <f>5320.81-3329.02+1331.8+19421.99</f>
        <v>22745.58</v>
      </c>
      <c r="K189" s="18">
        <f>205.5</f>
        <v>205.5</v>
      </c>
      <c r="L189" s="19">
        <f>SUM(F189:K189)</f>
        <v>5556073.4800000004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1066138.32+134295.95+21499.77+7064.35</f>
        <v>1228998.3900000001</v>
      </c>
      <c r="G190" s="18">
        <v>513545.7</v>
      </c>
      <c r="H190" s="18">
        <f>3507.2+799.62+32949.44+1029.39+965.27</f>
        <v>39250.92</v>
      </c>
      <c r="I190" s="18">
        <f>3819.77-2309.16-200.82+208.66+31.65</f>
        <v>1550.1000000000004</v>
      </c>
      <c r="J190" s="18">
        <f>31.26-31.26</f>
        <v>0</v>
      </c>
      <c r="K190" s="18"/>
      <c r="L190" s="19">
        <f>SUM(F190:K190)</f>
        <v>1783345.11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14441.94</f>
        <v>14441.94</v>
      </c>
      <c r="G192" s="18">
        <v>2289.09</v>
      </c>
      <c r="H192" s="18"/>
      <c r="I192" s="18"/>
      <c r="J192" s="18"/>
      <c r="K192" s="18">
        <f>245</f>
        <v>245</v>
      </c>
      <c r="L192" s="19">
        <f>SUM(F192:K192)</f>
        <v>16976.03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187748.23+108807.94+5229.28+222573.44+47539.78+122942.49+26879.24</f>
        <v>721720.40000000014</v>
      </c>
      <c r="G194" s="18">
        <f>425.05+81274.52+29912.46+118793.79+55730.77</f>
        <v>286136.59000000003</v>
      </c>
      <c r="H194" s="18">
        <f>8586+659.93+11994.8+11855.2+453.28+18.42+234.05</f>
        <v>33801.68</v>
      </c>
      <c r="I194" s="18">
        <f>2247.21-995.93+1532.11+1378.86+1217.62+206.43+988.31</f>
        <v>6574.6100000000006</v>
      </c>
      <c r="J194" s="18">
        <f>635.9+898</f>
        <v>1533.9</v>
      </c>
      <c r="K194" s="18"/>
      <c r="L194" s="19">
        <f t="shared" ref="L194:L200" si="0">SUM(F194:K194)</f>
        <v>1049767.1800000002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800+76620.45</f>
        <v>77420.45</v>
      </c>
      <c r="G195" s="18">
        <f>126.8+31404.76</f>
        <v>31531.559999999998</v>
      </c>
      <c r="H195" s="18">
        <f>4212.7+1285+1699.27+1787.23+152.58</f>
        <v>9136.7799999999988</v>
      </c>
      <c r="I195" s="18">
        <f>45+12527.07-201.37+895.97+161.81+107.08+158.23+180.53+2196.25</f>
        <v>16070.569999999998</v>
      </c>
      <c r="J195" s="18">
        <f>566.03</f>
        <v>566.03</v>
      </c>
      <c r="K195" s="18">
        <f>18.76</f>
        <v>18.760000000000002</v>
      </c>
      <c r="L195" s="19">
        <f t="shared" si="0"/>
        <v>134744.15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92013.83+62.55+2502+1524.55+142403.83+121043.64+64762.52+30553.22</f>
        <v>454866.14</v>
      </c>
      <c r="G196" s="18">
        <f>332.37+128909.39+83535.71+786*0.411</f>
        <v>213100.516</v>
      </c>
      <c r="H196" s="18">
        <f>376.48+12855.38+4353.48+1973.64+3061.38+792.3+190.98+1942.8+824.06+3239.43+1429.34+560.6*0.417+382.05+1986.61+308.02+7.4+97.51+63.97+20.12</f>
        <v>34138.720199999996</v>
      </c>
      <c r="I196" s="18">
        <f>4277.1+37.53+757.84+2119.84</f>
        <v>7192.31</v>
      </c>
      <c r="J196" s="18"/>
      <c r="K196" s="18">
        <f>2542.07+2361.45+772.4+5258.33</f>
        <v>10934.25</v>
      </c>
      <c r="L196" s="19">
        <f t="shared" si="0"/>
        <v>720231.9362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444728.51</f>
        <v>444728.51</v>
      </c>
      <c r="G197" s="18">
        <f>217138.64+2866.05+1555.76*0.411</f>
        <v>220644.10735999999</v>
      </c>
      <c r="H197" s="18">
        <f>10208.62+62.9</f>
        <v>10271.52</v>
      </c>
      <c r="I197" s="18">
        <f>3037.93+52</f>
        <v>3089.93</v>
      </c>
      <c r="J197" s="18"/>
      <c r="K197" s="18">
        <f>2650</f>
        <v>2650</v>
      </c>
      <c r="L197" s="19">
        <f t="shared" si="0"/>
        <v>681384.0673600001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333347.91+26126.72+58611.81+5248.28</f>
        <v>423334.72000000003</v>
      </c>
      <c r="G199" s="18">
        <f>206417.9+868.57*0.417</f>
        <v>206780.09368999998</v>
      </c>
      <c r="H199" s="18">
        <f>150299.13-50937.7+10984.77+19324.45+2169.93+14548.94+156.19+26543.51+2504.67+2509.49+34857.13+1951+1090.13+769.12+1574.24+4447.65+1859.06</f>
        <v>224651.71000000002</v>
      </c>
      <c r="I199" s="18">
        <f>234639.59-8334.8+19047.25+3651.36+246.96</f>
        <v>249250.36</v>
      </c>
      <c r="J199" s="18"/>
      <c r="K199" s="18"/>
      <c r="L199" s="19">
        <f t="shared" si="0"/>
        <v>1104016.88369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91804.97+320746.99+356.99</f>
        <v>412908.94999999995</v>
      </c>
      <c r="I200" s="18"/>
      <c r="J200" s="18"/>
      <c r="K200" s="18"/>
      <c r="L200" s="19">
        <f t="shared" si="0"/>
        <v>412908.94999999995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f>51719.9+207737.26</f>
        <v>259457.16</v>
      </c>
      <c r="G201" s="18">
        <f>25259.78</f>
        <v>25259.78</v>
      </c>
      <c r="H201" s="18">
        <f>29410.07+28.22</f>
        <v>29438.29</v>
      </c>
      <c r="I201" s="18">
        <f>1032.62+41.68+2525.16</f>
        <v>3599.46</v>
      </c>
      <c r="J201" s="18">
        <f>5542.73+40093.19+948.96</f>
        <v>46584.88</v>
      </c>
      <c r="K201" s="18"/>
      <c r="L201" s="19">
        <f>SUM(F201:K201)</f>
        <v>364339.57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7410651.0300000003</v>
      </c>
      <c r="G203" s="41">
        <f t="shared" si="1"/>
        <v>3108085.5870499993</v>
      </c>
      <c r="H203" s="41">
        <f t="shared" si="1"/>
        <v>798013.68020000006</v>
      </c>
      <c r="I203" s="41">
        <f t="shared" si="1"/>
        <v>421553.16</v>
      </c>
      <c r="J203" s="41">
        <f t="shared" si="1"/>
        <v>71430.39</v>
      </c>
      <c r="K203" s="41">
        <f t="shared" si="1"/>
        <v>14053.51</v>
      </c>
      <c r="L203" s="41">
        <f t="shared" si="1"/>
        <v>11823787.357250001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2452112.05</f>
        <v>2452112.0499999998</v>
      </c>
      <c r="G207" s="18">
        <f>1049315.57-0.01+2310</f>
        <v>1051625.56</v>
      </c>
      <c r="H207" s="18">
        <f>4521.44</f>
        <v>4521.4399999999996</v>
      </c>
      <c r="I207" s="18">
        <f>77642.63-7240.2</f>
        <v>70402.430000000008</v>
      </c>
      <c r="J207" s="18">
        <f>22391.6+1036.4</f>
        <v>23428</v>
      </c>
      <c r="K207" s="18">
        <f>189</f>
        <v>189</v>
      </c>
      <c r="L207" s="19">
        <f>SUM(F207:K207)</f>
        <v>3602278.48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848193.52+29627.52+29486.62+11909.94+3913.34</f>
        <v>923130.94</v>
      </c>
      <c r="G208" s="18">
        <f>373632.98</f>
        <v>373632.98</v>
      </c>
      <c r="H208" s="18">
        <f>140224.1-11650.81+742.51+30595.91+955.86+617.14+6202.53+834.83+28.73</f>
        <v>168550.8</v>
      </c>
      <c r="I208" s="18">
        <f>8034.26-4427.17+1072.45+185.06+27.52+959.5-111.24+128.45+19.48</f>
        <v>5888.31</v>
      </c>
      <c r="J208" s="18">
        <f>466.29</f>
        <v>466.29</v>
      </c>
      <c r="K208" s="18"/>
      <c r="L208" s="19">
        <f>SUM(F208:K208)</f>
        <v>1471669.32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45295.73+6616</f>
        <v>51911.73</v>
      </c>
      <c r="G210" s="18">
        <f>4730.41</f>
        <v>4730.41</v>
      </c>
      <c r="H210" s="18">
        <f>8493</f>
        <v>8493</v>
      </c>
      <c r="I210" s="18">
        <f>4202.78</f>
        <v>4202.78</v>
      </c>
      <c r="J210" s="18"/>
      <c r="K210" s="18">
        <f>3709</f>
        <v>3709</v>
      </c>
      <c r="L210" s="19">
        <f>SUM(F210:K210)</f>
        <v>73046.92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158263.75+72159.05+1743.1+99774.3+21310.93+14295.64</f>
        <v>367546.77</v>
      </c>
      <c r="G212" s="18">
        <f>141.68+68929.89+23854.95+53319.37+6368.63</f>
        <v>152614.51999999999</v>
      </c>
      <c r="H212" s="18">
        <f>8437.5+375.7+10795.32+4022.3+203.19+2.14+27.22</f>
        <v>23863.37</v>
      </c>
      <c r="I212" s="18">
        <f>783.42+913.6+467.83+413.12+92.54+114.92</f>
        <v>2785.43</v>
      </c>
      <c r="J212" s="18">
        <v>186.39</v>
      </c>
      <c r="K212" s="18"/>
      <c r="L212" s="19">
        <f t="shared" ref="L212:L218" si="2">SUM(F212:K212)</f>
        <v>546996.4800000001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52168.44+8111.25</f>
        <v>60279.69</v>
      </c>
      <c r="G213" s="18">
        <f>25646.55</f>
        <v>25646.55</v>
      </c>
      <c r="H213" s="18">
        <f>2458.92+1291.38+941.33+990.05</f>
        <v>5681.68</v>
      </c>
      <c r="I213" s="18">
        <f>390.01+6952.01-200+496.33+89.64</f>
        <v>7727.9900000000007</v>
      </c>
      <c r="J213" s="18"/>
      <c r="K213" s="18">
        <f>10.4</f>
        <v>10.4</v>
      </c>
      <c r="L213" s="19">
        <f t="shared" si="2"/>
        <v>99346.310000000012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89151.22+34.65+1386+844.54+78885.58+67052.95+60136.62+28370.85</f>
        <v>325862.40999999997</v>
      </c>
      <c r="G214" s="18">
        <f>184.12+71410.24+77451.07+786*0.253</f>
        <v>149244.288</v>
      </c>
      <c r="H214" s="18">
        <f>208.55+7121.33+2411.64+1093.31+1695.87+438.9+105.8+1076.23+456.5+1794.51+1327.25+560.6*0.231+235.18+1222.9+189.61+4.55+60.02+39.38+17.4</f>
        <v>19628.428600000003</v>
      </c>
      <c r="I214" s="18">
        <f>2369.33+20.79+703.71+1968.43</f>
        <v>5062.26</v>
      </c>
      <c r="J214" s="18"/>
      <c r="K214" s="18">
        <f>1408.2+1308.14+717.24+3236.89</f>
        <v>6670.4699999999993</v>
      </c>
      <c r="L214" s="19">
        <f t="shared" si="2"/>
        <v>506467.85659999994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302644.82</f>
        <v>302644.82</v>
      </c>
      <c r="G215" s="18">
        <f>142838.71+1555.76*0.253</f>
        <v>143232.31727999999</v>
      </c>
      <c r="H215" s="18">
        <f>1838.73</f>
        <v>1838.73</v>
      </c>
      <c r="I215" s="18">
        <f>2337.8</f>
        <v>2337.8000000000002</v>
      </c>
      <c r="J215" s="18"/>
      <c r="K215" s="18">
        <f>2415</f>
        <v>2415</v>
      </c>
      <c r="L215" s="19">
        <f t="shared" si="2"/>
        <v>452468.66727999999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193474.76+18103.56+40612.91+3636.6</f>
        <v>255827.83000000002</v>
      </c>
      <c r="G217" s="18">
        <f>128348.2+868.57*0.231</f>
        <v>128548.83967</v>
      </c>
      <c r="H217" s="18">
        <f>75554.68-29196.61+7611.5+13390.17+1503.58+10081.15+108.23+18392.35+1735.53+1738.87+19309.35+2502+455+713.37+1155.01+3263.22+1144.39</f>
        <v>129461.78999999998</v>
      </c>
      <c r="I217" s="18">
        <f>157454.91+13198.09+2530.08+181.19</f>
        <v>173364.27</v>
      </c>
      <c r="J217" s="18">
        <f>13085.28</f>
        <v>13085.28</v>
      </c>
      <c r="K217" s="18"/>
      <c r="L217" s="19">
        <f t="shared" si="2"/>
        <v>700288.00967000006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56275.16+189011.62+210.38</f>
        <v>245497.16</v>
      </c>
      <c r="I218" s="18"/>
      <c r="J218" s="18"/>
      <c r="K218" s="18"/>
      <c r="L218" s="19">
        <f t="shared" si="2"/>
        <v>245497.16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f>28650.59+110679.11</f>
        <v>139329.70000000001</v>
      </c>
      <c r="G219" s="18">
        <f>13992.83</f>
        <v>13992.83</v>
      </c>
      <c r="H219" s="18">
        <f>16291.91+15.64</f>
        <v>16307.55</v>
      </c>
      <c r="I219" s="18">
        <f>572.03+23.09+1398.84</f>
        <v>1993.96</v>
      </c>
      <c r="J219" s="18">
        <f>3070.44+22209.9+584.15</f>
        <v>25864.49</v>
      </c>
      <c r="K219" s="18"/>
      <c r="L219" s="19">
        <f>SUM(F219:K219)</f>
        <v>197488.52999999997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4878645.9400000004</v>
      </c>
      <c r="G221" s="41">
        <f>SUM(G207:G220)</f>
        <v>2043268.29495</v>
      </c>
      <c r="H221" s="41">
        <f>SUM(H207:H220)</f>
        <v>623843.9486</v>
      </c>
      <c r="I221" s="41">
        <f>SUM(I207:I220)</f>
        <v>273765.23000000004</v>
      </c>
      <c r="J221" s="41">
        <f>SUM(J207:J220)</f>
        <v>63030.45</v>
      </c>
      <c r="K221" s="41">
        <f t="shared" si="3"/>
        <v>12993.869999999999</v>
      </c>
      <c r="L221" s="41">
        <f t="shared" si="3"/>
        <v>7895547.73355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3100166.33</f>
        <v>3100166.33</v>
      </c>
      <c r="G225" s="18">
        <f>1350843.68</f>
        <v>1350843.68</v>
      </c>
      <c r="H225" s="18">
        <f>6822.98-127.5+200+29</f>
        <v>6924.48</v>
      </c>
      <c r="I225" s="18">
        <f>101371.83-19.95+1005.49+654.58+254+18.05</f>
        <v>103284.00000000001</v>
      </c>
      <c r="J225" s="18">
        <f>20761.26-3692+3593.95</f>
        <v>20663.21</v>
      </c>
      <c r="K225" s="18">
        <f>2084</f>
        <v>2084</v>
      </c>
      <c r="L225" s="19">
        <f>SUM(F225:K225)</f>
        <v>4583965.7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600786.31+84324.48+83923.47+18148.49+5963.19</f>
        <v>793145.94</v>
      </c>
      <c r="G226" s="18">
        <f>325066.38</f>
        <v>325066.38</v>
      </c>
      <c r="H226" s="18">
        <f>248950.24-437.5+654.64+26975.09+842.75+1756.49+4206.27+808.74+140.27</f>
        <v>283896.99000000005</v>
      </c>
      <c r="I226" s="18">
        <f>5448.54-4583.8+3052.34+526.71+78.31+2730.9-169.52+170.58+25.88</f>
        <v>7279.94</v>
      </c>
      <c r="J226" s="18">
        <f>22354.12-22354.12+1327.13</f>
        <v>1327.13</v>
      </c>
      <c r="K226" s="18"/>
      <c r="L226" s="19">
        <f>SUM(F226:K226)</f>
        <v>1410716.3799999997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f>655730.8</f>
        <v>655730.80000000005</v>
      </c>
      <c r="G227" s="18">
        <f>294128.78</f>
        <v>294128.78000000003</v>
      </c>
      <c r="H227" s="18">
        <f>11933.44-3133.44</f>
        <v>8800</v>
      </c>
      <c r="I227" s="18">
        <f>48673.51-1883.87+3029.74+897.18</f>
        <v>50716.56</v>
      </c>
      <c r="J227" s="18">
        <f>37468.61</f>
        <v>37468.61</v>
      </c>
      <c r="K227" s="18">
        <f>1138-199</f>
        <v>939</v>
      </c>
      <c r="L227" s="19">
        <f>SUM(F227:K227)</f>
        <v>1047783.7500000001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138779.75+13100</f>
        <v>151879.75</v>
      </c>
      <c r="G228" s="18">
        <f>13356.76</f>
        <v>13356.76</v>
      </c>
      <c r="H228" s="18">
        <f>60335.91-3985.8</f>
        <v>56350.11</v>
      </c>
      <c r="I228" s="18">
        <f>21588-260</f>
        <v>21328</v>
      </c>
      <c r="J228" s="18">
        <f>860.24</f>
        <v>860.24</v>
      </c>
      <c r="K228" s="18">
        <f>7480</f>
        <v>7480</v>
      </c>
      <c r="L228" s="19">
        <f>SUM(F228:K228)</f>
        <v>251254.86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23864+407411.31+69571.51+61399.57+13114.42+5718.26+5505.39</f>
        <v>586584.46000000008</v>
      </c>
      <c r="G230" s="18">
        <f>13120.93+182837.68+24237.8+33130.89+3197.44</f>
        <v>256524.74</v>
      </c>
      <c r="H230" s="18">
        <f>3436.54+259+2750+7196.88+5292.5+125.04+0.86+10.89</f>
        <v>19071.71</v>
      </c>
      <c r="I230" s="18">
        <f>2534.55+1720.18-65+615.56+543.58+56.95+45.97</f>
        <v>5451.7900000000009</v>
      </c>
      <c r="J230" s="18"/>
      <c r="K230" s="18">
        <f>300+50</f>
        <v>350</v>
      </c>
      <c r="L230" s="19">
        <f t="shared" ref="L230:L236" si="4">SUM(F230:K230)</f>
        <v>867982.70000000007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80283.03+26510.28</f>
        <v>106793.31</v>
      </c>
      <c r="G231" s="18">
        <f>35140.86</f>
        <v>35140.86</v>
      </c>
      <c r="H231" s="18">
        <f>111.7+2654.31+1455.07+1434.4+1508.64</f>
        <v>7164.12</v>
      </c>
      <c r="I231" s="18">
        <f>1645.73+29550.86+756.31+136.59+140.98+228.64</f>
        <v>32459.11</v>
      </c>
      <c r="J231" s="18">
        <f>245.99</f>
        <v>245.99</v>
      </c>
      <c r="K231" s="18">
        <f>15.84</f>
        <v>15.84</v>
      </c>
      <c r="L231" s="19">
        <f t="shared" si="4"/>
        <v>181819.22999999995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86789.22+52.8+2112+1286.91+120206.59+102175.93+53019.86+25013.35+89435+32680.2</f>
        <v>512771.86</v>
      </c>
      <c r="G232" s="18">
        <f>280.56+108815.6+126049.73+786*0.336</f>
        <v>235409.986</v>
      </c>
      <c r="H232" s="18">
        <f>317.79+10851.55+3674.88+1666+2584.18+668.8+161.22+1639.97+695.62+2734.49+1170.18+800+560.6*0.352+312.34+1624.09+251.81+6.05+79.72+52.3+16.86</f>
        <v>29505.181200000003</v>
      </c>
      <c r="I232" s="18">
        <f>3610.4+31.68+620.44+1735.48</f>
        <v>5998</v>
      </c>
      <c r="J232" s="18"/>
      <c r="K232" s="18">
        <f>2145.82+1993.36+632.36+4298.78</f>
        <v>9070.32</v>
      </c>
      <c r="L232" s="19">
        <f t="shared" si="4"/>
        <v>792755.34719999996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380358.92</f>
        <v>380358.92</v>
      </c>
      <c r="G233" s="18">
        <f>189632.21+46.76+1555.76*0.336</f>
        <v>190201.70535999999</v>
      </c>
      <c r="H233" s="18">
        <f>8230.63-505.75+150.61</f>
        <v>7875.4899999999989</v>
      </c>
      <c r="I233" s="18">
        <f>7133.06-700</f>
        <v>6433.06</v>
      </c>
      <c r="J233" s="18">
        <f>5002.61</f>
        <v>5002.6099999999997</v>
      </c>
      <c r="K233" s="18">
        <f>16031.34-325.62+275</f>
        <v>15980.72</v>
      </c>
      <c r="L233" s="19">
        <f t="shared" si="4"/>
        <v>605852.50535999995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199835.37+24343.79+54612.05+4890.13</f>
        <v>283681.34000000003</v>
      </c>
      <c r="G235" s="18">
        <f>143698.96+868.57*0.352</f>
        <v>144004.69663999998</v>
      </c>
      <c r="H235" s="18">
        <f>94063.89-10391.29+10235.16+18005.72+2021.86+13556.1+145.53+24732.14+2333.76+2338.24+29423.77+1290.19+1548.57+4375.13+1519.82</f>
        <v>195198.59000000003</v>
      </c>
      <c r="I235" s="18">
        <f>228085.58-5751.04+17747.43+3402.19+242.93</f>
        <v>243727.08999999997</v>
      </c>
      <c r="J235" s="18"/>
      <c r="K235" s="18"/>
      <c r="L235" s="19">
        <f t="shared" si="4"/>
        <v>866611.71664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166903.1+63003.87+742.01+70.13</f>
        <v>230719.11000000002</v>
      </c>
      <c r="I236" s="18"/>
      <c r="J236" s="18"/>
      <c r="K236" s="18"/>
      <c r="L236" s="19">
        <f t="shared" si="4"/>
        <v>230719.11000000002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f>43658.04+150463.23</f>
        <v>194121.27000000002</v>
      </c>
      <c r="G237" s="18">
        <f>21322.4</f>
        <v>21322.400000000001</v>
      </c>
      <c r="H237" s="18">
        <f>24825.77+23.82+775.79</f>
        <v>25625.38</v>
      </c>
      <c r="I237" s="18">
        <f>871.66+35.18+2131.55</f>
        <v>3038.3900000000003</v>
      </c>
      <c r="J237" s="18">
        <f>4678.76+33843.66</f>
        <v>38522.420000000006</v>
      </c>
      <c r="K237" s="18"/>
      <c r="L237" s="19">
        <f>SUM(F237:K237)</f>
        <v>282629.86000000004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6765233.9800000004</v>
      </c>
      <c r="G239" s="41">
        <f t="shared" si="5"/>
        <v>2865999.9879999994</v>
      </c>
      <c r="H239" s="41">
        <f t="shared" si="5"/>
        <v>871131.16119999997</v>
      </c>
      <c r="I239" s="41">
        <f t="shared" si="5"/>
        <v>479715.94</v>
      </c>
      <c r="J239" s="41">
        <f t="shared" si="5"/>
        <v>104090.20999999999</v>
      </c>
      <c r="K239" s="41">
        <f t="shared" si="5"/>
        <v>35919.879999999997</v>
      </c>
      <c r="L239" s="41">
        <f t="shared" si="5"/>
        <v>11122091.159199998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>
        <v>13124.3</v>
      </c>
      <c r="K247" s="18"/>
      <c r="L247" s="19">
        <f t="shared" si="6"/>
        <v>13124.3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13124.3</v>
      </c>
      <c r="K248" s="41">
        <f t="shared" si="7"/>
        <v>0</v>
      </c>
      <c r="L248" s="41">
        <f>SUM(F248:K248)</f>
        <v>13124.3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19054530.950000003</v>
      </c>
      <c r="G249" s="41">
        <f t="shared" si="8"/>
        <v>8017353.8699999992</v>
      </c>
      <c r="H249" s="41">
        <f t="shared" si="8"/>
        <v>2292988.79</v>
      </c>
      <c r="I249" s="41">
        <f t="shared" si="8"/>
        <v>1175034.33</v>
      </c>
      <c r="J249" s="41">
        <f t="shared" si="8"/>
        <v>251675.34999999998</v>
      </c>
      <c r="K249" s="41">
        <f t="shared" si="8"/>
        <v>62967.259999999995</v>
      </c>
      <c r="L249" s="41">
        <f t="shared" si="8"/>
        <v>30854550.550000001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f>1120006.3</f>
        <v>1120006.3</v>
      </c>
      <c r="L252" s="19">
        <f>SUM(F252:K252)</f>
        <v>1120006.3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f>533710.66</f>
        <v>533710.66</v>
      </c>
      <c r="L253" s="19">
        <f>SUM(F253:K253)</f>
        <v>533710.66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1653716.96</v>
      </c>
      <c r="L262" s="41">
        <f t="shared" si="9"/>
        <v>1653716.96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19054530.950000003</v>
      </c>
      <c r="G263" s="42">
        <f t="shared" si="11"/>
        <v>8017353.8699999992</v>
      </c>
      <c r="H263" s="42">
        <f t="shared" si="11"/>
        <v>2292988.79</v>
      </c>
      <c r="I263" s="42">
        <f t="shared" si="11"/>
        <v>1175034.33</v>
      </c>
      <c r="J263" s="42">
        <f t="shared" si="11"/>
        <v>251675.34999999998</v>
      </c>
      <c r="K263" s="42">
        <f t="shared" si="11"/>
        <v>1716684.22</v>
      </c>
      <c r="L263" s="42">
        <f t="shared" si="11"/>
        <v>32508267.510000002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58395</f>
        <v>58395</v>
      </c>
      <c r="G268" s="18">
        <f>14774.63</f>
        <v>14774.63</v>
      </c>
      <c r="H268" s="18"/>
      <c r="I268" s="18"/>
      <c r="J268" s="18">
        <f>2945</f>
        <v>2945</v>
      </c>
      <c r="K268" s="18"/>
      <c r="L268" s="19">
        <f>SUM(F268:K268)</f>
        <v>76114.63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250521.95</f>
        <v>250521.95</v>
      </c>
      <c r="G269" s="18">
        <f>107815.81</f>
        <v>107815.81</v>
      </c>
      <c r="H269" s="18">
        <f>420</f>
        <v>420</v>
      </c>
      <c r="I269" s="18">
        <f>14472.46+3087.5</f>
        <v>17559.96</v>
      </c>
      <c r="J269" s="18">
        <f>4672.91</f>
        <v>4672.91</v>
      </c>
      <c r="K269" s="18"/>
      <c r="L269" s="19">
        <f>SUM(F269:K269)</f>
        <v>380990.63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15640+2820</f>
        <v>18460</v>
      </c>
      <c r="G271" s="18">
        <f>1813.14</f>
        <v>1813.14</v>
      </c>
      <c r="H271" s="18"/>
      <c r="I271" s="18">
        <f>6977.14-2820</f>
        <v>4157.1400000000003</v>
      </c>
      <c r="J271" s="18"/>
      <c r="K271" s="18"/>
      <c r="L271" s="19">
        <f>SUM(F271:K271)</f>
        <v>24430.28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417.51+154426.65</f>
        <v>154844.16</v>
      </c>
      <c r="G273" s="18">
        <f>31.94+48031.38</f>
        <v>48063.32</v>
      </c>
      <c r="H273" s="18">
        <f>625+6791.42+199.46</f>
        <v>7615.88</v>
      </c>
      <c r="I273" s="18">
        <f>5666.5+1781.13+702.49</f>
        <v>8150.12</v>
      </c>
      <c r="J273" s="18">
        <f>807.93</f>
        <v>807.93</v>
      </c>
      <c r="K273" s="18"/>
      <c r="L273" s="19">
        <f t="shared" ref="L273:L279" si="12">SUM(F273:K273)</f>
        <v>219481.41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9585+10670.4</f>
        <v>20255.400000000001</v>
      </c>
      <c r="G274" s="18">
        <f>642.09+1631.36</f>
        <v>2273.4499999999998</v>
      </c>
      <c r="H274" s="18">
        <f>25909.37+16872.54+13686.33</f>
        <v>56468.240000000005</v>
      </c>
      <c r="I274" s="18">
        <f>8048.73+968.25</f>
        <v>9016.98</v>
      </c>
      <c r="J274" s="18">
        <f>2500</f>
        <v>2500</v>
      </c>
      <c r="K274" s="18"/>
      <c r="L274" s="19">
        <f t="shared" si="12"/>
        <v>90514.07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f>63018.49-518.49</f>
        <v>62500</v>
      </c>
      <c r="G275" s="18">
        <f>18214.86+518.49</f>
        <v>18733.350000000002</v>
      </c>
      <c r="H275" s="18"/>
      <c r="I275" s="18"/>
      <c r="J275" s="18"/>
      <c r="K275" s="18"/>
      <c r="L275" s="19">
        <f t="shared" si="12"/>
        <v>81233.350000000006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>
        <f>569.92</f>
        <v>569.91999999999996</v>
      </c>
      <c r="J278" s="18"/>
      <c r="K278" s="18"/>
      <c r="L278" s="19">
        <f t="shared" si="12"/>
        <v>569.91999999999996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564976.51</v>
      </c>
      <c r="G282" s="42">
        <f t="shared" si="13"/>
        <v>193473.7</v>
      </c>
      <c r="H282" s="42">
        <f t="shared" si="13"/>
        <v>64504.12</v>
      </c>
      <c r="I282" s="42">
        <f t="shared" si="13"/>
        <v>39454.119999999995</v>
      </c>
      <c r="J282" s="42">
        <f t="shared" si="13"/>
        <v>10925.84</v>
      </c>
      <c r="K282" s="42">
        <f t="shared" si="13"/>
        <v>0</v>
      </c>
      <c r="L282" s="41">
        <f t="shared" si="13"/>
        <v>873334.29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5243.75+1931.75+1920.5</f>
        <v>9096</v>
      </c>
      <c r="G287" s="18">
        <f>784.59</f>
        <v>784.59</v>
      </c>
      <c r="H287" s="18">
        <f>3695.81+3775+1160</f>
        <v>8630.81</v>
      </c>
      <c r="I287" s="18">
        <f>-9298.94+4430.17+369.29</f>
        <v>-4499.4800000000005</v>
      </c>
      <c r="J287" s="18"/>
      <c r="K287" s="18">
        <v>2192.6999999999998</v>
      </c>
      <c r="L287" s="19">
        <f>SUM(F287:K287)</f>
        <v>16204.620000000003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72891.95</f>
        <v>72891.95</v>
      </c>
      <c r="G288" s="18">
        <f>24143.44</f>
        <v>24143.439999999999</v>
      </c>
      <c r="H288" s="18"/>
      <c r="I288" s="18">
        <f>1721.88</f>
        <v>1721.88</v>
      </c>
      <c r="J288" s="18">
        <f>2606.04</f>
        <v>2606.04</v>
      </c>
      <c r="K288" s="18"/>
      <c r="L288" s="19">
        <f>SUM(F288:K288)</f>
        <v>101363.31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f>232.85+52394.76</f>
        <v>52627.61</v>
      </c>
      <c r="G292" s="18">
        <f>17.81+16296.36</f>
        <v>16314.17</v>
      </c>
      <c r="H292" s="18">
        <f>3787.52+111.24</f>
        <v>3898.7599999999998</v>
      </c>
      <c r="I292" s="18">
        <f>391.77</f>
        <v>391.77</v>
      </c>
      <c r="J292" s="18">
        <f>450.58</f>
        <v>450.58</v>
      </c>
      <c r="K292" s="18"/>
      <c r="L292" s="19">
        <f t="shared" ref="L292:L298" si="14">SUM(F292:K292)</f>
        <v>73682.89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f>5950.8</f>
        <v>5950.8</v>
      </c>
      <c r="G293" s="18">
        <f>909.8</f>
        <v>909.8</v>
      </c>
      <c r="H293" s="18">
        <f>9409.69+7632.75</f>
        <v>17042.440000000002</v>
      </c>
      <c r="I293" s="18">
        <f>539.99</f>
        <v>539.99</v>
      </c>
      <c r="J293" s="18"/>
      <c r="K293" s="18"/>
      <c r="L293" s="19">
        <f t="shared" si="14"/>
        <v>24443.030000000002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>
        <v>1000</v>
      </c>
      <c r="I297" s="18">
        <f>317.84</f>
        <v>317.83999999999997</v>
      </c>
      <c r="J297" s="18"/>
      <c r="K297" s="18"/>
      <c r="L297" s="19">
        <f t="shared" si="14"/>
        <v>1317.84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>
        <f>125</f>
        <v>125</v>
      </c>
      <c r="I298" s="18"/>
      <c r="J298" s="18"/>
      <c r="K298" s="18"/>
      <c r="L298" s="19">
        <f t="shared" si="14"/>
        <v>125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140566.35999999999</v>
      </c>
      <c r="G301" s="42">
        <f t="shared" si="15"/>
        <v>42152</v>
      </c>
      <c r="H301" s="42">
        <f t="shared" si="15"/>
        <v>30697.010000000002</v>
      </c>
      <c r="I301" s="42">
        <f t="shared" si="15"/>
        <v>-1528.0000000000005</v>
      </c>
      <c r="J301" s="42">
        <f t="shared" si="15"/>
        <v>3056.62</v>
      </c>
      <c r="K301" s="42">
        <f t="shared" si="15"/>
        <v>2192.6999999999998</v>
      </c>
      <c r="L301" s="41">
        <f t="shared" si="15"/>
        <v>217136.69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62948.95</f>
        <v>62948.95</v>
      </c>
      <c r="G306" s="18">
        <f>8450.94</f>
        <v>8450.94</v>
      </c>
      <c r="H306" s="18"/>
      <c r="I306" s="18">
        <f>123.2+993.15</f>
        <v>1116.3499999999999</v>
      </c>
      <c r="J306" s="18"/>
      <c r="K306" s="18"/>
      <c r="L306" s="19">
        <f>SUM(F306:K306)</f>
        <v>72516.240000000005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72891.95</f>
        <v>72891.95</v>
      </c>
      <c r="G307" s="18">
        <f>24143.44</f>
        <v>24143.439999999999</v>
      </c>
      <c r="H307" s="18"/>
      <c r="I307" s="18">
        <f>17469.83+2612.51</f>
        <v>20082.340000000004</v>
      </c>
      <c r="J307" s="18">
        <f>65548.82+3954+6245+12671.47+24033.08</f>
        <v>112452.37000000001</v>
      </c>
      <c r="K307" s="18"/>
      <c r="L307" s="19">
        <f>SUM(F307:K307)</f>
        <v>229570.10000000003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54586</v>
      </c>
      <c r="G308" s="18">
        <f>22498.84</f>
        <v>22498.84</v>
      </c>
      <c r="H308" s="18"/>
      <c r="I308" s="18">
        <f>770</f>
        <v>770</v>
      </c>
      <c r="J308" s="18">
        <v>3855.2</v>
      </c>
      <c r="K308" s="18"/>
      <c r="L308" s="19">
        <f>SUM(F308:K308)</f>
        <v>81710.039999999994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>
        <f>53</f>
        <v>53</v>
      </c>
      <c r="J309" s="18"/>
      <c r="K309" s="18"/>
      <c r="L309" s="19">
        <f>SUM(F309:K309)</f>
        <v>53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f>353.28+68940.47</f>
        <v>69293.75</v>
      </c>
      <c r="G311" s="18">
        <f>27.03+21442.58</f>
        <v>21469.61</v>
      </c>
      <c r="H311" s="18">
        <f>5640+8255+5746.58+168.78</f>
        <v>19810.36</v>
      </c>
      <c r="I311" s="18">
        <f>594.42</f>
        <v>594.41999999999996</v>
      </c>
      <c r="J311" s="18">
        <f>683.63</f>
        <v>683.63</v>
      </c>
      <c r="K311" s="18"/>
      <c r="L311" s="19">
        <f t="shared" ref="L311:L317" si="16">SUM(F311:K311)</f>
        <v>111851.77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f>9028.8</f>
        <v>9028.7999999999993</v>
      </c>
      <c r="G312" s="18">
        <f>1380.39</f>
        <v>1380.39</v>
      </c>
      <c r="H312" s="18">
        <f>240+14276.77+11580.74</f>
        <v>26097.510000000002</v>
      </c>
      <c r="I312" s="18">
        <f>819.29</f>
        <v>819.29</v>
      </c>
      <c r="J312" s="18"/>
      <c r="K312" s="18"/>
      <c r="L312" s="19">
        <f t="shared" si="16"/>
        <v>37325.99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>
        <v>1000</v>
      </c>
      <c r="I316" s="18">
        <f>482.24</f>
        <v>482.24</v>
      </c>
      <c r="J316" s="18"/>
      <c r="K316" s="18"/>
      <c r="L316" s="19">
        <f t="shared" si="16"/>
        <v>1482.24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>
        <f>4358.95+2761.44</f>
        <v>7120.3899999999994</v>
      </c>
      <c r="I317" s="18">
        <f>4135.96</f>
        <v>4135.96</v>
      </c>
      <c r="J317" s="18"/>
      <c r="K317" s="18"/>
      <c r="L317" s="19">
        <f t="shared" si="16"/>
        <v>11256.349999999999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268749.45</v>
      </c>
      <c r="G320" s="42">
        <f t="shared" si="17"/>
        <v>77943.22</v>
      </c>
      <c r="H320" s="42">
        <f t="shared" si="17"/>
        <v>54028.26</v>
      </c>
      <c r="I320" s="42">
        <f t="shared" si="17"/>
        <v>28053.600000000002</v>
      </c>
      <c r="J320" s="42">
        <f t="shared" si="17"/>
        <v>116991.20000000001</v>
      </c>
      <c r="K320" s="42">
        <f t="shared" si="17"/>
        <v>0</v>
      </c>
      <c r="L320" s="41">
        <f t="shared" si="17"/>
        <v>545765.73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974292.32000000007</v>
      </c>
      <c r="G330" s="41">
        <f t="shared" si="20"/>
        <v>313568.92000000004</v>
      </c>
      <c r="H330" s="41">
        <f t="shared" si="20"/>
        <v>149229.39000000001</v>
      </c>
      <c r="I330" s="41">
        <f t="shared" si="20"/>
        <v>65979.72</v>
      </c>
      <c r="J330" s="41">
        <f t="shared" si="20"/>
        <v>130973.66</v>
      </c>
      <c r="K330" s="41">
        <f t="shared" si="20"/>
        <v>2192.6999999999998</v>
      </c>
      <c r="L330" s="41">
        <f t="shared" si="20"/>
        <v>1636236.71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974292.32000000007</v>
      </c>
      <c r="G344" s="41">
        <f>G330</f>
        <v>313568.92000000004</v>
      </c>
      <c r="H344" s="41">
        <f>H330</f>
        <v>149229.39000000001</v>
      </c>
      <c r="I344" s="41">
        <f>I330</f>
        <v>65979.72</v>
      </c>
      <c r="J344" s="41">
        <f>J330</f>
        <v>130973.66</v>
      </c>
      <c r="K344" s="47">
        <f>K330+K343</f>
        <v>2192.6999999999998</v>
      </c>
      <c r="L344" s="41">
        <f>L330+L343</f>
        <v>1636236.71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133006.28</v>
      </c>
      <c r="G350" s="18">
        <v>24462.58</v>
      </c>
      <c r="H350" s="18">
        <f>2110.57+2231.98-45.83/3</f>
        <v>4327.2733333333335</v>
      </c>
      <c r="I350" s="18">
        <f>12157.35+129243.35</f>
        <v>141400.70000000001</v>
      </c>
      <c r="J350" s="18"/>
      <c r="K350" s="18"/>
      <c r="L350" s="13">
        <f>SUM(F350:K350)</f>
        <v>303196.83333333337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95060.95</f>
        <v>95060.95</v>
      </c>
      <c r="G351" s="18">
        <v>27632.66</v>
      </c>
      <c r="H351" s="18">
        <f>2532.53+522.92-45.83/3</f>
        <v>3040.1733333333336</v>
      </c>
      <c r="I351" s="18">
        <f>6961.95+96693.03</f>
        <v>103654.98</v>
      </c>
      <c r="J351" s="18"/>
      <c r="K351" s="18"/>
      <c r="L351" s="19">
        <f>SUM(F351:K351)</f>
        <v>229388.76333333334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97895.91</f>
        <v>97895.91</v>
      </c>
      <c r="G352" s="18">
        <v>27963.95</v>
      </c>
      <c r="H352" s="18">
        <f>1373.28+18.27+235.03-45.83/3</f>
        <v>1611.3033333333333</v>
      </c>
      <c r="I352" s="18">
        <f>15967.93+144636.72</f>
        <v>160604.65</v>
      </c>
      <c r="J352" s="18"/>
      <c r="K352" s="18"/>
      <c r="L352" s="19">
        <f>SUM(F352:K352)</f>
        <v>288075.81333333335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325963.14</v>
      </c>
      <c r="G354" s="47">
        <f t="shared" si="22"/>
        <v>80059.19</v>
      </c>
      <c r="H354" s="47">
        <f t="shared" si="22"/>
        <v>8978.75</v>
      </c>
      <c r="I354" s="47">
        <f t="shared" si="22"/>
        <v>405660.32999999996</v>
      </c>
      <c r="J354" s="47">
        <f t="shared" si="22"/>
        <v>0</v>
      </c>
      <c r="K354" s="47">
        <f t="shared" si="22"/>
        <v>0</v>
      </c>
      <c r="L354" s="47">
        <f t="shared" si="22"/>
        <v>820661.41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129243.35</v>
      </c>
      <c r="G359" s="18">
        <v>96693.03</v>
      </c>
      <c r="H359" s="18">
        <v>144636.72</v>
      </c>
      <c r="I359" s="56">
        <f>SUM(F359:H359)</f>
        <v>370573.1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12157.35</v>
      </c>
      <c r="G360" s="63">
        <v>6961.95</v>
      </c>
      <c r="H360" s="63">
        <v>15967.93</v>
      </c>
      <c r="I360" s="56">
        <f>SUM(F360:H360)</f>
        <v>35087.229999999996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141400.70000000001</v>
      </c>
      <c r="G361" s="47">
        <f>SUM(G359:G360)</f>
        <v>103654.98</v>
      </c>
      <c r="H361" s="47">
        <f>SUM(H359:H360)</f>
        <v>160604.65</v>
      </c>
      <c r="I361" s="47">
        <f>SUM(I359:I360)</f>
        <v>405660.32999999996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f>3693.39+1155+1469672+16127.53+34834.04</f>
        <v>1525481.96</v>
      </c>
      <c r="I370" s="18">
        <f>629.11+1874.08</f>
        <v>2503.19</v>
      </c>
      <c r="J370" s="18">
        <f>1845.65+1396.25</f>
        <v>3241.9</v>
      </c>
      <c r="K370" s="18"/>
      <c r="L370" s="13">
        <f t="shared" si="23"/>
        <v>1531227.0499999998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f>124738.44+34376.45</f>
        <v>159114.89000000001</v>
      </c>
      <c r="L373" s="13">
        <f t="shared" si="23"/>
        <v>159114.89000000001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1525481.96</v>
      </c>
      <c r="I374" s="41">
        <f t="shared" si="24"/>
        <v>2503.19</v>
      </c>
      <c r="J374" s="47">
        <f t="shared" si="24"/>
        <v>3241.9</v>
      </c>
      <c r="K374" s="47">
        <f t="shared" si="24"/>
        <v>159114.89000000001</v>
      </c>
      <c r="L374" s="47">
        <f t="shared" si="24"/>
        <v>1690341.94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f>1300.32+55.13+40.13+1380.27+26.89+31.05</f>
        <v>2833.7900000000004</v>
      </c>
      <c r="I392" s="18">
        <f>213.47+26.33+7.94+265.79+62.14+6.16+8576.6+2250</f>
        <v>11408.43</v>
      </c>
      <c r="J392" s="24" t="s">
        <v>312</v>
      </c>
      <c r="K392" s="24" t="s">
        <v>312</v>
      </c>
      <c r="L392" s="56">
        <f t="shared" si="26"/>
        <v>14242.220000000001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2833.7900000000004</v>
      </c>
      <c r="I393" s="47">
        <f>SUM(I387:I392)</f>
        <v>11408.43</v>
      </c>
      <c r="J393" s="45" t="s">
        <v>312</v>
      </c>
      <c r="K393" s="45" t="s">
        <v>312</v>
      </c>
      <c r="L393" s="47">
        <f>SUM(L387:L392)</f>
        <v>14242.220000000001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 t="s">
        <v>894</v>
      </c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>
        <v>37299.949999999997</v>
      </c>
      <c r="I395" s="18">
        <v>23470.560000000001</v>
      </c>
      <c r="J395" s="24" t="s">
        <v>312</v>
      </c>
      <c r="K395" s="24" t="s">
        <v>312</v>
      </c>
      <c r="L395" s="56">
        <f>SUM(F395:K395)</f>
        <v>60770.509999999995</v>
      </c>
      <c r="M395" s="8"/>
    </row>
    <row r="396" spans="1:13" s="3" customFormat="1" ht="12" customHeight="1" x14ac:dyDescent="0.15">
      <c r="A396" s="110" t="s">
        <v>895</v>
      </c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>
        <v>7447.48</v>
      </c>
      <c r="I396" s="18">
        <v>-771.13</v>
      </c>
      <c r="J396" s="24" t="s">
        <v>312</v>
      </c>
      <c r="K396" s="24" t="s">
        <v>312</v>
      </c>
      <c r="L396" s="56">
        <f>SUM(F396:K396)</f>
        <v>6676.3499999999995</v>
      </c>
      <c r="M396" s="8"/>
    </row>
    <row r="397" spans="1:13" s="3" customFormat="1" ht="12" customHeight="1" x14ac:dyDescent="0.15">
      <c r="A397" s="110" t="s">
        <v>896</v>
      </c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>
        <v>7492.46</v>
      </c>
      <c r="I397" s="18">
        <v>1478.66</v>
      </c>
      <c r="J397" s="24" t="s">
        <v>312</v>
      </c>
      <c r="K397" s="24" t="s">
        <v>312</v>
      </c>
      <c r="L397" s="56">
        <f>SUM(F397:K397)</f>
        <v>8971.1200000000008</v>
      </c>
      <c r="M397" s="8"/>
    </row>
    <row r="398" spans="1:13" s="3" customFormat="1" ht="12" customHeight="1" thickBot="1" x14ac:dyDescent="0.2">
      <c r="A398" s="110" t="s">
        <v>897</v>
      </c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>
        <f>353.07+545.35+7177.34+3169.79+843.91+630.74</f>
        <v>12720.199999999999</v>
      </c>
      <c r="I398" s="18">
        <f>70+108.14+1406.23+628.49+167.33+125.03</f>
        <v>2505.2199999999998</v>
      </c>
      <c r="J398" s="24" t="s">
        <v>312</v>
      </c>
      <c r="K398" s="24" t="s">
        <v>312</v>
      </c>
      <c r="L398" s="56">
        <f>SUM(F398:K398)</f>
        <v>15225.419999999998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64960.089999999989</v>
      </c>
      <c r="I399" s="47">
        <f>SUM(I395:I398)</f>
        <v>26683.31</v>
      </c>
      <c r="J399" s="49" t="s">
        <v>312</v>
      </c>
      <c r="K399" s="49" t="s">
        <v>312</v>
      </c>
      <c r="L399" s="47">
        <f>SUM(L395:L398)</f>
        <v>91643.4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67793.87999999999</v>
      </c>
      <c r="I400" s="47">
        <f>I385+I393+I399</f>
        <v>38091.740000000005</v>
      </c>
      <c r="J400" s="24" t="s">
        <v>312</v>
      </c>
      <c r="K400" s="24" t="s">
        <v>312</v>
      </c>
      <c r="L400" s="47">
        <f>L385+L393+L399</f>
        <v>105885.62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>
        <f>1500+600</f>
        <v>2100</v>
      </c>
      <c r="I418" s="18"/>
      <c r="J418" s="18"/>
      <c r="K418" s="18"/>
      <c r="L418" s="56">
        <f t="shared" si="29"/>
        <v>2100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2100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2100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 t="s">
        <v>894</v>
      </c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>
        <f>5426.4-4298.9</f>
        <v>1127.5</v>
      </c>
      <c r="J421" s="18">
        <f>9959.2-3652.95</f>
        <v>6306.2500000000009</v>
      </c>
      <c r="K421" s="18">
        <v>30000</v>
      </c>
      <c r="L421" s="56">
        <f>SUM(F421:K421)</f>
        <v>37433.75</v>
      </c>
      <c r="M421" s="8"/>
    </row>
    <row r="422" spans="1:21" s="11" customFormat="1" ht="12" customHeight="1" x14ac:dyDescent="0.15">
      <c r="A422" s="110" t="s">
        <v>895</v>
      </c>
      <c r="B422" s="6">
        <v>17</v>
      </c>
      <c r="C422" s="6">
        <v>16</v>
      </c>
      <c r="D422" s="2" t="s">
        <v>456</v>
      </c>
      <c r="E422" s="6"/>
      <c r="F422" s="18"/>
      <c r="G422" s="18"/>
      <c r="H422" s="18">
        <v>500</v>
      </c>
      <c r="I422" s="18"/>
      <c r="J422" s="18"/>
      <c r="K422" s="18">
        <v>5000</v>
      </c>
      <c r="L422" s="56">
        <f>SUM(F422:K422)</f>
        <v>5500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 t="s">
        <v>896</v>
      </c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 t="s">
        <v>897</v>
      </c>
      <c r="B424" s="6">
        <v>17</v>
      </c>
      <c r="C424" s="6">
        <v>18</v>
      </c>
      <c r="D424" s="2" t="s">
        <v>456</v>
      </c>
      <c r="E424" s="6"/>
      <c r="F424" s="18"/>
      <c r="G424" s="18"/>
      <c r="H424" s="18">
        <f>750+4000+505</f>
        <v>5255</v>
      </c>
      <c r="I424" s="18"/>
      <c r="J424" s="18"/>
      <c r="K424" s="18"/>
      <c r="L424" s="56">
        <f>SUM(F424:K424)</f>
        <v>5255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5755</v>
      </c>
      <c r="I425" s="47">
        <f t="shared" si="31"/>
        <v>1127.5</v>
      </c>
      <c r="J425" s="47">
        <f t="shared" si="31"/>
        <v>6306.2500000000009</v>
      </c>
      <c r="K425" s="47">
        <f t="shared" si="31"/>
        <v>35000</v>
      </c>
      <c r="L425" s="47">
        <f t="shared" si="31"/>
        <v>48188.75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7855</v>
      </c>
      <c r="I426" s="47">
        <f t="shared" si="32"/>
        <v>1127.5</v>
      </c>
      <c r="J426" s="47">
        <f t="shared" si="32"/>
        <v>6306.2500000000009</v>
      </c>
      <c r="K426" s="47">
        <f t="shared" si="32"/>
        <v>35000</v>
      </c>
      <c r="L426" s="47">
        <f t="shared" si="32"/>
        <v>50288.75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v>100207.65</v>
      </c>
      <c r="H434" s="18">
        <f>2506577.58-100207.65</f>
        <v>2406369.9300000002</v>
      </c>
      <c r="I434" s="56">
        <f t="shared" si="33"/>
        <v>2506577.58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100207.65</v>
      </c>
      <c r="H438" s="13">
        <f>SUM(H431:H437)</f>
        <v>2406369.9300000002</v>
      </c>
      <c r="I438" s="13">
        <f>SUM(I431:I437)</f>
        <v>2506577.58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f>G434</f>
        <v>100207.65</v>
      </c>
      <c r="H449" s="18">
        <f>H434</f>
        <v>2406369.9300000002</v>
      </c>
      <c r="I449" s="56">
        <f>SUM(F449:H449)</f>
        <v>2506577.58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100207.65</v>
      </c>
      <c r="H450" s="83">
        <f>SUM(H446:H449)</f>
        <v>2406369.9300000002</v>
      </c>
      <c r="I450" s="83">
        <f>SUM(I446:I449)</f>
        <v>2506577.58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100207.65</v>
      </c>
      <c r="H451" s="42">
        <f>H444+H450</f>
        <v>2406369.9300000002</v>
      </c>
      <c r="I451" s="42">
        <f>I444+I450</f>
        <v>2506577.58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1206946.2</v>
      </c>
      <c r="G455" s="18">
        <v>97319.8</v>
      </c>
      <c r="H455" s="18">
        <f>-8551.71+41104.89</f>
        <v>32553.18</v>
      </c>
      <c r="I455" s="18">
        <v>206181.92</v>
      </c>
      <c r="J455" s="18">
        <v>2450980.71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32723449.57</v>
      </c>
      <c r="G458" s="18">
        <v>829913.97</v>
      </c>
      <c r="H458" s="18">
        <f>86759+1606981.84</f>
        <v>1693740.84</v>
      </c>
      <c r="I458" s="18">
        <f>1717538+5532+236.62</f>
        <v>1723306.62</v>
      </c>
      <c r="J458" s="18">
        <f>67793.88+10826.6+27265.14</f>
        <v>105885.62000000001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32723449.57</v>
      </c>
      <c r="G460" s="53">
        <f>SUM(G458:G459)</f>
        <v>829913.97</v>
      </c>
      <c r="H460" s="53">
        <f>SUM(H458:H459)</f>
        <v>1693740.84</v>
      </c>
      <c r="I460" s="53">
        <f>SUM(I458:I459)</f>
        <v>1723306.62</v>
      </c>
      <c r="J460" s="53">
        <f>SUM(J458:J459)</f>
        <v>105885.62000000001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32710395.66-338058.65+137844.27-1913.77</f>
        <v>32508267.510000002</v>
      </c>
      <c r="G462" s="18">
        <v>820661.41</v>
      </c>
      <c r="H462" s="18">
        <f>83019.44+1553217.27</f>
        <v>1636236.71</v>
      </c>
      <c r="I462" s="18">
        <f>52835.65+1478391.4+124738.44+34376.45</f>
        <v>1690341.9399999997</v>
      </c>
      <c r="J462" s="18">
        <v>50288.75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32508267.510000002</v>
      </c>
      <c r="G464" s="53">
        <f>SUM(G462:G463)</f>
        <v>820661.41</v>
      </c>
      <c r="H464" s="53">
        <f>SUM(H462:H463)</f>
        <v>1636236.71</v>
      </c>
      <c r="I464" s="53">
        <f>SUM(I462:I463)</f>
        <v>1690341.9399999997</v>
      </c>
      <c r="J464" s="53">
        <f>SUM(J462:J463)</f>
        <v>50288.75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1422128.2600000016</v>
      </c>
      <c r="G466" s="53">
        <f>(G455+G460)- G464</f>
        <v>106572.35999999999</v>
      </c>
      <c r="H466" s="53">
        <f>(H455+H460)- H464</f>
        <v>90057.310000000056</v>
      </c>
      <c r="I466" s="53">
        <f>(I455+I460)- I464</f>
        <v>239146.60000000033</v>
      </c>
      <c r="J466" s="53">
        <f>(J455+J460)- J464</f>
        <v>2506577.58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>
        <v>20</v>
      </c>
      <c r="H480" s="154">
        <v>20</v>
      </c>
      <c r="I480" s="154">
        <v>20</v>
      </c>
      <c r="J480" s="154">
        <v>5</v>
      </c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271" t="s">
        <v>898</v>
      </c>
      <c r="G481" s="271" t="s">
        <v>899</v>
      </c>
      <c r="H481" s="271" t="s">
        <v>900</v>
      </c>
      <c r="I481" s="271" t="s">
        <v>901</v>
      </c>
      <c r="J481" s="155" t="s">
        <v>902</v>
      </c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903</v>
      </c>
      <c r="G482" s="155" t="s">
        <v>904</v>
      </c>
      <c r="H482" s="271" t="s">
        <v>905</v>
      </c>
      <c r="I482" s="271" t="s">
        <v>906</v>
      </c>
      <c r="J482" s="271" t="s">
        <v>907</v>
      </c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1292240</v>
      </c>
      <c r="G483" s="18">
        <v>4393500</v>
      </c>
      <c r="H483" s="18">
        <v>5150000</v>
      </c>
      <c r="I483" s="18">
        <v>10895000</v>
      </c>
      <c r="J483" s="18">
        <v>438009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4.62</v>
      </c>
      <c r="G484" s="18">
        <v>4.43</v>
      </c>
      <c r="H484" s="18">
        <v>6.65</v>
      </c>
      <c r="I484" s="18">
        <v>5.58</v>
      </c>
      <c r="J484" s="18">
        <v>2.56</v>
      </c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250000</v>
      </c>
      <c r="G485" s="18">
        <v>3955000</v>
      </c>
      <c r="H485" s="18">
        <v>510000</v>
      </c>
      <c r="I485" s="18">
        <v>5445000</v>
      </c>
      <c r="J485" s="18">
        <v>0</v>
      </c>
      <c r="K485" s="53">
        <f>SUM(F485:J485)</f>
        <v>10160000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0</v>
      </c>
      <c r="I486" s="18">
        <v>0</v>
      </c>
      <c r="J486" s="18">
        <v>438009</v>
      </c>
      <c r="K486" s="53">
        <f t="shared" ref="K486:K493" si="34">SUM(F486:J486)</f>
        <v>438009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85000</v>
      </c>
      <c r="G487" s="18">
        <v>220000</v>
      </c>
      <c r="H487" s="18">
        <v>255000</v>
      </c>
      <c r="I487" s="18">
        <v>545000</v>
      </c>
      <c r="J487" s="18">
        <v>0</v>
      </c>
      <c r="K487" s="53">
        <f t="shared" si="34"/>
        <v>1105000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165000</v>
      </c>
      <c r="G488" s="205">
        <v>3735000</v>
      </c>
      <c r="H488" s="205">
        <v>255000</v>
      </c>
      <c r="I488" s="205">
        <v>4900000</v>
      </c>
      <c r="J488" s="205">
        <v>438009</v>
      </c>
      <c r="K488" s="206">
        <f t="shared" si="34"/>
        <v>9493009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11950</v>
      </c>
      <c r="G489" s="18">
        <v>1475507</v>
      </c>
      <c r="H489" s="18">
        <v>17595</v>
      </c>
      <c r="I489" s="18">
        <v>1383892</v>
      </c>
      <c r="J489" s="18">
        <v>32532</v>
      </c>
      <c r="K489" s="53">
        <f t="shared" si="34"/>
        <v>2921476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176950</v>
      </c>
      <c r="G490" s="42">
        <f>SUM(G488:G489)</f>
        <v>5210507</v>
      </c>
      <c r="H490" s="42">
        <f>SUM(H488:H489)</f>
        <v>272595</v>
      </c>
      <c r="I490" s="42">
        <f>SUM(I488:I489)</f>
        <v>6283892</v>
      </c>
      <c r="J490" s="42">
        <f>SUM(J488:J489)</f>
        <v>470541</v>
      </c>
      <c r="K490" s="42">
        <f t="shared" si="34"/>
        <v>12414485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85000</v>
      </c>
      <c r="G491" s="205">
        <v>220000</v>
      </c>
      <c r="H491" s="205">
        <v>255000</v>
      </c>
      <c r="I491" s="205">
        <v>545000</v>
      </c>
      <c r="J491" s="205">
        <v>89704</v>
      </c>
      <c r="K491" s="206">
        <f t="shared" si="34"/>
        <v>1194704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8020</v>
      </c>
      <c r="G492" s="18">
        <v>170006</v>
      </c>
      <c r="H492" s="18">
        <v>17595</v>
      </c>
      <c r="I492" s="18">
        <v>274801</v>
      </c>
      <c r="J492" s="18">
        <v>11213</v>
      </c>
      <c r="K492" s="53">
        <f t="shared" si="34"/>
        <v>481635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93020</v>
      </c>
      <c r="G493" s="42">
        <f>SUM(G491:G492)</f>
        <v>390006</v>
      </c>
      <c r="H493" s="42">
        <f>SUM(H491:H492)</f>
        <v>272595</v>
      </c>
      <c r="I493" s="42">
        <f>SUM(I491:I492)</f>
        <v>819801</v>
      </c>
      <c r="J493" s="42">
        <f>SUM(J491:J492)</f>
        <v>100917</v>
      </c>
      <c r="K493" s="42">
        <f t="shared" si="34"/>
        <v>1676339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f>1007755.08</f>
        <v>1007755.08</v>
      </c>
      <c r="G497" s="144">
        <f>I497-F497</f>
        <v>3781.3200000000652</v>
      </c>
      <c r="H497" s="144"/>
      <c r="I497" s="144">
        <v>1011536.4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1228998.39+250521.95-203552.02</f>
        <v>1275968.3199999998</v>
      </c>
      <c r="G511" s="18">
        <f>513545.7+107815.81-75672.92</f>
        <v>545688.59</v>
      </c>
      <c r="H511" s="18">
        <f>39250.92+420-20126.57</f>
        <v>19544.349999999999</v>
      </c>
      <c r="I511" s="18">
        <f>1550.1+17559.96-19034.99</f>
        <v>75.069999999996071</v>
      </c>
      <c r="J511" s="18">
        <f>4672.91-2500</f>
        <v>2172.91</v>
      </c>
      <c r="K511" s="18"/>
      <c r="L511" s="88">
        <f>SUM(F511:K511)</f>
        <v>1843449.2399999998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923130.94+72891.95</f>
        <v>996022.8899999999</v>
      </c>
      <c r="G512" s="18">
        <f>373632.98+24143.44</f>
        <v>397776.42</v>
      </c>
      <c r="H512" s="18">
        <f>168550.8</f>
        <v>168550.8</v>
      </c>
      <c r="I512" s="18">
        <f>5888.31+1721.88</f>
        <v>7610.1900000000005</v>
      </c>
      <c r="J512" s="18">
        <f>466.29+2606.04</f>
        <v>3072.33</v>
      </c>
      <c r="K512" s="18"/>
      <c r="L512" s="88">
        <f>SUM(F512:K512)</f>
        <v>1573032.63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793145.94+72891.95</f>
        <v>866037.8899999999</v>
      </c>
      <c r="G513" s="18">
        <f>325066.38+24143.44</f>
        <v>349209.82</v>
      </c>
      <c r="H513" s="18">
        <f>283896.99</f>
        <v>283896.99</v>
      </c>
      <c r="I513" s="18">
        <f>7279.94+20082.34</f>
        <v>27362.28</v>
      </c>
      <c r="J513" s="18">
        <f>1327.13+112452.37</f>
        <v>113779.5</v>
      </c>
      <c r="K513" s="18"/>
      <c r="L513" s="88">
        <f>SUM(F513:K513)</f>
        <v>1640286.48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3138029.0999999996</v>
      </c>
      <c r="G514" s="108">
        <f t="shared" ref="G514:L514" si="35">SUM(G511:G513)</f>
        <v>1292674.83</v>
      </c>
      <c r="H514" s="108">
        <f t="shared" si="35"/>
        <v>471992.14</v>
      </c>
      <c r="I514" s="108">
        <f t="shared" si="35"/>
        <v>35047.539999999994</v>
      </c>
      <c r="J514" s="108">
        <f t="shared" si="35"/>
        <v>119024.74</v>
      </c>
      <c r="K514" s="108">
        <f t="shared" si="35"/>
        <v>0</v>
      </c>
      <c r="L514" s="89">
        <f t="shared" si="35"/>
        <v>5056768.3499999996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222573.44+47539.78+26879.24+122942.49+154426.65</f>
        <v>574361.59999999998</v>
      </c>
      <c r="G516" s="18">
        <f>48031.38+166489.34</f>
        <v>214520.72</v>
      </c>
      <c r="H516" s="18">
        <f>11855.2+453.28+18.42+234.05</f>
        <v>12560.95</v>
      </c>
      <c r="I516" s="18">
        <f>1378.86+1217.62+206.43+988.31</f>
        <v>3791.2199999999993</v>
      </c>
      <c r="J516" s="18"/>
      <c r="K516" s="18"/>
      <c r="L516" s="88">
        <f>SUM(F516:K516)</f>
        <v>805234.48999999987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99774.3+21310.93+14295.64+52394.76</f>
        <v>187775.63</v>
      </c>
      <c r="G517" s="18">
        <f>16296.36+56213.49</f>
        <v>72509.850000000006</v>
      </c>
      <c r="H517" s="18">
        <f>4022.3+203.19+2.14+27.22</f>
        <v>4254.8500000000004</v>
      </c>
      <c r="I517" s="18">
        <f>467.83+413.12+92.54+114.92</f>
        <v>1088.4100000000001</v>
      </c>
      <c r="J517" s="18"/>
      <c r="K517" s="18"/>
      <c r="L517" s="88">
        <f>SUM(F517:K517)</f>
        <v>265628.74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61399.57+13114.42+5505.39+5718.26+68940.47</f>
        <v>154678.10999999999</v>
      </c>
      <c r="G518" s="18">
        <f>21442.58+37494.73</f>
        <v>58937.310000000005</v>
      </c>
      <c r="H518" s="18">
        <f>5292.5+125.04+0.86+10.89</f>
        <v>5429.29</v>
      </c>
      <c r="I518" s="18">
        <f>615.56+543.58+56.95+45.97</f>
        <v>1262.06</v>
      </c>
      <c r="J518" s="18"/>
      <c r="K518" s="18"/>
      <c r="L518" s="88">
        <f>SUM(F518:K518)</f>
        <v>220306.77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916815.34</v>
      </c>
      <c r="G519" s="89">
        <f t="shared" ref="G519:L519" si="36">SUM(G516:G518)</f>
        <v>345967.88</v>
      </c>
      <c r="H519" s="89">
        <f t="shared" si="36"/>
        <v>22245.090000000004</v>
      </c>
      <c r="I519" s="89">
        <f t="shared" si="36"/>
        <v>6141.6899999999987</v>
      </c>
      <c r="J519" s="89">
        <f t="shared" si="36"/>
        <v>0</v>
      </c>
      <c r="K519" s="89">
        <f t="shared" si="36"/>
        <v>0</v>
      </c>
      <c r="L519" s="89">
        <f t="shared" si="36"/>
        <v>1291170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64762.52+30553.22</f>
        <v>95315.739999999991</v>
      </c>
      <c r="G521" s="18">
        <f>213100.52*95315.74/454866.14</f>
        <v>44654.530139756716</v>
      </c>
      <c r="H521" s="18">
        <f>1429.34+20.12</f>
        <v>1449.4599999999998</v>
      </c>
      <c r="I521" s="18">
        <f>757.84+2119.84</f>
        <v>2877.6800000000003</v>
      </c>
      <c r="J521" s="18"/>
      <c r="K521" s="18">
        <f>772.4</f>
        <v>772.4</v>
      </c>
      <c r="L521" s="88">
        <f>SUM(F521:K521)</f>
        <v>145069.81013975668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60136.62+28370.85</f>
        <v>88507.47</v>
      </c>
      <c r="G522" s="18">
        <f>149244.29*88507.47/325862.41</f>
        <v>40536.232822455037</v>
      </c>
      <c r="H522" s="18">
        <f>1327.25+17.4</f>
        <v>1344.65</v>
      </c>
      <c r="I522" s="18">
        <f>703.71+1968.43</f>
        <v>2672.1400000000003</v>
      </c>
      <c r="J522" s="18"/>
      <c r="K522" s="18">
        <f>717.24</f>
        <v>717.24</v>
      </c>
      <c r="L522" s="88">
        <f>SUM(F522:K522)</f>
        <v>133777.73282245503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53019.86+25013.35</f>
        <v>78033.209999999992</v>
      </c>
      <c r="G523" s="18">
        <f>235409.99*78033.21/512771.86</f>
        <v>35824.503290348075</v>
      </c>
      <c r="H523" s="18">
        <f>1170.18+16.86</f>
        <v>1187.04</v>
      </c>
      <c r="I523" s="18">
        <f>620.44+1735.48</f>
        <v>2355.92</v>
      </c>
      <c r="J523" s="18"/>
      <c r="K523" s="18">
        <f>632.36</f>
        <v>632.36</v>
      </c>
      <c r="L523" s="88">
        <f>SUM(F523:K523)</f>
        <v>118033.03329034806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261856.41999999998</v>
      </c>
      <c r="G524" s="89">
        <f t="shared" ref="G524:L524" si="37">SUM(G521:G523)</f>
        <v>121015.26625255983</v>
      </c>
      <c r="H524" s="89">
        <f t="shared" si="37"/>
        <v>3981.1499999999996</v>
      </c>
      <c r="I524" s="89">
        <f t="shared" si="37"/>
        <v>7905.7400000000007</v>
      </c>
      <c r="J524" s="89">
        <f t="shared" si="37"/>
        <v>0</v>
      </c>
      <c r="K524" s="89">
        <f t="shared" si="37"/>
        <v>2122</v>
      </c>
      <c r="L524" s="89">
        <f t="shared" si="37"/>
        <v>396880.57625255978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f>20640.47*0.417</f>
        <v>8607.0759899999994</v>
      </c>
      <c r="I526" s="18"/>
      <c r="J526" s="18"/>
      <c r="K526" s="18"/>
      <c r="L526" s="88">
        <f>SUM(F526:K526)</f>
        <v>8607.0759899999994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f>20640.47*0.231</f>
        <v>4767.9485700000005</v>
      </c>
      <c r="I527" s="18"/>
      <c r="J527" s="18"/>
      <c r="K527" s="18"/>
      <c r="L527" s="88">
        <f>SUM(F527:K527)</f>
        <v>4767.9485700000005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f>20640.47*0.352</f>
        <v>7265.4454400000004</v>
      </c>
      <c r="I528" s="18"/>
      <c r="J528" s="18"/>
      <c r="K528" s="18"/>
      <c r="L528" s="88">
        <f>SUM(F528:K528)</f>
        <v>7265.4454400000004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20640.47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20640.47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91804.97</f>
        <v>91804.97</v>
      </c>
      <c r="I531" s="18"/>
      <c r="J531" s="18"/>
      <c r="K531" s="18"/>
      <c r="L531" s="88">
        <f>SUM(F531:K531)</f>
        <v>91804.97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f>39153.63</f>
        <v>39153.629999999997</v>
      </c>
      <c r="I532" s="18"/>
      <c r="J532" s="18"/>
      <c r="K532" s="18"/>
      <c r="L532" s="88">
        <f>SUM(F532:K532)</f>
        <v>39153.629999999997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f>77647.4</f>
        <v>77647.399999999994</v>
      </c>
      <c r="I533" s="18"/>
      <c r="J533" s="18"/>
      <c r="K533" s="18"/>
      <c r="L533" s="88">
        <f>SUM(F533:K533)</f>
        <v>77647.399999999994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208606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208606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4316700.8599999994</v>
      </c>
      <c r="G535" s="89">
        <f t="shared" ref="G535:L535" si="40">G514+G519+G524+G529+G534</f>
        <v>1759657.9762525598</v>
      </c>
      <c r="H535" s="89">
        <f t="shared" si="40"/>
        <v>727464.85000000009</v>
      </c>
      <c r="I535" s="89">
        <f t="shared" si="40"/>
        <v>49094.969999999994</v>
      </c>
      <c r="J535" s="89">
        <f t="shared" si="40"/>
        <v>119024.74</v>
      </c>
      <c r="K535" s="89">
        <f t="shared" si="40"/>
        <v>2122</v>
      </c>
      <c r="L535" s="89">
        <f t="shared" si="40"/>
        <v>6974065.3962525595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1843449.2399999998</v>
      </c>
      <c r="G539" s="87">
        <f>L516</f>
        <v>805234.48999999987</v>
      </c>
      <c r="H539" s="87">
        <f>L521</f>
        <v>145069.81013975668</v>
      </c>
      <c r="I539" s="87">
        <f>L526</f>
        <v>8607.0759899999994</v>
      </c>
      <c r="J539" s="87">
        <f>L531</f>
        <v>91804.97</v>
      </c>
      <c r="K539" s="87">
        <f>SUM(F539:J539)</f>
        <v>2894165.5861297562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1573032.63</v>
      </c>
      <c r="G540" s="87">
        <f>L517</f>
        <v>265628.74</v>
      </c>
      <c r="H540" s="87">
        <f>L522</f>
        <v>133777.73282245503</v>
      </c>
      <c r="I540" s="87">
        <f>L527</f>
        <v>4767.9485700000005</v>
      </c>
      <c r="J540" s="87">
        <f>L532</f>
        <v>39153.629999999997</v>
      </c>
      <c r="K540" s="87">
        <f>SUM(F540:J540)</f>
        <v>2016360.6813924548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1640286.48</v>
      </c>
      <c r="G541" s="87">
        <f>L518</f>
        <v>220306.77</v>
      </c>
      <c r="H541" s="87">
        <f>L523</f>
        <v>118033.03329034806</v>
      </c>
      <c r="I541" s="87">
        <f>L528</f>
        <v>7265.4454400000004</v>
      </c>
      <c r="J541" s="87">
        <f>L533</f>
        <v>77647.399999999994</v>
      </c>
      <c r="K541" s="87">
        <f>SUM(F541:J541)</f>
        <v>2063539.1287303478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5056768.3499999996</v>
      </c>
      <c r="G542" s="89">
        <f t="shared" si="41"/>
        <v>1291170</v>
      </c>
      <c r="H542" s="89">
        <f t="shared" si="41"/>
        <v>396880.57625255978</v>
      </c>
      <c r="I542" s="89">
        <f t="shared" si="41"/>
        <v>20640.47</v>
      </c>
      <c r="J542" s="89">
        <f t="shared" si="41"/>
        <v>208606</v>
      </c>
      <c r="K542" s="89">
        <f t="shared" si="41"/>
        <v>6974065.3962525595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f>9638.49-518.49+190432.02+4000</f>
        <v>203552.02</v>
      </c>
      <c r="G547" s="18">
        <f>518.49+1043.83+74110.6</f>
        <v>75672.920000000013</v>
      </c>
      <c r="H547" s="18">
        <f>1610+10316.57+4000+600+3000+600</f>
        <v>20126.57</v>
      </c>
      <c r="I547" s="18">
        <f>221.62+10828.96+4171.16+3813.25</f>
        <v>19034.989999999998</v>
      </c>
      <c r="J547" s="18">
        <f>1500+1000</f>
        <v>2500</v>
      </c>
      <c r="K547" s="18"/>
      <c r="L547" s="88">
        <f>SUM(F547:K547)</f>
        <v>320886.5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203552.02</v>
      </c>
      <c r="G550" s="108">
        <f t="shared" si="42"/>
        <v>75672.920000000013</v>
      </c>
      <c r="H550" s="108">
        <f t="shared" si="42"/>
        <v>20126.57</v>
      </c>
      <c r="I550" s="108">
        <f t="shared" si="42"/>
        <v>19034.989999999998</v>
      </c>
      <c r="J550" s="108">
        <f t="shared" si="42"/>
        <v>2500</v>
      </c>
      <c r="K550" s="108">
        <f t="shared" si="42"/>
        <v>0</v>
      </c>
      <c r="L550" s="89">
        <f t="shared" si="42"/>
        <v>320886.5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f>21499.77+7064.35</f>
        <v>28564.120000000003</v>
      </c>
      <c r="G552" s="18">
        <f>(1295.9+26307.37)*0.417</f>
        <v>11510.56359</v>
      </c>
      <c r="H552" s="18"/>
      <c r="I552" s="18">
        <f>-200.82+208.66+31.65+387.99</f>
        <v>427.48</v>
      </c>
      <c r="J552" s="18"/>
      <c r="K552" s="18"/>
      <c r="L552" s="88">
        <f>SUM(F552:K552)</f>
        <v>40502.163590000004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f>11909.94+3913.34</f>
        <v>15823.28</v>
      </c>
      <c r="G553" s="18">
        <f>(1295.9+26307.37)*0.231</f>
        <v>6376.3553700000002</v>
      </c>
      <c r="H553" s="18"/>
      <c r="I553" s="18">
        <f>-111.24+128.45+19.48</f>
        <v>36.69</v>
      </c>
      <c r="J553" s="18"/>
      <c r="K553" s="18"/>
      <c r="L553" s="88">
        <f>SUM(F553:K553)</f>
        <v>22236.325369999999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f>18148.49+5963.19</f>
        <v>24111.68</v>
      </c>
      <c r="G554" s="18">
        <f>(1295.9+26307.37)*0.352</f>
        <v>9716.3510399999996</v>
      </c>
      <c r="H554" s="18"/>
      <c r="I554" s="18">
        <f>-169.52+170.58+25.88</f>
        <v>26.94</v>
      </c>
      <c r="J554" s="18"/>
      <c r="K554" s="18"/>
      <c r="L554" s="88">
        <f>SUM(F554:K554)</f>
        <v>33854.971040000004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68499.08</v>
      </c>
      <c r="G555" s="89">
        <f t="shared" si="43"/>
        <v>27603.269999999997</v>
      </c>
      <c r="H555" s="89">
        <f t="shared" si="43"/>
        <v>0</v>
      </c>
      <c r="I555" s="89">
        <f t="shared" si="43"/>
        <v>491.11</v>
      </c>
      <c r="J555" s="89">
        <f t="shared" si="43"/>
        <v>0</v>
      </c>
      <c r="K555" s="89">
        <f t="shared" si="43"/>
        <v>0</v>
      </c>
      <c r="L555" s="89">
        <f t="shared" si="43"/>
        <v>96593.46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f>65463+400</f>
        <v>65863</v>
      </c>
      <c r="G557" s="18">
        <f>17747.66</f>
        <v>17747.66</v>
      </c>
      <c r="H557" s="18"/>
      <c r="I557" s="18">
        <f>562.88+200.83</f>
        <v>763.71</v>
      </c>
      <c r="J557" s="18"/>
      <c r="K557" s="18">
        <f>205.5</f>
        <v>205.5</v>
      </c>
      <c r="L557" s="88">
        <f>SUM(F557:K557)</f>
        <v>84579.87000000001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f>62333+400</f>
        <v>62733</v>
      </c>
      <c r="G558" s="18">
        <f>29280.73</f>
        <v>29280.73</v>
      </c>
      <c r="H558" s="18"/>
      <c r="I558" s="18">
        <f>622.36+100.72+800</f>
        <v>1523.08</v>
      </c>
      <c r="J558" s="18"/>
      <c r="K558" s="18">
        <f>189</f>
        <v>189</v>
      </c>
      <c r="L558" s="88">
        <f>SUM(F558:K558)</f>
        <v>93725.81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128596</v>
      </c>
      <c r="G560" s="194">
        <f t="shared" ref="G560:L560" si="44">SUM(G557:G559)</f>
        <v>47028.39</v>
      </c>
      <c r="H560" s="194">
        <f t="shared" si="44"/>
        <v>0</v>
      </c>
      <c r="I560" s="194">
        <f t="shared" si="44"/>
        <v>2286.79</v>
      </c>
      <c r="J560" s="194">
        <f t="shared" si="44"/>
        <v>0</v>
      </c>
      <c r="K560" s="194">
        <f t="shared" si="44"/>
        <v>394.5</v>
      </c>
      <c r="L560" s="194">
        <f t="shared" si="44"/>
        <v>178305.68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400647.1</v>
      </c>
      <c r="G561" s="89">
        <f t="shared" ref="G561:L561" si="45">G550+G555+G560</f>
        <v>150304.58000000002</v>
      </c>
      <c r="H561" s="89">
        <f t="shared" si="45"/>
        <v>20126.57</v>
      </c>
      <c r="I561" s="89">
        <f t="shared" si="45"/>
        <v>21812.89</v>
      </c>
      <c r="J561" s="89">
        <f t="shared" si="45"/>
        <v>2500</v>
      </c>
      <c r="K561" s="89">
        <f t="shared" si="45"/>
        <v>394.5</v>
      </c>
      <c r="L561" s="89">
        <f t="shared" si="45"/>
        <v>595785.64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f>3507.2</f>
        <v>3507.2</v>
      </c>
      <c r="G572" s="18">
        <f>140224.1-11650.81+6202.53</f>
        <v>134775.82</v>
      </c>
      <c r="H572" s="18">
        <f>248950.24-437.5+4206.27</f>
        <v>252719.00999999998</v>
      </c>
      <c r="I572" s="87">
        <f t="shared" si="46"/>
        <v>391002.03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f>4873.98-2985.04+3029.74</f>
        <v>4918.6799999999994</v>
      </c>
      <c r="I574" s="87">
        <f t="shared" si="46"/>
        <v>4918.6799999999994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320746.99+356.99</f>
        <v>321103.98</v>
      </c>
      <c r="I581" s="18">
        <f>189011.62+210.38</f>
        <v>189222</v>
      </c>
      <c r="J581" s="18">
        <f>63003.87+70.13</f>
        <v>63074</v>
      </c>
      <c r="K581" s="104">
        <f t="shared" ref="K581:K587" si="47">SUM(H581:J581)</f>
        <v>573399.98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91804.97</f>
        <v>91804.97</v>
      </c>
      <c r="I582" s="18">
        <f>39153.63</f>
        <v>39153.629999999997</v>
      </c>
      <c r="J582" s="18">
        <f>77647.4</f>
        <v>77647.399999999994</v>
      </c>
      <c r="K582" s="104">
        <f t="shared" si="47"/>
        <v>208606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f>27270</f>
        <v>27270</v>
      </c>
      <c r="K583" s="104">
        <f t="shared" si="47"/>
        <v>27270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f>17121.53</f>
        <v>17121.53</v>
      </c>
      <c r="J584" s="18">
        <f>61985.7+742.01</f>
        <v>62727.71</v>
      </c>
      <c r="K584" s="104">
        <f t="shared" si="47"/>
        <v>79849.239999999991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412908.94999999995</v>
      </c>
      <c r="I588" s="108">
        <f>SUM(I581:I587)</f>
        <v>245497.16</v>
      </c>
      <c r="J588" s="108">
        <f>SUM(J581:J587)</f>
        <v>230719.11</v>
      </c>
      <c r="K588" s="108">
        <f>SUM(K581:K587)</f>
        <v>889125.22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71430.39+10925.84</f>
        <v>82356.23</v>
      </c>
      <c r="I594" s="18">
        <f>63030.45+3056.62</f>
        <v>66087.069999999992</v>
      </c>
      <c r="J594" s="18">
        <f>104090.21+116991.2</f>
        <v>221081.41</v>
      </c>
      <c r="K594" s="104">
        <f>SUM(H594:J594)</f>
        <v>369524.70999999996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82356.23</v>
      </c>
      <c r="I595" s="108">
        <f>SUM(I592:I594)</f>
        <v>66087.069999999992</v>
      </c>
      <c r="J595" s="108">
        <f>SUM(J592:J594)</f>
        <v>221081.41</v>
      </c>
      <c r="K595" s="108">
        <f>SUM(K592:K594)</f>
        <v>369524.70999999996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6492.42+7949.52+3500+4700+2400+3600+720+720+2820</f>
        <v>32901.94</v>
      </c>
      <c r="G601" s="18">
        <f>452.85+466.55+335.49+558.25</f>
        <v>1813.14</v>
      </c>
      <c r="H601" s="18"/>
      <c r="I601" s="18">
        <f>396.48+519.49+266.81+1212.55+1140.39+621.42-1948.81-119.8-967.87-847.4</f>
        <v>273.26000000000033</v>
      </c>
      <c r="J601" s="18"/>
      <c r="K601" s="18"/>
      <c r="L601" s="88">
        <f>SUM(F601:K601)</f>
        <v>34988.340000000004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6616</v>
      </c>
      <c r="G602" s="18">
        <f>6616*0.1567</f>
        <v>1036.7272</v>
      </c>
      <c r="H602" s="18"/>
      <c r="I602" s="18">
        <f>234.22</f>
        <v>234.22</v>
      </c>
      <c r="J602" s="18"/>
      <c r="K602" s="18"/>
      <c r="L602" s="88">
        <f>SUM(F602:K602)</f>
        <v>7886.9472000000005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13100</v>
      </c>
      <c r="G603" s="18">
        <f>13100*0.1567</f>
        <v>2052.77</v>
      </c>
      <c r="H603" s="18"/>
      <c r="I603" s="18"/>
      <c r="J603" s="18"/>
      <c r="K603" s="18"/>
      <c r="L603" s="88">
        <f>SUM(F603:K603)</f>
        <v>15152.77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52617.94</v>
      </c>
      <c r="G604" s="108">
        <f t="shared" si="48"/>
        <v>4902.6372000000001</v>
      </c>
      <c r="H604" s="108">
        <f t="shared" si="48"/>
        <v>0</v>
      </c>
      <c r="I604" s="108">
        <f t="shared" si="48"/>
        <v>507.48000000000036</v>
      </c>
      <c r="J604" s="108">
        <f t="shared" si="48"/>
        <v>0</v>
      </c>
      <c r="K604" s="108">
        <f t="shared" si="48"/>
        <v>0</v>
      </c>
      <c r="L604" s="89">
        <f t="shared" si="48"/>
        <v>58028.05720000001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1607259.8299999998</v>
      </c>
      <c r="H607" s="109">
        <f>SUM(F44)</f>
        <v>1607259.83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106572.35999999999</v>
      </c>
      <c r="H608" s="109">
        <f>SUM(G44)</f>
        <v>106572.36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511612.77999999997</v>
      </c>
      <c r="H609" s="109">
        <f>SUM(H44)</f>
        <v>511612.77999999997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239146.6</v>
      </c>
      <c r="H610" s="109">
        <f>SUM(I44)</f>
        <v>239146.6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2506577.58</v>
      </c>
      <c r="H611" s="109">
        <f>SUM(J44)</f>
        <v>2506577.58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1422128.26</v>
      </c>
      <c r="H612" s="109">
        <f>F466</f>
        <v>1422128.2600000016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106572.36</v>
      </c>
      <c r="H613" s="109">
        <f>G466</f>
        <v>106572.35999999999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90057.310000000012</v>
      </c>
      <c r="H614" s="109">
        <f>H466</f>
        <v>90057.310000000056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239146.6</v>
      </c>
      <c r="H615" s="109">
        <f>I466</f>
        <v>239146.60000000033</v>
      </c>
      <c r="I615" s="121" t="s">
        <v>112</v>
      </c>
      <c r="J615" s="109">
        <f t="shared" si="49"/>
        <v>-3.2014213502407074E-10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2506577.58</v>
      </c>
      <c r="H616" s="109">
        <f>J466</f>
        <v>2506577.58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32723449.57</v>
      </c>
      <c r="H617" s="104">
        <f>SUM(F458)</f>
        <v>32723449.57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829913.97</v>
      </c>
      <c r="H618" s="104">
        <f>SUM(G458)</f>
        <v>829913.97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1693740.8399999999</v>
      </c>
      <c r="H619" s="104">
        <f>SUM(H458)</f>
        <v>1693740.84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1723306.62</v>
      </c>
      <c r="H620" s="104">
        <f>SUM(I458)</f>
        <v>1723306.62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105885.62000000001</v>
      </c>
      <c r="H621" s="104">
        <f>SUM(J458)</f>
        <v>105885.62000000001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32508267.510000002</v>
      </c>
      <c r="H622" s="104">
        <f>SUM(F462)</f>
        <v>32508267.510000002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1636236.71</v>
      </c>
      <c r="H623" s="104">
        <f>SUM(H462)</f>
        <v>1636236.71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405660.32999999996</v>
      </c>
      <c r="H624" s="104">
        <f>I361</f>
        <v>405660.32999999996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820661.41</v>
      </c>
      <c r="H625" s="104">
        <f>SUM(G462)</f>
        <v>820661.41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1690341.94</v>
      </c>
      <c r="H626" s="104">
        <f>SUM(I462)</f>
        <v>1690341.9399999997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105885.62</v>
      </c>
      <c r="H627" s="164">
        <f>SUM(J458)</f>
        <v>105885.62000000001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50288.75</v>
      </c>
      <c r="H628" s="164">
        <f>SUM(J462)</f>
        <v>50288.75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100207.65</v>
      </c>
      <c r="H630" s="104">
        <f>SUM(G451)</f>
        <v>100207.65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2406369.9300000002</v>
      </c>
      <c r="H631" s="104">
        <f>SUM(H451)</f>
        <v>2406369.9300000002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2506577.58</v>
      </c>
      <c r="H632" s="104">
        <f>SUM(I451)</f>
        <v>2506577.58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67793.88</v>
      </c>
      <c r="H634" s="104">
        <f>H400</f>
        <v>67793.87999999999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105885.62000000001</v>
      </c>
      <c r="H636" s="104">
        <f>L400</f>
        <v>105885.62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889125.22</v>
      </c>
      <c r="H637" s="104">
        <f>L200+L218+L236</f>
        <v>889125.22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369524.70999999996</v>
      </c>
      <c r="H638" s="104">
        <f>(J249+J330)-(J247+J328)</f>
        <v>369524.71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412908.94999999995</v>
      </c>
      <c r="H639" s="104">
        <f>H588</f>
        <v>412908.94999999995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245497.16</v>
      </c>
      <c r="H640" s="104">
        <f>I588</f>
        <v>245497.16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230719.11000000002</v>
      </c>
      <c r="H641" s="104">
        <f>J588</f>
        <v>230719.11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13000318.480583334</v>
      </c>
      <c r="G650" s="19">
        <f>(L221+L301+L351)</f>
        <v>8342073.1868833341</v>
      </c>
      <c r="H650" s="19">
        <f>(L239+L320+L352)</f>
        <v>11955932.702533331</v>
      </c>
      <c r="I650" s="19">
        <f>SUM(F650:H650)</f>
        <v>33298324.370000001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189556.31655523847</v>
      </c>
      <c r="G651" s="19">
        <f>(L351/IF(SUM(L350:L352)=0,1,SUM(L350:L352))*(SUM(G89:G102)))</f>
        <v>143412.08171136794</v>
      </c>
      <c r="H651" s="19">
        <f>(L352/IF(SUM(L350:L352)=0,1,SUM(L350:L352))*(SUM(G89:G102)))</f>
        <v>180102.7717333936</v>
      </c>
      <c r="I651" s="19">
        <f>SUM(F651:H651)</f>
        <v>513071.17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412908.94999999995</v>
      </c>
      <c r="G652" s="19">
        <f>(L218+L298)-(J218+J298)</f>
        <v>245622.16</v>
      </c>
      <c r="H652" s="19">
        <f>(L236+L317)-(J236+J317)</f>
        <v>241975.46000000002</v>
      </c>
      <c r="I652" s="19">
        <f>SUM(F652:H652)</f>
        <v>900506.57000000007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120851.76999999999</v>
      </c>
      <c r="G653" s="200">
        <f>SUM(G565:G577)+SUM(I592:I594)+L602</f>
        <v>208749.83720000001</v>
      </c>
      <c r="H653" s="200">
        <f>SUM(H565:H577)+SUM(J592:J594)+L603</f>
        <v>493871.87</v>
      </c>
      <c r="I653" s="19">
        <f>SUM(F653:H653)</f>
        <v>823473.47719999996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12277001.444028096</v>
      </c>
      <c r="G654" s="19">
        <f>G650-SUM(G651:G653)</f>
        <v>7744289.1079719663</v>
      </c>
      <c r="H654" s="19">
        <f>H650-SUM(H651:H653)</f>
        <v>11039982.600799937</v>
      </c>
      <c r="I654" s="19">
        <f>I650-SUM(I651:I653)</f>
        <v>31061273.152800001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f>1108.17</f>
        <v>1108.17</v>
      </c>
      <c r="G655" s="249">
        <v>615.63</v>
      </c>
      <c r="H655" s="249">
        <v>935.52</v>
      </c>
      <c r="I655" s="19">
        <f>SUM(F655:H655)</f>
        <v>2659.32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11078.63</v>
      </c>
      <c r="G657" s="19">
        <f>ROUND(G654/G655,2)</f>
        <v>12579.45</v>
      </c>
      <c r="H657" s="19">
        <f>ROUND(H654/H655,2)</f>
        <v>11800.9</v>
      </c>
      <c r="I657" s="19">
        <f>ROUND(I654/I655,2)</f>
        <v>11680.16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16.88</v>
      </c>
      <c r="I660" s="19">
        <f>SUM(F660:H660)</f>
        <v>16.88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11078.63</v>
      </c>
      <c r="G662" s="19">
        <f>ROUND((G654+G659)/(G655+G660),2)</f>
        <v>12579.45</v>
      </c>
      <c r="H662" s="19">
        <f>ROUND((H654+H659)/(H655+H660),2)</f>
        <v>11591.75</v>
      </c>
      <c r="I662" s="19">
        <f>ROUND((I654+I659)/(I655+I660),2)</f>
        <v>11606.48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3C715-03E8-41E7-8A84-B44F2F3178BE}">
  <sheetPr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Milford SD</v>
      </c>
      <c r="C1" s="239" t="s">
        <v>870</v>
      </c>
    </row>
    <row r="2" spans="1:3" x14ac:dyDescent="0.2">
      <c r="A2" s="234"/>
      <c r="B2" s="233"/>
    </row>
    <row r="3" spans="1:3" x14ac:dyDescent="0.2">
      <c r="A3" s="275" t="s">
        <v>815</v>
      </c>
      <c r="B3" s="275"/>
      <c r="C3" s="275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814</v>
      </c>
      <c r="C6" s="274"/>
    </row>
    <row r="7" spans="1:3" x14ac:dyDescent="0.2">
      <c r="A7" s="240" t="s">
        <v>817</v>
      </c>
      <c r="B7" s="272" t="s">
        <v>813</v>
      </c>
      <c r="C7" s="273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9468401.6499999985</v>
      </c>
      <c r="C9" s="230">
        <f>'DOE25'!G189+'DOE25'!G207+'DOE25'!G225+'DOE25'!G268+'DOE25'!G287+'DOE25'!G306</f>
        <v>4035277.5499999993</v>
      </c>
    </row>
    <row r="10" spans="1:3" x14ac:dyDescent="0.2">
      <c r="A10" t="s">
        <v>810</v>
      </c>
      <c r="B10" s="241">
        <f>8969573.56-5243.75</f>
        <v>8964329.8100000005</v>
      </c>
      <c r="C10" s="241">
        <f>C9-C11-C12</f>
        <v>3878908.8256999995</v>
      </c>
    </row>
    <row r="11" spans="1:3" x14ac:dyDescent="0.2">
      <c r="A11" t="s">
        <v>811</v>
      </c>
      <c r="B11" s="241">
        <f>280827.72</f>
        <v>280827.71999999997</v>
      </c>
      <c r="C11" s="241">
        <f>B11*0.496</f>
        <v>139290.54911999998</v>
      </c>
    </row>
    <row r="12" spans="1:3" x14ac:dyDescent="0.2">
      <c r="A12" t="s">
        <v>812</v>
      </c>
      <c r="B12" s="241">
        <f>1920.5+214148.12+5243.75+1931.75</f>
        <v>223244.12</v>
      </c>
      <c r="C12" s="241">
        <f>B12*0.0765</f>
        <v>17078.175179999998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9468401.6500000004</v>
      </c>
      <c r="C13" s="232">
        <f>SUM(C10:C12)</f>
        <v>4035277.5499999993</v>
      </c>
    </row>
    <row r="14" spans="1:3" x14ac:dyDescent="0.2">
      <c r="B14" s="231"/>
      <c r="C14" s="231"/>
    </row>
    <row r="15" spans="1:3" x14ac:dyDescent="0.2">
      <c r="B15" s="274" t="s">
        <v>814</v>
      </c>
      <c r="C15" s="274"/>
    </row>
    <row r="16" spans="1:3" x14ac:dyDescent="0.2">
      <c r="A16" s="240" t="s">
        <v>818</v>
      </c>
      <c r="B16" s="272" t="s">
        <v>738</v>
      </c>
      <c r="C16" s="273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3341581.1200000006</v>
      </c>
      <c r="C18" s="230">
        <f>'DOE25'!G190+'DOE25'!G208+'DOE25'!G226+'DOE25'!G269+'DOE25'!G288+'DOE25'!G307</f>
        <v>1368347.75</v>
      </c>
    </row>
    <row r="19" spans="1:3" x14ac:dyDescent="0.2">
      <c r="A19" t="s">
        <v>810</v>
      </c>
      <c r="B19" s="241">
        <f>1497438.49+161997.27</f>
        <v>1659435.76</v>
      </c>
      <c r="C19" s="241">
        <f>C18-C20-C21</f>
        <v>531097.55584000004</v>
      </c>
    </row>
    <row r="20" spans="1:3" x14ac:dyDescent="0.2">
      <c r="A20" t="s">
        <v>811</v>
      </c>
      <c r="B20" s="241">
        <f>1596671.96</f>
        <v>1596671.96</v>
      </c>
      <c r="C20" s="241">
        <f>B20*0.496</f>
        <v>791949.29215999995</v>
      </c>
    </row>
    <row r="21" spans="1:3" x14ac:dyDescent="0.2">
      <c r="A21" t="s">
        <v>812</v>
      </c>
      <c r="B21" s="241">
        <f>85473.4</f>
        <v>85473.4</v>
      </c>
      <c r="C21" s="241">
        <f>B21*0.53</f>
        <v>45300.902000000002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3341581.1199999996</v>
      </c>
      <c r="C22" s="232">
        <f>SUM(C19:C21)</f>
        <v>1368347.75</v>
      </c>
    </row>
    <row r="23" spans="1:3" x14ac:dyDescent="0.2">
      <c r="B23" s="231"/>
      <c r="C23" s="231"/>
    </row>
    <row r="24" spans="1:3" x14ac:dyDescent="0.2">
      <c r="B24" s="274" t="s">
        <v>814</v>
      </c>
      <c r="C24" s="274"/>
    </row>
    <row r="25" spans="1:3" x14ac:dyDescent="0.2">
      <c r="A25" s="240" t="s">
        <v>819</v>
      </c>
      <c r="B25" s="272" t="s">
        <v>739</v>
      </c>
      <c r="C25" s="273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710316.8</v>
      </c>
      <c r="C27" s="235">
        <f>'DOE25'!G191+'DOE25'!G209+'DOE25'!G227+'DOE25'!G270+'DOE25'!G289+'DOE25'!G308</f>
        <v>316627.62000000005</v>
      </c>
    </row>
    <row r="28" spans="1:3" x14ac:dyDescent="0.2">
      <c r="A28" t="s">
        <v>810</v>
      </c>
      <c r="B28" s="241">
        <v>710316.8</v>
      </c>
      <c r="C28" s="241">
        <v>316627.62</v>
      </c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710316.8</v>
      </c>
      <c r="C31" s="232">
        <f>SUM(C28:C30)</f>
        <v>316627.62</v>
      </c>
    </row>
    <row r="33" spans="1:3" x14ac:dyDescent="0.2">
      <c r="B33" s="274" t="s">
        <v>814</v>
      </c>
      <c r="C33" s="274"/>
    </row>
    <row r="34" spans="1:3" x14ac:dyDescent="0.2">
      <c r="A34" s="240" t="s">
        <v>820</v>
      </c>
      <c r="B34" s="272" t="s">
        <v>740</v>
      </c>
      <c r="C34" s="273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236693.41999999998</v>
      </c>
      <c r="C36" s="236">
        <f>'DOE25'!G192+'DOE25'!G210+'DOE25'!G228+'DOE25'!G271+'DOE25'!G290+'DOE25'!G309</f>
        <v>22189.4</v>
      </c>
    </row>
    <row r="37" spans="1:3" x14ac:dyDescent="0.2">
      <c r="A37" t="s">
        <v>810</v>
      </c>
      <c r="B37" s="241">
        <f>198275.48-138779.75-45295.73+34157.94</f>
        <v>48357.94000000001</v>
      </c>
      <c r="C37" s="241">
        <f>C36-C38-C39</f>
        <v>7391.5197800000005</v>
      </c>
    </row>
    <row r="38" spans="1:3" x14ac:dyDescent="0.2">
      <c r="A38" t="s">
        <v>811</v>
      </c>
      <c r="B38" s="241">
        <f>720*2+2820</f>
        <v>4260</v>
      </c>
      <c r="C38" s="241">
        <f>B38*0.1681</f>
        <v>716.10599999999999</v>
      </c>
    </row>
    <row r="39" spans="1:3" x14ac:dyDescent="0.2">
      <c r="A39" t="s">
        <v>812</v>
      </c>
      <c r="B39" s="241">
        <f>45295.73+138779.75</f>
        <v>184075.48</v>
      </c>
      <c r="C39" s="241">
        <f>B39*0.0765</f>
        <v>14081.774220000001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236693.42</v>
      </c>
      <c r="C40" s="232">
        <f>SUM(C37:C39)</f>
        <v>22189.4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CE26B-9000-4F55-A907-D33058E2ECCA}">
  <sheetPr>
    <tabColor indexed="11"/>
  </sheetPr>
  <dimension ref="A1:I51"/>
  <sheetViews>
    <sheetView workbookViewId="0">
      <pane ySplit="4" topLeftCell="A5" activePane="bottomLeft" state="frozen"/>
      <selection pane="bottomLeft" activeCell="B2" sqref="B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821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Milford SD</v>
      </c>
      <c r="C2" s="181"/>
      <c r="D2" s="181" t="s">
        <v>823</v>
      </c>
      <c r="E2" s="181" t="s">
        <v>825</v>
      </c>
      <c r="F2" s="276" t="s">
        <v>852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19797110.030000001</v>
      </c>
      <c r="D5" s="20">
        <f>SUM('DOE25'!L189:L192)+SUM('DOE25'!L207:L210)+SUM('DOE25'!L225:L228)-F5-G5</f>
        <v>19675299.470000003</v>
      </c>
      <c r="E5" s="244"/>
      <c r="F5" s="256">
        <f>SUM('DOE25'!J189:J192)+SUM('DOE25'!J207:J210)+SUM('DOE25'!J225:J228)</f>
        <v>106959.06</v>
      </c>
      <c r="G5" s="53">
        <f>SUM('DOE25'!K189:K192)+SUM('DOE25'!K207:K210)+SUM('DOE25'!K225:K228)</f>
        <v>14851.5</v>
      </c>
      <c r="H5" s="260"/>
    </row>
    <row r="6" spans="1:9" x14ac:dyDescent="0.2">
      <c r="A6" s="32">
        <v>2100</v>
      </c>
      <c r="B6" t="s">
        <v>832</v>
      </c>
      <c r="C6" s="246">
        <f t="shared" si="0"/>
        <v>2464746.3600000003</v>
      </c>
      <c r="D6" s="20">
        <f>'DOE25'!L194+'DOE25'!L212+'DOE25'!L230-F6-G6</f>
        <v>2462676.0700000003</v>
      </c>
      <c r="E6" s="244"/>
      <c r="F6" s="256">
        <f>'DOE25'!J194+'DOE25'!J212+'DOE25'!J230</f>
        <v>1720.29</v>
      </c>
      <c r="G6" s="53">
        <f>'DOE25'!K194+'DOE25'!K212+'DOE25'!K230</f>
        <v>350</v>
      </c>
      <c r="H6" s="260"/>
    </row>
    <row r="7" spans="1:9" x14ac:dyDescent="0.2">
      <c r="A7" s="32">
        <v>2200</v>
      </c>
      <c r="B7" t="s">
        <v>865</v>
      </c>
      <c r="C7" s="246">
        <f t="shared" si="0"/>
        <v>415909.68999999994</v>
      </c>
      <c r="D7" s="20">
        <f>'DOE25'!L195+'DOE25'!L213+'DOE25'!L231-F7-G7</f>
        <v>415052.66999999993</v>
      </c>
      <c r="E7" s="244"/>
      <c r="F7" s="256">
        <f>'DOE25'!J195+'DOE25'!J213+'DOE25'!J231</f>
        <v>812.02</v>
      </c>
      <c r="G7" s="53">
        <f>'DOE25'!K195+'DOE25'!K213+'DOE25'!K231</f>
        <v>45</v>
      </c>
      <c r="H7" s="260"/>
    </row>
    <row r="8" spans="1:9" x14ac:dyDescent="0.2">
      <c r="A8" s="32">
        <v>2300</v>
      </c>
      <c r="B8" t="s">
        <v>833</v>
      </c>
      <c r="C8" s="246">
        <f t="shared" si="0"/>
        <v>1681961.91</v>
      </c>
      <c r="D8" s="244"/>
      <c r="E8" s="20">
        <f>'DOE25'!L196+'DOE25'!L214+'DOE25'!L232-F8-G8-D9-D11</f>
        <v>1655286.8699999999</v>
      </c>
      <c r="F8" s="256">
        <f>'DOE25'!J196+'DOE25'!J214+'DOE25'!J232</f>
        <v>0</v>
      </c>
      <c r="G8" s="53">
        <f>'DOE25'!K196+'DOE25'!K214+'DOE25'!K232</f>
        <v>26675.040000000001</v>
      </c>
      <c r="H8" s="260"/>
    </row>
    <row r="9" spans="1:9" x14ac:dyDescent="0.2">
      <c r="A9" s="32">
        <v>2310</v>
      </c>
      <c r="B9" t="s">
        <v>849</v>
      </c>
      <c r="C9" s="246">
        <f t="shared" si="0"/>
        <v>89454.16</v>
      </c>
      <c r="D9" s="245">
        <f>89454.16</f>
        <v>89454.16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10440</v>
      </c>
      <c r="D10" s="244"/>
      <c r="E10" s="245">
        <v>10440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248039.07</v>
      </c>
      <c r="D11" s="245">
        <v>248039.07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1739705.2400000002</v>
      </c>
      <c r="D12" s="20">
        <f>'DOE25'!L197+'DOE25'!L215+'DOE25'!L233-F12-G12</f>
        <v>1713656.9100000001</v>
      </c>
      <c r="E12" s="244"/>
      <c r="F12" s="256">
        <f>'DOE25'!J197+'DOE25'!J215+'DOE25'!J233</f>
        <v>5002.6099999999997</v>
      </c>
      <c r="G12" s="53">
        <f>'DOE25'!K197+'DOE25'!K215+'DOE25'!K233</f>
        <v>21045.72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2670916.6100000003</v>
      </c>
      <c r="D14" s="20">
        <f>'DOE25'!L199+'DOE25'!L217+'DOE25'!L235-F14-G14</f>
        <v>2657831.3300000005</v>
      </c>
      <c r="E14" s="244"/>
      <c r="F14" s="256">
        <f>'DOE25'!J199+'DOE25'!J217+'DOE25'!J235</f>
        <v>13085.28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889125.22</v>
      </c>
      <c r="D15" s="20">
        <f>'DOE25'!L200+'DOE25'!L218+'DOE25'!L236-F15-G15</f>
        <v>889125.22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844457.96</v>
      </c>
      <c r="D16" s="244"/>
      <c r="E16" s="20">
        <f>'DOE25'!L201+'DOE25'!L219+'DOE25'!L237-F16-G16</f>
        <v>733486.16999999993</v>
      </c>
      <c r="F16" s="256">
        <f>'DOE25'!J201+'DOE25'!J219+'DOE25'!J237</f>
        <v>110971.79000000001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13124.3</v>
      </c>
      <c r="D22" s="244"/>
      <c r="E22" s="244"/>
      <c r="F22" s="256">
        <f>'DOE25'!L247+'DOE25'!L328</f>
        <v>13124.3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1653716.96</v>
      </c>
      <c r="D25" s="244"/>
      <c r="E25" s="244"/>
      <c r="F25" s="259"/>
      <c r="G25" s="257"/>
      <c r="H25" s="258">
        <f>'DOE25'!L252+'DOE25'!L253+'DOE25'!L333+'DOE25'!L334</f>
        <v>1653716.96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450088.31000000006</v>
      </c>
      <c r="D29" s="20">
        <f>'DOE25'!L350+'DOE25'!L351+'DOE25'!L352-'DOE25'!I359-F29-G29</f>
        <v>450088.31000000006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1636236.71</v>
      </c>
      <c r="D31" s="20">
        <f>'DOE25'!L282+'DOE25'!L301+'DOE25'!L320+'DOE25'!L325+'DOE25'!L326+'DOE25'!L327-F31-G31</f>
        <v>1503070.35</v>
      </c>
      <c r="E31" s="244"/>
      <c r="F31" s="256">
        <f>'DOE25'!J282+'DOE25'!J301+'DOE25'!J320+'DOE25'!J325+'DOE25'!J326+'DOE25'!J327</f>
        <v>130973.66</v>
      </c>
      <c r="G31" s="53">
        <f>'DOE25'!K282+'DOE25'!K301+'DOE25'!K320+'DOE25'!K325+'DOE25'!K326+'DOE25'!K327</f>
        <v>2192.6999999999998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30104293.560000002</v>
      </c>
      <c r="E33" s="247">
        <f>SUM(E5:E31)</f>
        <v>2399213.04</v>
      </c>
      <c r="F33" s="247">
        <f>SUM(F5:F31)</f>
        <v>382649.01</v>
      </c>
      <c r="G33" s="247">
        <f>SUM(G5:G31)</f>
        <v>65159.96</v>
      </c>
      <c r="H33" s="247">
        <f>SUM(H5:H31)</f>
        <v>1653716.96</v>
      </c>
    </row>
    <row r="35" spans="2:8" ht="12" thickBot="1" x14ac:dyDescent="0.25">
      <c r="B35" s="254" t="s">
        <v>878</v>
      </c>
      <c r="D35" s="255">
        <f>E33</f>
        <v>2399213.04</v>
      </c>
      <c r="E35" s="250"/>
    </row>
    <row r="36" spans="2:8" ht="12" thickTop="1" x14ac:dyDescent="0.2">
      <c r="B36" t="s">
        <v>846</v>
      </c>
      <c r="D36" s="20">
        <f>D33</f>
        <v>30104293.560000002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8419-0C53-47B2-9B19-438A1C582A43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5" sqref="A5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Milford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1072260.98</v>
      </c>
      <c r="D9" s="95">
        <f>'DOE25'!G9</f>
        <v>390.9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68497.88</v>
      </c>
      <c r="D12" s="95">
        <f>'DOE25'!G12</f>
        <v>79683.14</v>
      </c>
      <c r="E12" s="95">
        <f>'DOE25'!H12</f>
        <v>14707.85</v>
      </c>
      <c r="F12" s="95">
        <f>'DOE25'!I12</f>
        <v>239146.6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337229.45</v>
      </c>
      <c r="D13" s="95">
        <f>'DOE25'!G13</f>
        <v>26498.32</v>
      </c>
      <c r="E13" s="95">
        <f>'DOE25'!H13</f>
        <v>496404.93</v>
      </c>
      <c r="F13" s="95">
        <f>'DOE25'!I13</f>
        <v>0</v>
      </c>
      <c r="G13" s="95">
        <f>'DOE25'!J13</f>
        <v>2506577.58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4809.09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124462.43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500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1607259.8299999998</v>
      </c>
      <c r="D19" s="41">
        <f>SUM(D9:D18)</f>
        <v>106572.35999999999</v>
      </c>
      <c r="E19" s="41">
        <f>SUM(E9:E18)</f>
        <v>511612.77999999997</v>
      </c>
      <c r="F19" s="41">
        <f>SUM(F9:F18)</f>
        <v>239146.6</v>
      </c>
      <c r="G19" s="41">
        <f>SUM(G9:G18)</f>
        <v>2506577.58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402035.47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105731.09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73542.320000000007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5858.16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19520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185131.57</v>
      </c>
      <c r="D32" s="41">
        <f>SUM(D22:D31)</f>
        <v>0</v>
      </c>
      <c r="E32" s="41">
        <f>SUM(E22:E31)</f>
        <v>421555.47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338058.65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77000</v>
      </c>
      <c r="D40" s="95">
        <f>'DOE25'!G41</f>
        <v>106572.36</v>
      </c>
      <c r="E40" s="95">
        <f>'DOE25'!H41</f>
        <v>90057.310000000012</v>
      </c>
      <c r="F40" s="95">
        <f>'DOE25'!I41</f>
        <v>239146.6</v>
      </c>
      <c r="G40" s="95">
        <f>'DOE25'!J41</f>
        <v>2506577.58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1007069.61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1422128.26</v>
      </c>
      <c r="D42" s="41">
        <f>SUM(D34:D41)</f>
        <v>106572.36</v>
      </c>
      <c r="E42" s="41">
        <f>SUM(E34:E41)</f>
        <v>90057.310000000012</v>
      </c>
      <c r="F42" s="41">
        <f>SUM(F34:F41)</f>
        <v>239146.6</v>
      </c>
      <c r="G42" s="41">
        <f>SUM(G34:G41)</f>
        <v>2506577.58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1607259.83</v>
      </c>
      <c r="D43" s="41">
        <f>D42+D32</f>
        <v>106572.36</v>
      </c>
      <c r="E43" s="41">
        <f>E42+E32</f>
        <v>511612.77999999997</v>
      </c>
      <c r="F43" s="41">
        <f>F42+F32</f>
        <v>239146.6</v>
      </c>
      <c r="G43" s="41">
        <f>G42+G32</f>
        <v>2506577.58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18458204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970120.13</v>
      </c>
      <c r="D49" s="24" t="s">
        <v>312</v>
      </c>
      <c r="E49" s="95">
        <f>'DOE25'!H71</f>
        <v>65514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7560.87</v>
      </c>
      <c r="D51" s="95">
        <f>'DOE25'!G88</f>
        <v>0</v>
      </c>
      <c r="E51" s="95">
        <f>'DOE25'!H88</f>
        <v>0</v>
      </c>
      <c r="F51" s="95">
        <f>'DOE25'!I88</f>
        <v>236.62</v>
      </c>
      <c r="G51" s="95">
        <f>'DOE25'!J88</f>
        <v>67793.88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513071.17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36808.42</v>
      </c>
      <c r="D53" s="95">
        <f>SUM('DOE25'!G90:G102)</f>
        <v>0</v>
      </c>
      <c r="E53" s="95">
        <f>SUM('DOE25'!H90:H102)</f>
        <v>55458.65</v>
      </c>
      <c r="F53" s="95">
        <f>SUM('DOE25'!I90:I102)</f>
        <v>5532</v>
      </c>
      <c r="G53" s="95">
        <f>SUM('DOE25'!J90:J102)</f>
        <v>38091.74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1014489.42</v>
      </c>
      <c r="D54" s="130">
        <f>SUM(D49:D53)</f>
        <v>513071.17</v>
      </c>
      <c r="E54" s="130">
        <f>SUM(E49:E53)</f>
        <v>120972.65</v>
      </c>
      <c r="F54" s="130">
        <f>SUM(F49:F53)</f>
        <v>5768.62</v>
      </c>
      <c r="G54" s="130">
        <f>SUM(G49:G53)</f>
        <v>105885.62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19472693.420000002</v>
      </c>
      <c r="D55" s="22">
        <f>D48+D54</f>
        <v>513071.17</v>
      </c>
      <c r="E55" s="22">
        <f>E48+E54</f>
        <v>120972.65</v>
      </c>
      <c r="F55" s="22">
        <f>F48+F54</f>
        <v>5768.62</v>
      </c>
      <c r="G55" s="22">
        <f>G48+G54</f>
        <v>105885.62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7956917.8399999999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3273728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288595.15999999997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248675.79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11767916.789999999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366534.04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1279529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269100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150252.6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133198.01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9715.32</v>
      </c>
      <c r="E69" s="95">
        <f>SUM('DOE25'!H123:H127)</f>
        <v>61900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919084.65</v>
      </c>
      <c r="D70" s="130">
        <f>SUM(D64:D69)</f>
        <v>9715.32</v>
      </c>
      <c r="E70" s="130">
        <f>SUM(E64:E69)</f>
        <v>61900</v>
      </c>
      <c r="F70" s="130">
        <f>SUM(F64:F69)</f>
        <v>1279529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12687001.439999999</v>
      </c>
      <c r="D73" s="130">
        <f>SUM(D71:D72)+D70+D62</f>
        <v>9715.32</v>
      </c>
      <c r="E73" s="130">
        <f>SUM(E71:E72)+E70+E62</f>
        <v>61900</v>
      </c>
      <c r="F73" s="130">
        <f>SUM(F71:F72)+F70+F62</f>
        <v>1279529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369639.82</v>
      </c>
      <c r="D80" s="95">
        <f>SUM('DOE25'!G145:G153)</f>
        <v>307127.48</v>
      </c>
      <c r="E80" s="95">
        <f>SUM('DOE25'!H145:H153)</f>
        <v>1510868.19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369639.82</v>
      </c>
      <c r="D83" s="131">
        <f>SUM(D77:D82)</f>
        <v>307127.48</v>
      </c>
      <c r="E83" s="131">
        <f>SUM(E77:E82)</f>
        <v>1510868.19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438009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159114.89000000001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35000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194114.89</v>
      </c>
      <c r="D95" s="86">
        <f>SUM(D85:D94)</f>
        <v>0</v>
      </c>
      <c r="E95" s="86">
        <f>SUM(E85:E94)</f>
        <v>0</v>
      </c>
      <c r="F95" s="86">
        <f>SUM(F85:F94)</f>
        <v>438009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32723449.57</v>
      </c>
      <c r="D96" s="86">
        <f>D55+D73+D83+D95</f>
        <v>829913.97</v>
      </c>
      <c r="E96" s="86">
        <f>E55+E73+E83+E95</f>
        <v>1693740.8399999999</v>
      </c>
      <c r="F96" s="86">
        <f>F55+F73+F83+F95</f>
        <v>1723306.62</v>
      </c>
      <c r="G96" s="86">
        <f>G55+G73+G95</f>
        <v>105885.62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13742317.66</v>
      </c>
      <c r="D101" s="24" t="s">
        <v>312</v>
      </c>
      <c r="E101" s="95">
        <f>('DOE25'!L268)+('DOE25'!L287)+('DOE25'!L306)</f>
        <v>164835.49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4665730.8099999996</v>
      </c>
      <c r="D102" s="24" t="s">
        <v>312</v>
      </c>
      <c r="E102" s="95">
        <f>('DOE25'!L269)+('DOE25'!L288)+('DOE25'!L307)</f>
        <v>711924.04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1047783.7500000001</v>
      </c>
      <c r="D103" s="24" t="s">
        <v>312</v>
      </c>
      <c r="E103" s="95">
        <f>('DOE25'!L270)+('DOE25'!L289)+('DOE25'!L308)</f>
        <v>81710.039999999994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341277.81</v>
      </c>
      <c r="D104" s="24" t="s">
        <v>312</v>
      </c>
      <c r="E104" s="95">
        <f>+('DOE25'!L271)+('DOE25'!L290)+('DOE25'!L309)</f>
        <v>24483.279999999999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19797110.029999997</v>
      </c>
      <c r="D107" s="86">
        <f>SUM(D101:D106)</f>
        <v>0</v>
      </c>
      <c r="E107" s="86">
        <f>SUM(E101:E106)</f>
        <v>982952.85000000009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2464746.3600000003</v>
      </c>
      <c r="D110" s="24" t="s">
        <v>312</v>
      </c>
      <c r="E110" s="95">
        <f>+('DOE25'!L273)+('DOE25'!L292)+('DOE25'!L311)</f>
        <v>405016.07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415909.68999999994</v>
      </c>
      <c r="D111" s="24" t="s">
        <v>312</v>
      </c>
      <c r="E111" s="95">
        <f>+('DOE25'!L274)+('DOE25'!L293)+('DOE25'!L312)</f>
        <v>152283.09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2019455.14</v>
      </c>
      <c r="D112" s="24" t="s">
        <v>312</v>
      </c>
      <c r="E112" s="95">
        <f>+('DOE25'!L275)+('DOE25'!L294)+('DOE25'!L313)</f>
        <v>81233.350000000006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1739705.2400000002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2670916.6100000003</v>
      </c>
      <c r="D115" s="24" t="s">
        <v>312</v>
      </c>
      <c r="E115" s="95">
        <f>+('DOE25'!L278)+('DOE25'!L297)+('DOE25'!L316)</f>
        <v>3370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889125.22</v>
      </c>
      <c r="D116" s="24" t="s">
        <v>312</v>
      </c>
      <c r="E116" s="95">
        <f>+('DOE25'!L279)+('DOE25'!L298)+('DOE25'!L317)</f>
        <v>11381.349999999999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844457.96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820661.41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11044316.220000003</v>
      </c>
      <c r="D120" s="86">
        <f>SUM(D110:D119)</f>
        <v>820661.41</v>
      </c>
      <c r="E120" s="86">
        <f>SUM(E110:E119)</f>
        <v>653283.86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13124.3</v>
      </c>
      <c r="D122" s="24" t="s">
        <v>312</v>
      </c>
      <c r="E122" s="129">
        <f>'DOE25'!L328</f>
        <v>0</v>
      </c>
      <c r="F122" s="129">
        <f>SUM('DOE25'!L366:'DOE25'!L372)</f>
        <v>1531227.0499999998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1120006.3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533710.66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159114.89000000001</v>
      </c>
      <c r="G126" s="95">
        <f>'DOE25'!K426</f>
        <v>35000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14242.220000000001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91643.4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-105885.62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1666841.2600000002</v>
      </c>
      <c r="D136" s="141">
        <f>SUM(D122:D135)</f>
        <v>0</v>
      </c>
      <c r="E136" s="141">
        <f>SUM(E122:E135)</f>
        <v>0</v>
      </c>
      <c r="F136" s="141">
        <f>SUM(F122:F135)</f>
        <v>1690341.94</v>
      </c>
      <c r="G136" s="141">
        <f>SUM(G122:G135)</f>
        <v>35000</v>
      </c>
    </row>
    <row r="137" spans="1:9" ht="12.75" thickTop="1" thickBot="1" x14ac:dyDescent="0.25">
      <c r="A137" s="33" t="s">
        <v>267</v>
      </c>
      <c r="C137" s="86">
        <f>(C107+C120+C136)</f>
        <v>32508267.510000002</v>
      </c>
      <c r="D137" s="86">
        <f>(D107+D120+D136)</f>
        <v>820661.41</v>
      </c>
      <c r="E137" s="86">
        <f>(E107+E120+E136)</f>
        <v>1636236.71</v>
      </c>
      <c r="F137" s="86">
        <f>(F107+F120+F136)</f>
        <v>1690341.94</v>
      </c>
      <c r="G137" s="86">
        <f>(G107+G120+G136)</f>
        <v>35000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20</v>
      </c>
      <c r="D143" s="153">
        <f>'DOE25'!H480</f>
        <v>20</v>
      </c>
      <c r="E143" s="153">
        <f>'DOE25'!I480</f>
        <v>20</v>
      </c>
      <c r="F143" s="153">
        <f>'DOE25'!J480</f>
        <v>5</v>
      </c>
      <c r="G143" s="24" t="s">
        <v>312</v>
      </c>
    </row>
    <row r="144" spans="1:9" x14ac:dyDescent="0.2">
      <c r="A144" s="136" t="s">
        <v>28</v>
      </c>
      <c r="B144" s="152" t="str">
        <f>'DOE25'!F481</f>
        <v>01/98</v>
      </c>
      <c r="C144" s="152" t="str">
        <f>'DOE25'!G481</f>
        <v>01/08</v>
      </c>
      <c r="D144" s="152" t="str">
        <f>'DOE25'!H481</f>
        <v>01/92</v>
      </c>
      <c r="E144" s="152" t="str">
        <f>'DOE25'!I481</f>
        <v>01/00</v>
      </c>
      <c r="F144" s="152" t="str">
        <f>'DOE25'!J481</f>
        <v>07/10</v>
      </c>
      <c r="G144" s="24" t="s">
        <v>312</v>
      </c>
    </row>
    <row r="145" spans="1:7" x14ac:dyDescent="0.2">
      <c r="A145" s="136" t="s">
        <v>29</v>
      </c>
      <c r="B145" s="152" t="str">
        <f>'DOE25'!F482</f>
        <v>01/13</v>
      </c>
      <c r="C145" s="152" t="str">
        <f>'DOE25'!G482</f>
        <v>01/28</v>
      </c>
      <c r="D145" s="152" t="str">
        <f>'DOE25'!H482</f>
        <v>01/12</v>
      </c>
      <c r="E145" s="152" t="str">
        <f>'DOE25'!I482</f>
        <v>01/20</v>
      </c>
      <c r="F145" s="152" t="str">
        <f>'DOE25'!J482</f>
        <v>07/15</v>
      </c>
      <c r="G145" s="24" t="s">
        <v>312</v>
      </c>
    </row>
    <row r="146" spans="1:7" x14ac:dyDescent="0.2">
      <c r="A146" s="136" t="s">
        <v>30</v>
      </c>
      <c r="B146" s="137">
        <f>'DOE25'!F483</f>
        <v>1292240</v>
      </c>
      <c r="C146" s="137">
        <f>'DOE25'!G483</f>
        <v>4393500</v>
      </c>
      <c r="D146" s="137">
        <f>'DOE25'!H483</f>
        <v>5150000</v>
      </c>
      <c r="E146" s="137">
        <f>'DOE25'!I483</f>
        <v>10895000</v>
      </c>
      <c r="F146" s="137">
        <f>'DOE25'!J483</f>
        <v>438009</v>
      </c>
      <c r="G146" s="24" t="s">
        <v>312</v>
      </c>
    </row>
    <row r="147" spans="1:7" x14ac:dyDescent="0.2">
      <c r="A147" s="136" t="s">
        <v>31</v>
      </c>
      <c r="B147" s="137">
        <f>'DOE25'!F484</f>
        <v>4.62</v>
      </c>
      <c r="C147" s="137">
        <f>'DOE25'!G484</f>
        <v>4.43</v>
      </c>
      <c r="D147" s="137">
        <f>'DOE25'!H484</f>
        <v>6.65</v>
      </c>
      <c r="E147" s="137">
        <f>'DOE25'!I484</f>
        <v>5.58</v>
      </c>
      <c r="F147" s="137">
        <f>'DOE25'!J484</f>
        <v>2.56</v>
      </c>
      <c r="G147" s="24" t="s">
        <v>312</v>
      </c>
    </row>
    <row r="148" spans="1:7" x14ac:dyDescent="0.2">
      <c r="A148" s="22" t="s">
        <v>32</v>
      </c>
      <c r="B148" s="137">
        <f>'DOE25'!F485</f>
        <v>250000</v>
      </c>
      <c r="C148" s="137">
        <f>'DOE25'!G485</f>
        <v>3955000</v>
      </c>
      <c r="D148" s="137">
        <f>'DOE25'!H485</f>
        <v>510000</v>
      </c>
      <c r="E148" s="137">
        <f>'DOE25'!I485</f>
        <v>5445000</v>
      </c>
      <c r="F148" s="137">
        <f>'DOE25'!J485</f>
        <v>0</v>
      </c>
      <c r="G148" s="138">
        <f>SUM(B148:F148)</f>
        <v>10160000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438009</v>
      </c>
      <c r="G149" s="138">
        <f t="shared" ref="G149:G156" si="0">SUM(B149:F149)</f>
        <v>438009</v>
      </c>
    </row>
    <row r="150" spans="1:7" x14ac:dyDescent="0.2">
      <c r="A150" s="22" t="s">
        <v>34</v>
      </c>
      <c r="B150" s="137">
        <f>'DOE25'!F487</f>
        <v>85000</v>
      </c>
      <c r="C150" s="137">
        <f>'DOE25'!G487</f>
        <v>220000</v>
      </c>
      <c r="D150" s="137">
        <f>'DOE25'!H487</f>
        <v>255000</v>
      </c>
      <c r="E150" s="137">
        <f>'DOE25'!I487</f>
        <v>545000</v>
      </c>
      <c r="F150" s="137">
        <f>'DOE25'!J487</f>
        <v>0</v>
      </c>
      <c r="G150" s="138">
        <f t="shared" si="0"/>
        <v>1105000</v>
      </c>
    </row>
    <row r="151" spans="1:7" x14ac:dyDescent="0.2">
      <c r="A151" s="22" t="s">
        <v>35</v>
      </c>
      <c r="B151" s="137">
        <f>'DOE25'!F488</f>
        <v>165000</v>
      </c>
      <c r="C151" s="137">
        <f>'DOE25'!G488</f>
        <v>3735000</v>
      </c>
      <c r="D151" s="137">
        <f>'DOE25'!H488</f>
        <v>255000</v>
      </c>
      <c r="E151" s="137">
        <f>'DOE25'!I488</f>
        <v>4900000</v>
      </c>
      <c r="F151" s="137">
        <f>'DOE25'!J488</f>
        <v>438009</v>
      </c>
      <c r="G151" s="138">
        <f t="shared" si="0"/>
        <v>9493009</v>
      </c>
    </row>
    <row r="152" spans="1:7" x14ac:dyDescent="0.2">
      <c r="A152" s="22" t="s">
        <v>36</v>
      </c>
      <c r="B152" s="137">
        <f>'DOE25'!F489</f>
        <v>11950</v>
      </c>
      <c r="C152" s="137">
        <f>'DOE25'!G489</f>
        <v>1475507</v>
      </c>
      <c r="D152" s="137">
        <f>'DOE25'!H489</f>
        <v>17595</v>
      </c>
      <c r="E152" s="137">
        <f>'DOE25'!I489</f>
        <v>1383892</v>
      </c>
      <c r="F152" s="137">
        <f>'DOE25'!J489</f>
        <v>32532</v>
      </c>
      <c r="G152" s="138">
        <f t="shared" si="0"/>
        <v>2921476</v>
      </c>
    </row>
    <row r="153" spans="1:7" x14ac:dyDescent="0.2">
      <c r="A153" s="22" t="s">
        <v>37</v>
      </c>
      <c r="B153" s="137">
        <f>'DOE25'!F490</f>
        <v>176950</v>
      </c>
      <c r="C153" s="137">
        <f>'DOE25'!G490</f>
        <v>5210507</v>
      </c>
      <c r="D153" s="137">
        <f>'DOE25'!H490</f>
        <v>272595</v>
      </c>
      <c r="E153" s="137">
        <f>'DOE25'!I490</f>
        <v>6283892</v>
      </c>
      <c r="F153" s="137">
        <f>'DOE25'!J490</f>
        <v>470541</v>
      </c>
      <c r="G153" s="138">
        <f t="shared" si="0"/>
        <v>12414485</v>
      </c>
    </row>
    <row r="154" spans="1:7" x14ac:dyDescent="0.2">
      <c r="A154" s="22" t="s">
        <v>38</v>
      </c>
      <c r="B154" s="137">
        <f>'DOE25'!F491</f>
        <v>85000</v>
      </c>
      <c r="C154" s="137">
        <f>'DOE25'!G491</f>
        <v>220000</v>
      </c>
      <c r="D154" s="137">
        <f>'DOE25'!H491</f>
        <v>255000</v>
      </c>
      <c r="E154" s="137">
        <f>'DOE25'!I491</f>
        <v>545000</v>
      </c>
      <c r="F154" s="137">
        <f>'DOE25'!J491</f>
        <v>89704</v>
      </c>
      <c r="G154" s="138">
        <f t="shared" si="0"/>
        <v>1194704</v>
      </c>
    </row>
    <row r="155" spans="1:7" x14ac:dyDescent="0.2">
      <c r="A155" s="22" t="s">
        <v>39</v>
      </c>
      <c r="B155" s="137">
        <f>'DOE25'!F492</f>
        <v>8020</v>
      </c>
      <c r="C155" s="137">
        <f>'DOE25'!G492</f>
        <v>170006</v>
      </c>
      <c r="D155" s="137">
        <f>'DOE25'!H492</f>
        <v>17595</v>
      </c>
      <c r="E155" s="137">
        <f>'DOE25'!I492</f>
        <v>274801</v>
      </c>
      <c r="F155" s="137">
        <f>'DOE25'!J492</f>
        <v>11213</v>
      </c>
      <c r="G155" s="138">
        <f t="shared" si="0"/>
        <v>481635</v>
      </c>
    </row>
    <row r="156" spans="1:7" x14ac:dyDescent="0.2">
      <c r="A156" s="22" t="s">
        <v>269</v>
      </c>
      <c r="B156" s="137">
        <f>'DOE25'!F493</f>
        <v>93020</v>
      </c>
      <c r="C156" s="137">
        <f>'DOE25'!G493</f>
        <v>390006</v>
      </c>
      <c r="D156" s="137">
        <f>'DOE25'!H493</f>
        <v>272595</v>
      </c>
      <c r="E156" s="137">
        <f>'DOE25'!I493</f>
        <v>819801</v>
      </c>
      <c r="F156" s="137">
        <f>'DOE25'!J493</f>
        <v>100917</v>
      </c>
      <c r="G156" s="138">
        <f t="shared" si="0"/>
        <v>1676339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79F0A-896E-4551-B847-5D912604612F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771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Milford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11079</v>
      </c>
    </row>
    <row r="5" spans="1:4" x14ac:dyDescent="0.2">
      <c r="B5" t="s">
        <v>735</v>
      </c>
      <c r="C5" s="179">
        <f>IF('DOE25'!G655+'DOE25'!G660=0,0,ROUND('DOE25'!G662,0))</f>
        <v>12579</v>
      </c>
    </row>
    <row r="6" spans="1:4" x14ac:dyDescent="0.2">
      <c r="B6" t="s">
        <v>62</v>
      </c>
      <c r="C6" s="179">
        <f>IF('DOE25'!H655+'DOE25'!H660=0,0,ROUND('DOE25'!H662,0))</f>
        <v>11592</v>
      </c>
    </row>
    <row r="7" spans="1:4" x14ac:dyDescent="0.2">
      <c r="B7" t="s">
        <v>736</v>
      </c>
      <c r="C7" s="179">
        <f>IF('DOE25'!I655+'DOE25'!I660=0,0,ROUND('DOE25'!I662,0))</f>
        <v>11606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13907153</v>
      </c>
      <c r="D10" s="182">
        <f>ROUND((C10/$C$28)*100,1)</f>
        <v>41.7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5377655</v>
      </c>
      <c r="D11" s="182">
        <f>ROUND((C11/$C$28)*100,1)</f>
        <v>16.100000000000001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1129494</v>
      </c>
      <c r="D12" s="182">
        <f>ROUND((C12/$C$28)*100,1)</f>
        <v>3.4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365761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2869762</v>
      </c>
      <c r="D15" s="182">
        <f t="shared" ref="D15:D27" si="0">ROUND((C15/$C$28)*100,1)</f>
        <v>8.6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568193</v>
      </c>
      <c r="D16" s="182">
        <f t="shared" si="0"/>
        <v>1.7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2945146</v>
      </c>
      <c r="D17" s="182">
        <f t="shared" si="0"/>
        <v>8.8000000000000007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1739705</v>
      </c>
      <c r="D18" s="182">
        <f t="shared" si="0"/>
        <v>5.2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2674287</v>
      </c>
      <c r="D20" s="182">
        <f t="shared" si="0"/>
        <v>8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900507</v>
      </c>
      <c r="D21" s="182">
        <f t="shared" si="0"/>
        <v>2.7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533711</v>
      </c>
      <c r="D25" s="182">
        <f t="shared" si="0"/>
        <v>1.6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307589.83</v>
      </c>
      <c r="D27" s="182">
        <f t="shared" si="0"/>
        <v>0.9</v>
      </c>
    </row>
    <row r="28" spans="1:4" x14ac:dyDescent="0.2">
      <c r="B28" s="187" t="s">
        <v>754</v>
      </c>
      <c r="C28" s="180">
        <f>SUM(C10:C27)</f>
        <v>33318963.829999998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1544351</v>
      </c>
    </row>
    <row r="30" spans="1:4" x14ac:dyDescent="0.2">
      <c r="B30" s="187" t="s">
        <v>760</v>
      </c>
      <c r="C30" s="180">
        <f>SUM(C28:C29)</f>
        <v>34863314.829999998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1120006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18458204</v>
      </c>
      <c r="D35" s="182">
        <f t="shared" ref="D35:D40" si="1">ROUND((C35/$C$41)*100,1)</f>
        <v>51.4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1247116.3099999987</v>
      </c>
      <c r="D36" s="182">
        <f t="shared" si="1"/>
        <v>3.5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11519241</v>
      </c>
      <c r="D37" s="182">
        <f t="shared" si="1"/>
        <v>32.1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2518905</v>
      </c>
      <c r="D38" s="182">
        <f t="shared" si="1"/>
        <v>7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2187635</v>
      </c>
      <c r="D39" s="182">
        <f t="shared" si="1"/>
        <v>6.1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35931101.310000002</v>
      </c>
      <c r="D41" s="184">
        <f>SUM(D35:D40)</f>
        <v>100.1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438009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0B65F-37EA-45E2-899D-440A0E93EAAA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801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798</v>
      </c>
      <c r="B2" s="288"/>
      <c r="C2" s="288"/>
      <c r="D2" s="288"/>
      <c r="E2" s="288"/>
      <c r="F2" s="293" t="str">
        <f>'DOE25'!A2</f>
        <v>Milford SD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1" t="s">
        <v>802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879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2"/>
      <c r="B74" s="212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2"/>
      <c r="B75" s="212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2"/>
      <c r="B76" s="212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2"/>
      <c r="B77" s="212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2"/>
      <c r="B78" s="212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2"/>
      <c r="B79" s="212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2"/>
      <c r="B80" s="212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2"/>
      <c r="B81" s="212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2"/>
      <c r="B82" s="212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2"/>
      <c r="B83" s="212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2"/>
      <c r="B84" s="212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2"/>
      <c r="B85" s="212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2"/>
      <c r="B86" s="212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2"/>
      <c r="B87" s="212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2"/>
      <c r="B88" s="212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2"/>
      <c r="B89" s="212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2"/>
      <c r="B90" s="212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2011-10-26T12:43:57Z</cp:lastPrinted>
  <dcterms:created xsi:type="dcterms:W3CDTF">1997-12-04T19:04:30Z</dcterms:created>
  <dcterms:modified xsi:type="dcterms:W3CDTF">2025-01-10T20:15:46Z</dcterms:modified>
</cp:coreProperties>
</file>