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9E6144B-7404-4907-B014-04BED3FE3AE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532EC0B-FDA9-4A92-963A-EAECF4D0479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D11" i="13"/>
  <c r="C11" i="13"/>
  <c r="C10" i="13"/>
  <c r="B40" i="12"/>
  <c r="J458" i="1"/>
  <c r="J460" i="1" s="1"/>
  <c r="J466" i="1" s="1"/>
  <c r="H616" i="1" s="1"/>
  <c r="G603" i="1"/>
  <c r="L603" i="1" s="1"/>
  <c r="G602" i="1"/>
  <c r="G601" i="1"/>
  <c r="G604" i="1" s="1"/>
  <c r="L601" i="1"/>
  <c r="L518" i="1"/>
  <c r="G541" i="1"/>
  <c r="L516" i="1"/>
  <c r="L519" i="1" s="1"/>
  <c r="L533" i="1"/>
  <c r="J541" i="1" s="1"/>
  <c r="F534" i="1"/>
  <c r="H534" i="1"/>
  <c r="L531" i="1"/>
  <c r="F492" i="1"/>
  <c r="B155" i="2"/>
  <c r="G155" i="2" s="1"/>
  <c r="C155" i="2"/>
  <c r="D155" i="2"/>
  <c r="E155" i="2"/>
  <c r="F155" i="2"/>
  <c r="F489" i="1"/>
  <c r="F9" i="2"/>
  <c r="H458" i="1"/>
  <c r="G13" i="1"/>
  <c r="G25" i="1"/>
  <c r="H23" i="1"/>
  <c r="H33" i="1" s="1"/>
  <c r="H44" i="1" s="1"/>
  <c r="H609" i="1" s="1"/>
  <c r="H13" i="1"/>
  <c r="E13" i="2" s="1"/>
  <c r="H147" i="1"/>
  <c r="H154" i="1"/>
  <c r="H161" i="1"/>
  <c r="H460" i="1"/>
  <c r="H466" i="1" s="1"/>
  <c r="H614" i="1" s="1"/>
  <c r="H112" i="1"/>
  <c r="K585" i="1"/>
  <c r="K587" i="1"/>
  <c r="K586" i="1"/>
  <c r="K584" i="1"/>
  <c r="K582" i="1"/>
  <c r="I574" i="1"/>
  <c r="I534" i="1"/>
  <c r="I535" i="1" s="1"/>
  <c r="K511" i="1"/>
  <c r="J512" i="1"/>
  <c r="K512" i="1"/>
  <c r="K513" i="1"/>
  <c r="K514" i="1" s="1"/>
  <c r="K535" i="1" s="1"/>
  <c r="H361" i="1"/>
  <c r="I360" i="1"/>
  <c r="I361" i="1" s="1"/>
  <c r="H624" i="1" s="1"/>
  <c r="J624" i="1" s="1"/>
  <c r="G361" i="1"/>
  <c r="I359" i="1"/>
  <c r="L351" i="1"/>
  <c r="G651" i="1" s="1"/>
  <c r="K354" i="1"/>
  <c r="I354" i="1"/>
  <c r="G624" i="1"/>
  <c r="L352" i="1"/>
  <c r="H354" i="1"/>
  <c r="F354" i="1"/>
  <c r="F5" i="13"/>
  <c r="J513" i="1"/>
  <c r="I513" i="1"/>
  <c r="H513" i="1"/>
  <c r="J239" i="1"/>
  <c r="F12" i="13"/>
  <c r="D12" i="13" s="1"/>
  <c r="C12" i="13" s="1"/>
  <c r="G8" i="13"/>
  <c r="H512" i="1"/>
  <c r="I512" i="1"/>
  <c r="K221" i="1"/>
  <c r="J221" i="1"/>
  <c r="I594" i="1" s="1"/>
  <c r="I221" i="1"/>
  <c r="F16" i="13"/>
  <c r="F15" i="13"/>
  <c r="G14" i="13"/>
  <c r="G12" i="13"/>
  <c r="F7" i="13"/>
  <c r="F6" i="13"/>
  <c r="I511" i="1"/>
  <c r="I514" i="1"/>
  <c r="I203" i="1"/>
  <c r="I249" i="1" s="1"/>
  <c r="I263" i="1" s="1"/>
  <c r="I239" i="1"/>
  <c r="H203" i="1"/>
  <c r="H221" i="1"/>
  <c r="H239" i="1"/>
  <c r="H249" i="1"/>
  <c r="H263" i="1" s="1"/>
  <c r="F75" i="1"/>
  <c r="F30" i="1"/>
  <c r="C29" i="2" s="1"/>
  <c r="F42" i="1"/>
  <c r="F43" i="1" s="1"/>
  <c r="F12" i="1"/>
  <c r="C12" i="2" s="1"/>
  <c r="C19" i="2" s="1"/>
  <c r="F14" i="1"/>
  <c r="F9" i="1"/>
  <c r="C37" i="10"/>
  <c r="C60" i="2"/>
  <c r="B2" i="13"/>
  <c r="F8" i="13"/>
  <c r="F13" i="13"/>
  <c r="G13" i="13"/>
  <c r="L198" i="1"/>
  <c r="C19" i="10" s="1"/>
  <c r="L216" i="1"/>
  <c r="E13" i="13" s="1"/>
  <c r="C13" i="13" s="1"/>
  <c r="L234" i="1"/>
  <c r="G16" i="13"/>
  <c r="L191" i="1"/>
  <c r="L209" i="1"/>
  <c r="G7" i="13"/>
  <c r="F14" i="13"/>
  <c r="G15" i="13"/>
  <c r="F17" i="13"/>
  <c r="D17" i="13" s="1"/>
  <c r="C17" i="13" s="1"/>
  <c r="G17" i="13"/>
  <c r="L243" i="1"/>
  <c r="F18" i="13"/>
  <c r="G18" i="13"/>
  <c r="L244" i="1"/>
  <c r="F19" i="13"/>
  <c r="G19" i="13"/>
  <c r="L245" i="1"/>
  <c r="D19" i="13"/>
  <c r="C19" i="13"/>
  <c r="L269" i="1"/>
  <c r="L270" i="1"/>
  <c r="L271" i="1"/>
  <c r="L276" i="1"/>
  <c r="E113" i="2" s="1"/>
  <c r="L278" i="1"/>
  <c r="E115" i="2" s="1"/>
  <c r="L279" i="1"/>
  <c r="E116" i="2" s="1"/>
  <c r="L280" i="1"/>
  <c r="L288" i="1"/>
  <c r="L289" i="1"/>
  <c r="L290" i="1"/>
  <c r="L295" i="1"/>
  <c r="L297" i="1"/>
  <c r="C20" i="10" s="1"/>
  <c r="L298" i="1"/>
  <c r="L299" i="1"/>
  <c r="L307" i="1"/>
  <c r="E102" i="2" s="1"/>
  <c r="L308" i="1"/>
  <c r="C12" i="10" s="1"/>
  <c r="L309" i="1"/>
  <c r="L314" i="1"/>
  <c r="L316" i="1"/>
  <c r="L317" i="1"/>
  <c r="L318" i="1"/>
  <c r="E117" i="2"/>
  <c r="L325" i="1"/>
  <c r="L326" i="1"/>
  <c r="L327" i="1"/>
  <c r="E106" i="2" s="1"/>
  <c r="L253" i="1"/>
  <c r="C25" i="10"/>
  <c r="L333" i="1"/>
  <c r="L334" i="1"/>
  <c r="L247" i="1"/>
  <c r="L328" i="1"/>
  <c r="F22" i="13"/>
  <c r="C22" i="13" s="1"/>
  <c r="L353" i="1"/>
  <c r="B4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5" i="2" s="1"/>
  <c r="G51" i="2"/>
  <c r="G54" i="2" s="1"/>
  <c r="G53" i="2"/>
  <c r="F2" i="11"/>
  <c r="C40" i="10"/>
  <c r="G52" i="1"/>
  <c r="H52" i="1"/>
  <c r="I52" i="1"/>
  <c r="F48" i="2" s="1"/>
  <c r="F71" i="1"/>
  <c r="C49" i="2" s="1"/>
  <c r="C54" i="2" s="1"/>
  <c r="F86" i="1"/>
  <c r="F103" i="1"/>
  <c r="G103" i="1"/>
  <c r="G104" i="1"/>
  <c r="H71" i="1"/>
  <c r="H86" i="1"/>
  <c r="E50" i="2" s="1"/>
  <c r="E54" i="2" s="1"/>
  <c r="H103" i="1"/>
  <c r="I103" i="1"/>
  <c r="J103" i="1"/>
  <c r="J104" i="1"/>
  <c r="J185" i="1" s="1"/>
  <c r="F113" i="1"/>
  <c r="F132" i="1" s="1"/>
  <c r="F128" i="1"/>
  <c r="G113" i="1"/>
  <c r="G128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I139" i="1"/>
  <c r="I154" i="1"/>
  <c r="I161" i="1"/>
  <c r="L242" i="1"/>
  <c r="C105" i="2" s="1"/>
  <c r="L324" i="1"/>
  <c r="L246" i="1"/>
  <c r="C24" i="10" s="1"/>
  <c r="L260" i="1"/>
  <c r="C26" i="10" s="1"/>
  <c r="L261" i="1"/>
  <c r="L341" i="1"/>
  <c r="E134" i="2" s="1"/>
  <c r="L342" i="1"/>
  <c r="I655" i="1"/>
  <c r="I660" i="1"/>
  <c r="I659" i="1"/>
  <c r="C42" i="10"/>
  <c r="L366" i="1"/>
  <c r="L367" i="1"/>
  <c r="L368" i="1"/>
  <c r="C29" i="10" s="1"/>
  <c r="L369" i="1"/>
  <c r="L370" i="1"/>
  <c r="L371" i="1"/>
  <c r="L372" i="1"/>
  <c r="B2" i="10"/>
  <c r="L336" i="1"/>
  <c r="L337" i="1"/>
  <c r="L338" i="1"/>
  <c r="L343" i="1" s="1"/>
  <c r="E129" i="2"/>
  <c r="L339" i="1"/>
  <c r="K343" i="1"/>
  <c r="L517" i="1"/>
  <c r="G540" i="1"/>
  <c r="L526" i="1"/>
  <c r="I539" i="1" s="1"/>
  <c r="I542" i="1" s="1"/>
  <c r="L527" i="1"/>
  <c r="I540" i="1"/>
  <c r="L528" i="1"/>
  <c r="I541" i="1"/>
  <c r="E124" i="2"/>
  <c r="J262" i="1"/>
  <c r="I262" i="1"/>
  <c r="H262" i="1"/>
  <c r="G262" i="1"/>
  <c r="F262" i="1"/>
  <c r="L262" i="1" s="1"/>
  <c r="C124" i="2"/>
  <c r="A1" i="2"/>
  <c r="A2" i="2"/>
  <c r="C9" i="2"/>
  <c r="D9" i="2"/>
  <c r="E9" i="2"/>
  <c r="I431" i="1"/>
  <c r="J9" i="1"/>
  <c r="G9" i="2" s="1"/>
  <c r="C10" i="2"/>
  <c r="D10" i="2"/>
  <c r="E10" i="2"/>
  <c r="F10" i="2"/>
  <c r="F19" i="2" s="1"/>
  <c r="I432" i="1"/>
  <c r="J10" i="1"/>
  <c r="C11" i="2"/>
  <c r="D12" i="2"/>
  <c r="E12" i="2"/>
  <c r="F12" i="2"/>
  <c r="I433" i="1"/>
  <c r="J12" i="1" s="1"/>
  <c r="G12" i="2" s="1"/>
  <c r="C13" i="2"/>
  <c r="D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C22" i="2"/>
  <c r="D22" i="2"/>
  <c r="F22" i="2"/>
  <c r="F32" i="2" s="1"/>
  <c r="I440" i="1"/>
  <c r="J23" i="1"/>
  <c r="G22" i="2" s="1"/>
  <c r="C23" i="2"/>
  <c r="D23" i="2"/>
  <c r="E23" i="2"/>
  <c r="F23" i="2"/>
  <c r="I441" i="1"/>
  <c r="I444" i="1" s="1"/>
  <c r="I451" i="1" s="1"/>
  <c r="H632" i="1" s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C32" i="2" s="1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E42" i="2" s="1"/>
  <c r="F35" i="2"/>
  <c r="C36" i="2"/>
  <c r="D36" i="2"/>
  <c r="E36" i="2"/>
  <c r="F36" i="2"/>
  <c r="I446" i="1"/>
  <c r="I450" i="1" s="1"/>
  <c r="J37" i="1"/>
  <c r="C37" i="2"/>
  <c r="D37" i="2"/>
  <c r="E37" i="2"/>
  <c r="F37" i="2"/>
  <c r="I447" i="1"/>
  <c r="J38" i="1"/>
  <c r="G37" i="2" s="1"/>
  <c r="C38" i="2"/>
  <c r="D38" i="2"/>
  <c r="E38" i="2"/>
  <c r="F38" i="2"/>
  <c r="F41" i="2"/>
  <c r="I448" i="1"/>
  <c r="J40" i="1"/>
  <c r="G39" i="2"/>
  <c r="C40" i="2"/>
  <c r="D40" i="2"/>
  <c r="E40" i="2"/>
  <c r="I449" i="1"/>
  <c r="J41" i="1" s="1"/>
  <c r="G40" i="2" s="1"/>
  <c r="D41" i="2"/>
  <c r="E41" i="2"/>
  <c r="D48" i="2"/>
  <c r="E48" i="2"/>
  <c r="E55" i="2" s="1"/>
  <c r="E49" i="2"/>
  <c r="C50" i="2"/>
  <c r="C51" i="2"/>
  <c r="D51" i="2"/>
  <c r="E51" i="2"/>
  <c r="F51" i="2"/>
  <c r="F54" i="2" s="1"/>
  <c r="D52" i="2"/>
  <c r="C53" i="2"/>
  <c r="D53" i="2"/>
  <c r="D54" i="2" s="1"/>
  <c r="D55" i="2" s="1"/>
  <c r="E53" i="2"/>
  <c r="F53" i="2"/>
  <c r="C58" i="2"/>
  <c r="C59" i="2"/>
  <c r="C61" i="2"/>
  <c r="D61" i="2"/>
  <c r="D62" i="2" s="1"/>
  <c r="E61" i="2"/>
  <c r="E62" i="2" s="1"/>
  <c r="F61" i="2"/>
  <c r="F62" i="2"/>
  <c r="G61" i="2"/>
  <c r="G62" i="2" s="1"/>
  <c r="C64" i="2"/>
  <c r="F64" i="2"/>
  <c r="C65" i="2"/>
  <c r="F65" i="2"/>
  <c r="C66" i="2"/>
  <c r="C70" i="2" s="1"/>
  <c r="C73" i="2" s="1"/>
  <c r="C67" i="2"/>
  <c r="C68" i="2"/>
  <c r="E68" i="2"/>
  <c r="F68" i="2"/>
  <c r="F70" i="2" s="1"/>
  <c r="F73" i="2" s="1"/>
  <c r="C69" i="2"/>
  <c r="D69" i="2"/>
  <c r="D70" i="2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D83" i="2" s="1"/>
  <c r="D80" i="2"/>
  <c r="D81" i="2"/>
  <c r="E77" i="2"/>
  <c r="F77" i="2"/>
  <c r="C79" i="2"/>
  <c r="C83" i="2" s="1"/>
  <c r="E79" i="2"/>
  <c r="F79" i="2"/>
  <c r="C80" i="2"/>
  <c r="E80" i="2"/>
  <c r="E83" i="2" s="1"/>
  <c r="F80" i="2"/>
  <c r="C81" i="2"/>
  <c r="E81" i="2"/>
  <c r="F81" i="2"/>
  <c r="C82" i="2"/>
  <c r="C85" i="2"/>
  <c r="F85" i="2"/>
  <c r="C86" i="2"/>
  <c r="C95" i="2" s="1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D92" i="2"/>
  <c r="D93" i="2"/>
  <c r="D94" i="2"/>
  <c r="E91" i="2"/>
  <c r="F91" i="2"/>
  <c r="C92" i="2"/>
  <c r="E92" i="2"/>
  <c r="F92" i="2"/>
  <c r="C93" i="2"/>
  <c r="E93" i="2"/>
  <c r="F93" i="2"/>
  <c r="C94" i="2"/>
  <c r="E94" i="2"/>
  <c r="F94" i="2"/>
  <c r="E103" i="2"/>
  <c r="E104" i="2"/>
  <c r="C106" i="2"/>
  <c r="D107" i="2"/>
  <c r="F107" i="2"/>
  <c r="G107" i="2"/>
  <c r="F120" i="2"/>
  <c r="G120" i="2"/>
  <c r="C122" i="2"/>
  <c r="E122" i="2"/>
  <c r="D126" i="2"/>
  <c r="D136" i="2" s="1"/>
  <c r="E126" i="2"/>
  <c r="F126" i="2"/>
  <c r="K411" i="1"/>
  <c r="K419" i="1"/>
  <c r="K426" i="1" s="1"/>
  <c r="G126" i="2" s="1"/>
  <c r="G136" i="2" s="1"/>
  <c r="K425" i="1"/>
  <c r="E127" i="2"/>
  <c r="L256" i="1"/>
  <c r="C128" i="2" s="1"/>
  <c r="L257" i="1"/>
  <c r="C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 s="1"/>
  <c r="B152" i="2"/>
  <c r="G152" i="2" s="1"/>
  <c r="C152" i="2"/>
  <c r="D152" i="2"/>
  <c r="E152" i="2"/>
  <c r="F152" i="2"/>
  <c r="F490" i="1"/>
  <c r="B153" i="2"/>
  <c r="D153" i="2"/>
  <c r="G490" i="1"/>
  <c r="C153" i="2" s="1"/>
  <c r="H490" i="1"/>
  <c r="I490" i="1"/>
  <c r="E153" i="2" s="1"/>
  <c r="J490" i="1"/>
  <c r="F153" i="2" s="1"/>
  <c r="B154" i="2"/>
  <c r="G154" i="2" s="1"/>
  <c r="C154" i="2"/>
  <c r="D154" i="2"/>
  <c r="E154" i="2"/>
  <c r="F154" i="2"/>
  <c r="G493" i="1"/>
  <c r="C156" i="2"/>
  <c r="H493" i="1"/>
  <c r="D156" i="2" s="1"/>
  <c r="I493" i="1"/>
  <c r="E156" i="2"/>
  <c r="J493" i="1"/>
  <c r="F156" i="2" s="1"/>
  <c r="F19" i="1"/>
  <c r="G607" i="1" s="1"/>
  <c r="G19" i="1"/>
  <c r="G33" i="1"/>
  <c r="G44" i="1"/>
  <c r="H608" i="1" s="1"/>
  <c r="J608" i="1" s="1"/>
  <c r="I33" i="1"/>
  <c r="G43" i="1"/>
  <c r="H43" i="1"/>
  <c r="F169" i="1"/>
  <c r="F184" i="1" s="1"/>
  <c r="I169" i="1"/>
  <c r="F175" i="1"/>
  <c r="G175" i="1"/>
  <c r="H175" i="1"/>
  <c r="I175" i="1"/>
  <c r="I184" i="1" s="1"/>
  <c r="J175" i="1"/>
  <c r="J184" i="1" s="1"/>
  <c r="F180" i="1"/>
  <c r="G180" i="1"/>
  <c r="H180" i="1"/>
  <c r="I180" i="1"/>
  <c r="G184" i="1"/>
  <c r="F248" i="1"/>
  <c r="G248" i="1"/>
  <c r="H248" i="1"/>
  <c r="L248" i="1" s="1"/>
  <c r="I248" i="1"/>
  <c r="J248" i="1"/>
  <c r="K248" i="1"/>
  <c r="F329" i="1"/>
  <c r="G329" i="1"/>
  <c r="L329" i="1" s="1"/>
  <c r="H329" i="1"/>
  <c r="I329" i="1"/>
  <c r="J329" i="1"/>
  <c r="K329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G399" i="1"/>
  <c r="H399" i="1"/>
  <c r="I399" i="1"/>
  <c r="F400" i="1"/>
  <c r="G400" i="1"/>
  <c r="H635" i="1" s="1"/>
  <c r="L405" i="1"/>
  <c r="L411" i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J426" i="1" s="1"/>
  <c r="I426" i="1"/>
  <c r="F438" i="1"/>
  <c r="G629" i="1" s="1"/>
  <c r="G438" i="1"/>
  <c r="H438" i="1"/>
  <c r="G631" i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H451" i="1" s="1"/>
  <c r="H631" i="1" s="1"/>
  <c r="J631" i="1" s="1"/>
  <c r="I460" i="1"/>
  <c r="I466" i="1" s="1"/>
  <c r="H615" i="1" s="1"/>
  <c r="I464" i="1"/>
  <c r="J464" i="1"/>
  <c r="K485" i="1"/>
  <c r="K486" i="1"/>
  <c r="K487" i="1"/>
  <c r="K488" i="1"/>
  <c r="K489" i="1"/>
  <c r="K490" i="1"/>
  <c r="K491" i="1"/>
  <c r="F507" i="1"/>
  <c r="G507" i="1"/>
  <c r="H507" i="1"/>
  <c r="I507" i="1"/>
  <c r="F519" i="1"/>
  <c r="G519" i="1"/>
  <c r="I519" i="1"/>
  <c r="J519" i="1"/>
  <c r="K519" i="1"/>
  <c r="H524" i="1"/>
  <c r="I524" i="1"/>
  <c r="J524" i="1"/>
  <c r="K524" i="1"/>
  <c r="F529" i="1"/>
  <c r="G529" i="1"/>
  <c r="H529" i="1"/>
  <c r="I529" i="1"/>
  <c r="J529" i="1"/>
  <c r="K529" i="1"/>
  <c r="G534" i="1"/>
  <c r="J534" i="1"/>
  <c r="K534" i="1"/>
  <c r="L547" i="1"/>
  <c r="L550" i="1"/>
  <c r="L548" i="1"/>
  <c r="L549" i="1"/>
  <c r="F550" i="1"/>
  <c r="G550" i="1"/>
  <c r="H550" i="1"/>
  <c r="I550" i="1"/>
  <c r="J550" i="1"/>
  <c r="J561" i="1" s="1"/>
  <c r="K550" i="1"/>
  <c r="K561" i="1" s="1"/>
  <c r="L552" i="1"/>
  <c r="L555" i="1" s="1"/>
  <c r="L553" i="1"/>
  <c r="L554" i="1"/>
  <c r="F555" i="1"/>
  <c r="G555" i="1"/>
  <c r="G561" i="1" s="1"/>
  <c r="H555" i="1"/>
  <c r="H561" i="1" s="1"/>
  <c r="I555" i="1"/>
  <c r="I561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3" i="1"/>
  <c r="I575" i="1"/>
  <c r="I576" i="1"/>
  <c r="I577" i="1"/>
  <c r="K592" i="1"/>
  <c r="K593" i="1"/>
  <c r="H604" i="1"/>
  <c r="I604" i="1"/>
  <c r="J604" i="1"/>
  <c r="K604" i="1"/>
  <c r="G608" i="1"/>
  <c r="G613" i="1"/>
  <c r="G614" i="1"/>
  <c r="J614" i="1" s="1"/>
  <c r="H619" i="1"/>
  <c r="H620" i="1"/>
  <c r="H621" i="1"/>
  <c r="H626" i="1"/>
  <c r="H627" i="1"/>
  <c r="H628" i="1"/>
  <c r="G630" i="1"/>
  <c r="G633" i="1"/>
  <c r="H633" i="1"/>
  <c r="J633" i="1" s="1"/>
  <c r="G634" i="1"/>
  <c r="J634" i="1" s="1"/>
  <c r="G642" i="1"/>
  <c r="G643" i="1"/>
  <c r="J643" i="1" s="1"/>
  <c r="H643" i="1"/>
  <c r="G644" i="1"/>
  <c r="H644" i="1"/>
  <c r="J644" i="1"/>
  <c r="G645" i="1"/>
  <c r="H645" i="1"/>
  <c r="D32" i="2"/>
  <c r="F95" i="2"/>
  <c r="C62" i="2"/>
  <c r="D18" i="13"/>
  <c r="C18" i="13" s="1"/>
  <c r="G635" i="1"/>
  <c r="J635" i="1" s="1"/>
  <c r="E105" i="2"/>
  <c r="E123" i="2"/>
  <c r="F33" i="1"/>
  <c r="F52" i="1"/>
  <c r="F104" i="1" s="1"/>
  <c r="C35" i="10"/>
  <c r="G10" i="2"/>
  <c r="B31" i="12"/>
  <c r="B22" i="12"/>
  <c r="F524" i="1"/>
  <c r="K492" i="1"/>
  <c r="F493" i="1"/>
  <c r="I19" i="1"/>
  <c r="I41" i="1" s="1"/>
  <c r="G610" i="1"/>
  <c r="H184" i="1"/>
  <c r="J645" i="1"/>
  <c r="F83" i="2"/>
  <c r="H104" i="1"/>
  <c r="F511" i="1"/>
  <c r="F514" i="1" s="1"/>
  <c r="F535" i="1" s="1"/>
  <c r="J511" i="1"/>
  <c r="J514" i="1" s="1"/>
  <c r="J535" i="1" s="1"/>
  <c r="L255" i="1"/>
  <c r="C127" i="2"/>
  <c r="H642" i="1"/>
  <c r="J642" i="1"/>
  <c r="J539" i="1"/>
  <c r="F513" i="1"/>
  <c r="F512" i="1"/>
  <c r="L512" i="1" s="1"/>
  <c r="F540" i="1" s="1"/>
  <c r="L522" i="1"/>
  <c r="H540" i="1" s="1"/>
  <c r="B156" i="2"/>
  <c r="L311" i="1"/>
  <c r="L292" i="1"/>
  <c r="J301" i="1"/>
  <c r="F31" i="13" s="1"/>
  <c r="L273" i="1"/>
  <c r="E110" i="2"/>
  <c r="K282" i="1"/>
  <c r="G301" i="1"/>
  <c r="L293" i="1"/>
  <c r="E111" i="2" s="1"/>
  <c r="G320" i="1"/>
  <c r="G330" i="1" s="1"/>
  <c r="G344" i="1" s="1"/>
  <c r="F320" i="1"/>
  <c r="L275" i="1"/>
  <c r="E112" i="2" s="1"/>
  <c r="L274" i="1"/>
  <c r="J282" i="1"/>
  <c r="G282" i="1"/>
  <c r="L294" i="1"/>
  <c r="L301" i="1" s="1"/>
  <c r="I301" i="1"/>
  <c r="L313" i="1"/>
  <c r="J320" i="1"/>
  <c r="J594" i="1" s="1"/>
  <c r="J595" i="1" s="1"/>
  <c r="F301" i="1"/>
  <c r="F330" i="1" s="1"/>
  <c r="F344" i="1" s="1"/>
  <c r="F282" i="1"/>
  <c r="L277" i="1"/>
  <c r="H320" i="1"/>
  <c r="I320" i="1"/>
  <c r="L374" i="1"/>
  <c r="G626" i="1"/>
  <c r="J626" i="1" s="1"/>
  <c r="G5" i="13"/>
  <c r="F221" i="1"/>
  <c r="F361" i="1"/>
  <c r="L532" i="1"/>
  <c r="L534" i="1" s="1"/>
  <c r="G354" i="1"/>
  <c r="K583" i="1"/>
  <c r="B36" i="12"/>
  <c r="A40" i="12" s="1"/>
  <c r="H511" i="1"/>
  <c r="H514" i="1" s="1"/>
  <c r="H535" i="1" s="1"/>
  <c r="H519" i="1"/>
  <c r="L602" i="1"/>
  <c r="J330" i="1"/>
  <c r="J344" i="1"/>
  <c r="I572" i="1"/>
  <c r="H301" i="1"/>
  <c r="L287" i="1"/>
  <c r="L315" i="1"/>
  <c r="E114" i="2" s="1"/>
  <c r="K320" i="1"/>
  <c r="K330" i="1" s="1"/>
  <c r="K344" i="1" s="1"/>
  <c r="L296" i="1"/>
  <c r="K301" i="1"/>
  <c r="L521" i="1"/>
  <c r="G524" i="1"/>
  <c r="K203" i="1"/>
  <c r="K239" i="1"/>
  <c r="K249" i="1"/>
  <c r="K263" i="1"/>
  <c r="G6" i="13"/>
  <c r="B27" i="12"/>
  <c r="F239" i="1"/>
  <c r="K262" i="1"/>
  <c r="L252" i="1"/>
  <c r="C32" i="10" s="1"/>
  <c r="H464" i="1"/>
  <c r="H623" i="1"/>
  <c r="C9" i="13"/>
  <c r="D39" i="13"/>
  <c r="I282" i="1"/>
  <c r="I330" i="1" s="1"/>
  <c r="I344" i="1" s="1"/>
  <c r="B13" i="12"/>
  <c r="B9" i="12"/>
  <c r="G539" i="1"/>
  <c r="G542" i="1"/>
  <c r="B18" i="12"/>
  <c r="J203" i="1"/>
  <c r="J249" i="1" s="1"/>
  <c r="F203" i="1"/>
  <c r="F249" i="1" s="1"/>
  <c r="F263" i="1" s="1"/>
  <c r="L306" i="1"/>
  <c r="L268" i="1"/>
  <c r="L282" i="1" s="1"/>
  <c r="H282" i="1"/>
  <c r="H330" i="1" s="1"/>
  <c r="H344" i="1" s="1"/>
  <c r="L312" i="1"/>
  <c r="L523" i="1"/>
  <c r="H541" i="1" s="1"/>
  <c r="G29" i="13"/>
  <c r="L350" i="1"/>
  <c r="D119" i="2" s="1"/>
  <c r="D120" i="2" s="1"/>
  <c r="D137" i="2" s="1"/>
  <c r="F604" i="1"/>
  <c r="J354" i="1"/>
  <c r="F29" i="13"/>
  <c r="L201" i="1"/>
  <c r="C117" i="2" s="1"/>
  <c r="H594" i="1"/>
  <c r="F653" i="1" s="1"/>
  <c r="C123" i="2"/>
  <c r="H25" i="13"/>
  <c r="H33" i="13" s="1"/>
  <c r="H539" i="1"/>
  <c r="L320" i="1"/>
  <c r="H595" i="1"/>
  <c r="L212" i="1"/>
  <c r="L228" i="1"/>
  <c r="L231" i="1"/>
  <c r="C16" i="10" s="1"/>
  <c r="L213" i="1"/>
  <c r="L214" i="1"/>
  <c r="L219" i="1"/>
  <c r="L232" i="1"/>
  <c r="E8" i="13" s="1"/>
  <c r="L235" i="1"/>
  <c r="L217" i="1"/>
  <c r="L215" i="1"/>
  <c r="C18" i="10" s="1"/>
  <c r="L233" i="1"/>
  <c r="L230" i="1"/>
  <c r="L237" i="1"/>
  <c r="L210" i="1"/>
  <c r="L221" i="1" s="1"/>
  <c r="I588" i="1"/>
  <c r="H640" i="1" s="1"/>
  <c r="L218" i="1"/>
  <c r="G652" i="1" s="1"/>
  <c r="G513" i="1"/>
  <c r="L513" i="1"/>
  <c r="F541" i="1" s="1"/>
  <c r="K541" i="1" s="1"/>
  <c r="L226" i="1"/>
  <c r="L197" i="1"/>
  <c r="L227" i="1"/>
  <c r="C27" i="12"/>
  <c r="E16" i="13"/>
  <c r="C16" i="13"/>
  <c r="L236" i="1"/>
  <c r="G641" i="1" s="1"/>
  <c r="J641" i="1" s="1"/>
  <c r="J588" i="1"/>
  <c r="H641" i="1"/>
  <c r="G512" i="1"/>
  <c r="L208" i="1"/>
  <c r="C22" i="12"/>
  <c r="L196" i="1"/>
  <c r="C112" i="2" s="1"/>
  <c r="L194" i="1"/>
  <c r="C110" i="2" s="1"/>
  <c r="C40" i="12"/>
  <c r="L200" i="1"/>
  <c r="H637" i="1" s="1"/>
  <c r="C31" i="12"/>
  <c r="L199" i="1"/>
  <c r="C115" i="2" s="1"/>
  <c r="L195" i="1"/>
  <c r="D7" i="13" s="1"/>
  <c r="C7" i="13" s="1"/>
  <c r="K581" i="1"/>
  <c r="K588" i="1" s="1"/>
  <c r="G637" i="1" s="1"/>
  <c r="H588" i="1"/>
  <c r="H639" i="1"/>
  <c r="C17" i="10"/>
  <c r="C18" i="12"/>
  <c r="A22" i="12"/>
  <c r="G511" i="1"/>
  <c r="G514" i="1" s="1"/>
  <c r="G535" i="1" s="1"/>
  <c r="L190" i="1"/>
  <c r="H652" i="1"/>
  <c r="C103" i="2"/>
  <c r="C13" i="12"/>
  <c r="C113" i="2"/>
  <c r="L225" i="1"/>
  <c r="L239" i="1" s="1"/>
  <c r="H650" i="1" s="1"/>
  <c r="G239" i="1"/>
  <c r="G640" i="1"/>
  <c r="J640" i="1" s="1"/>
  <c r="C111" i="2"/>
  <c r="C21" i="10"/>
  <c r="C116" i="2"/>
  <c r="D15" i="13"/>
  <c r="C15" i="13" s="1"/>
  <c r="C36" i="12"/>
  <c r="L192" i="1"/>
  <c r="C13" i="10" s="1"/>
  <c r="G221" i="1"/>
  <c r="L207" i="1"/>
  <c r="C101" i="2" s="1"/>
  <c r="G203" i="1"/>
  <c r="G249" i="1"/>
  <c r="G263" i="1" s="1"/>
  <c r="L189" i="1"/>
  <c r="C10" i="10" s="1"/>
  <c r="C9" i="12"/>
  <c r="A13" i="12"/>
  <c r="A31" i="12"/>
  <c r="C11" i="10"/>
  <c r="C102" i="2"/>
  <c r="G32" i="2" l="1"/>
  <c r="D31" i="13"/>
  <c r="C31" i="13" s="1"/>
  <c r="L330" i="1"/>
  <c r="L344" i="1" s="1"/>
  <c r="G623" i="1" s="1"/>
  <c r="J623" i="1" s="1"/>
  <c r="L561" i="1"/>
  <c r="G137" i="2"/>
  <c r="G73" i="2"/>
  <c r="F33" i="13"/>
  <c r="L604" i="1"/>
  <c r="C120" i="2"/>
  <c r="J542" i="1"/>
  <c r="I43" i="1"/>
  <c r="F40" i="2"/>
  <c r="G153" i="2"/>
  <c r="C39" i="10"/>
  <c r="H542" i="1"/>
  <c r="E96" i="2"/>
  <c r="C133" i="2"/>
  <c r="C136" i="2" s="1"/>
  <c r="E33" i="13"/>
  <c r="D35" i="13" s="1"/>
  <c r="C8" i="13"/>
  <c r="G156" i="2"/>
  <c r="D96" i="2"/>
  <c r="C38" i="10"/>
  <c r="F55" i="2"/>
  <c r="F96" i="2" s="1"/>
  <c r="G653" i="1"/>
  <c r="K594" i="1"/>
  <c r="K595" i="1" s="1"/>
  <c r="G638" i="1" s="1"/>
  <c r="I595" i="1"/>
  <c r="H638" i="1"/>
  <c r="J263" i="1"/>
  <c r="G621" i="1"/>
  <c r="J621" i="1" s="1"/>
  <c r="G636" i="1"/>
  <c r="C130" i="2"/>
  <c r="L400" i="1"/>
  <c r="H653" i="1"/>
  <c r="I653" i="1" s="1"/>
  <c r="E120" i="2"/>
  <c r="E19" i="2"/>
  <c r="H654" i="1"/>
  <c r="J637" i="1"/>
  <c r="G650" i="1"/>
  <c r="G654" i="1" s="1"/>
  <c r="J629" i="1"/>
  <c r="F42" i="2"/>
  <c r="F43" i="2" s="1"/>
  <c r="H185" i="1"/>
  <c r="G619" i="1" s="1"/>
  <c r="J619" i="1" s="1"/>
  <c r="E136" i="2"/>
  <c r="F44" i="1"/>
  <c r="H607" i="1" s="1"/>
  <c r="J607" i="1" s="1"/>
  <c r="G612" i="1"/>
  <c r="G33" i="13"/>
  <c r="F185" i="1"/>
  <c r="J43" i="1"/>
  <c r="G19" i="2"/>
  <c r="G185" i="1"/>
  <c r="G96" i="2"/>
  <c r="D5" i="13"/>
  <c r="C104" i="2"/>
  <c r="C107" i="2" s="1"/>
  <c r="F652" i="1"/>
  <c r="I652" i="1" s="1"/>
  <c r="E101" i="2"/>
  <c r="E107" i="2" s="1"/>
  <c r="E137" i="2" s="1"/>
  <c r="L529" i="1"/>
  <c r="C41" i="2"/>
  <c r="C42" i="2" s="1"/>
  <c r="C43" i="2" s="1"/>
  <c r="L524" i="1"/>
  <c r="C48" i="2"/>
  <c r="C55" i="2" s="1"/>
  <c r="C96" i="2" s="1"/>
  <c r="H19" i="1"/>
  <c r="G609" i="1" s="1"/>
  <c r="J609" i="1" s="1"/>
  <c r="I104" i="1"/>
  <c r="I185" i="1" s="1"/>
  <c r="G620" i="1" s="1"/>
  <c r="J620" i="1" s="1"/>
  <c r="J33" i="1"/>
  <c r="I438" i="1"/>
  <c r="G632" i="1" s="1"/>
  <c r="J632" i="1" s="1"/>
  <c r="L203" i="1"/>
  <c r="G639" i="1"/>
  <c r="J639" i="1" s="1"/>
  <c r="J19" i="1"/>
  <c r="G611" i="1" s="1"/>
  <c r="G36" i="2"/>
  <c r="G42" i="2" s="1"/>
  <c r="G43" i="2" s="1"/>
  <c r="D6" i="13"/>
  <c r="C6" i="13" s="1"/>
  <c r="D29" i="13"/>
  <c r="C29" i="13" s="1"/>
  <c r="J540" i="1"/>
  <c r="K540" i="1" s="1"/>
  <c r="F122" i="2"/>
  <c r="F136" i="2" s="1"/>
  <c r="F137" i="2" s="1"/>
  <c r="C15" i="10"/>
  <c r="H651" i="1"/>
  <c r="F651" i="1"/>
  <c r="I651" i="1" s="1"/>
  <c r="G31" i="13"/>
  <c r="C114" i="2"/>
  <c r="L354" i="1"/>
  <c r="K493" i="1"/>
  <c r="L511" i="1"/>
  <c r="E22" i="2"/>
  <c r="E32" i="2" s="1"/>
  <c r="E43" i="2" s="1"/>
  <c r="D14" i="13"/>
  <c r="C14" i="13" s="1"/>
  <c r="C25" i="13"/>
  <c r="C23" i="10"/>
  <c r="C137" i="2" l="1"/>
  <c r="J44" i="1"/>
  <c r="H611" i="1" s="1"/>
  <c r="G616" i="1"/>
  <c r="J616" i="1" s="1"/>
  <c r="G627" i="1"/>
  <c r="J627" i="1" s="1"/>
  <c r="H636" i="1"/>
  <c r="F458" i="1"/>
  <c r="G617" i="1"/>
  <c r="G662" i="1"/>
  <c r="C5" i="10" s="1"/>
  <c r="G657" i="1"/>
  <c r="G618" i="1"/>
  <c r="G458" i="1"/>
  <c r="J636" i="1"/>
  <c r="G615" i="1"/>
  <c r="J615" i="1" s="1"/>
  <c r="I44" i="1"/>
  <c r="H610" i="1" s="1"/>
  <c r="J610" i="1" s="1"/>
  <c r="L514" i="1"/>
  <c r="L535" i="1" s="1"/>
  <c r="F539" i="1"/>
  <c r="H657" i="1"/>
  <c r="H662" i="1"/>
  <c r="C6" i="10" s="1"/>
  <c r="G625" i="1"/>
  <c r="C27" i="10"/>
  <c r="G462" i="1"/>
  <c r="D33" i="13"/>
  <c r="D36" i="13" s="1"/>
  <c r="C5" i="13"/>
  <c r="J638" i="1"/>
  <c r="J611" i="1"/>
  <c r="C36" i="10"/>
  <c r="L249" i="1"/>
  <c r="L263" i="1" s="1"/>
  <c r="F650" i="1"/>
  <c r="I650" i="1" l="1"/>
  <c r="I654" i="1" s="1"/>
  <c r="F654" i="1"/>
  <c r="C28" i="10"/>
  <c r="K539" i="1"/>
  <c r="K542" i="1" s="1"/>
  <c r="F542" i="1"/>
  <c r="F460" i="1"/>
  <c r="H617" i="1"/>
  <c r="J617" i="1" s="1"/>
  <c r="D36" i="10"/>
  <c r="C41" i="10"/>
  <c r="F462" i="1"/>
  <c r="G622" i="1"/>
  <c r="G460" i="1"/>
  <c r="H618" i="1"/>
  <c r="G464" i="1"/>
  <c r="H625" i="1"/>
  <c r="J625" i="1" s="1"/>
  <c r="J618" i="1"/>
  <c r="D21" i="10" l="1"/>
  <c r="C30" i="10"/>
  <c r="D22" i="10"/>
  <c r="D13" i="10"/>
  <c r="D17" i="10"/>
  <c r="D19" i="10"/>
  <c r="D24" i="10"/>
  <c r="D11" i="10"/>
  <c r="D12" i="10"/>
  <c r="D10" i="10"/>
  <c r="D28" i="10" s="1"/>
  <c r="D25" i="10"/>
  <c r="D16" i="10"/>
  <c r="D26" i="10"/>
  <c r="D18" i="10"/>
  <c r="D20" i="10"/>
  <c r="D23" i="10"/>
  <c r="D15" i="10"/>
  <c r="F466" i="1"/>
  <c r="H612" i="1" s="1"/>
  <c r="J612" i="1" s="1"/>
  <c r="F657" i="1"/>
  <c r="F662" i="1"/>
  <c r="C4" i="10" s="1"/>
  <c r="G466" i="1"/>
  <c r="H613" i="1" s="1"/>
  <c r="J613" i="1" s="1"/>
  <c r="I657" i="1"/>
  <c r="I662" i="1"/>
  <c r="C7" i="10" s="1"/>
  <c r="J622" i="1"/>
  <c r="F464" i="1"/>
  <c r="H622" i="1"/>
  <c r="D40" i="10"/>
  <c r="D37" i="10"/>
  <c r="D35" i="10"/>
  <c r="D39" i="10"/>
  <c r="D38" i="10"/>
  <c r="D27" i="10"/>
  <c r="D41" i="10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C4A83C2-7B2D-4940-BFDF-4AB98AC5ECB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5BA2C4F-69FB-41F0-AEE6-33AB32F69B4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69D3E46-9E1E-4A9C-9C5A-4C50510D677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90930B0-9630-4ECF-993F-98BA7B7D208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87685F6-EF0A-4056-91BF-4AA1DEC936D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1C0E1C0-9AD7-486E-9B30-B6F8019159C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A481" authorId="0" shapeId="0" xr:uid="{59C553E1-4549-402D-BF98-6B3D5D4445E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DE867FE-9FAA-45C6-91ED-BAB2E57340F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346BED6-61EC-4F02-992A-CA83C88BFB7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5A80F75-7C3E-4FCC-B3A6-5A72E78D49D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<sst xmlns="http://schemas.openxmlformats.org/spreadsheetml/2006/main" count="3862" uniqueCount="899">
  <si>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</si>
  <si>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</si>
  <si>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</si>
  <si>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</si>
  <si>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</si>
  <si>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</si>
  <si>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</si>
  <si>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</si>
  <si>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</si>
  <si>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</si>
  <si>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</si>
  <si>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</si>
  <si>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</si>
  <si>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</si>
  <si>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</si>
  <si>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</si>
  <si>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</si>
  <si>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</si>
  <si>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</si>
  <si>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</si>
  <si>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</si>
  <si>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</si>
  <si>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</si>
  <si>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</si>
  <si>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</si>
  <si>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</si>
  <si>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</si>
  <si>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</si>
  <si>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</si>
  <si>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</si>
  <si>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</si>
  <si>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</si>
  <si>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</si>
  <si>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</si>
  <si>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</si>
  <si>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</si>
  <si>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</si>
  <si>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</si>
  <si>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</si>
  <si>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</si>
  <si>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</si>
  <si>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</si>
  <si>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</si>
  <si>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</si>
  <si>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</si>
  <si>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</si>
  <si>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</si>
  <si>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</si>
  <si>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</si>
  <si>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</si>
  <si>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</si>
  <si>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</si>
  <si>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</si>
  <si>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</si>
  <si>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</si>
  <si>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</si>
  <si>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</si>
  <si>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</si>
  <si>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</si>
  <si>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</si>
  <si>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</si>
  <si>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</si>
  <si>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</si>
  <si>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</si>
  <si>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</si>
  <si>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</si>
  <si>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</si>
  <si>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</si>
  <si>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</si>
  <si>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</si>
  <si>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</si>
  <si>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</si>
  <si>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</si>
  <si>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</si>
  <si>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</si>
  <si>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</si>
  <si>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</si>
  <si>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</si>
  <si>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</si>
  <si>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</si>
  <si>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</si>
  <si>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</si>
  <si>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</si>
  <si>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</si>
  <si>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</si>
  <si>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</si>
  <si>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</si>
  <si>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</si>
  <si>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</si>
  <si>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</si>
  <si>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</si>
  <si>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</si>
  <si>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</si>
  <si>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</si>
  <si>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</si>
  <si>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</si>
  <si>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</si>
  <si>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</si>
  <si>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</si>
  <si>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</si>
  <si>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</si>
  <si>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</si>
  <si>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</si>
  <si>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</si>
  <si>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</si>
  <si>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</si>
  <si>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</si>
  <si>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</si>
  <si>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</si>
  <si>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</si>
  <si>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</si>
  <si>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</si>
  <si>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</si>
  <si>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</si>
  <si>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</si>
  <si>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</si>
  <si>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</si>
  <si>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</si>
  <si>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</si>
  <si>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</si>
  <si>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</si>
  <si>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</si>
  <si>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</si>
  <si>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</si>
  <si>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</si>
  <si>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</si>
  <si>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</si>
  <si>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</si>
  <si>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</si>
  <si>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</si>
  <si>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</si>
  <si>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</si>
  <si>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</si>
  <si>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</si>
  <si>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</si>
  <si>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</si>
  <si>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</si>
  <si>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</si>
  <si>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</si>
  <si>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</si>
  <si>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</si>
  <si>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</si>
  <si>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</si>
  <si>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</si>
  <si>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</si>
  <si>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</si>
  <si>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</si>
  <si>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</si>
  <si>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</si>
  <si>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</si>
  <si>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</si>
  <si>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</si>
  <si>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</si>
  <si>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</si>
  <si>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</si>
  <si>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</si>
  <si>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</si>
  <si>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</si>
  <si>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</si>
  <si>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</si>
  <si>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</si>
  <si>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</si>
  <si>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</si>
  <si>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</si>
  <si>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</si>
  <si>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</si>
  <si>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</si>
  <si>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</si>
  <si>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</si>
  <si>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</si>
  <si>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</si>
  <si>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</si>
  <si>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</si>
  <si>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</si>
  <si>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</si>
  <si>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</si>
  <si>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</si>
  <si>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</si>
  <si>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</si>
  <si>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</si>
  <si>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</si>
  <si>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</si>
  <si>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</si>
  <si>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</si>
  <si>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</si>
  <si>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</si>
  <si>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</si>
  <si>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</si>
  <si>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</si>
  <si>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</si>
  <si>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</si>
  <si>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</si>
  <si>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</si>
  <si>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</si>
  <si>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</si>
  <si>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</si>
  <si>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</si>
  <si>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</si>
  <si>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</si>
  <si>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</si>
  <si>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</si>
  <si>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</si>
  <si>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</si>
  <si>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</si>
  <si>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</si>
  <si>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</si>
  <si>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</si>
  <si>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</si>
  <si>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</si>
  <si>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</si>
  <si>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</si>
  <si>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</si>
  <si>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</si>
  <si>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</si>
  <si>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</si>
  <si>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</si>
  <si>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</si>
  <si>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</si>
  <si>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</si>
  <si>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</si>
  <si>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</si>
  <si>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</si>
  <si>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</si>
  <si>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</si>
  <si>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</si>
  <si>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</si>
  <si>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</si>
  <si>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</si>
  <si>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</si>
  <si>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</si>
  <si>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</si>
  <si>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</si>
  <si>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</si>
  <si>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</si>
  <si>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</si>
  <si>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</si>
  <si>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</si>
  <si>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</si>
  <si>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</si>
  <si>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</si>
  <si>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</si>
  <si>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</si>
  <si>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</si>
  <si>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</si>
  <si>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</si>
  <si>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</si>
  <si>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</si>
  <si>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</si>
  <si>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</si>
  <si>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</si>
  <si>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</si>
  <si>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</si>
  <si>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</si>
  <si>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</si>
  <si>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</si>
  <si>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</si>
  <si>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</si>
  <si>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</si>
  <si>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</si>
  <si>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</si>
  <si>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</si>
  <si>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</si>
  <si>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</si>
  <si>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</si>
  <si>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</si>
  <si>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</si>
  <si>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</si>
  <si>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</si>
  <si>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</si>
  <si>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</si>
  <si>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</si>
  <si>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</si>
  <si>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</si>
  <si>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</si>
  <si>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</si>
  <si>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</si>
  <si>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</si>
  <si>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</si>
  <si>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</si>
  <si>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</si>
  <si>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</si>
  <si>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</si>
  <si>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</si>
  <si>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</si>
  <si>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</si>
  <si>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</si>
  <si>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</si>
  <si>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</si>
  <si>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</si>
  <si>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</si>
  <si>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</si>
  <si>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</si>
  <si>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</si>
  <si>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</si>
  <si>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</si>
  <si>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</si>
  <si>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</si>
  <si>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</si>
  <si>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</si>
  <si>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</si>
  <si>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</si>
  <si>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</si>
  <si>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</si>
  <si>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</si>
  <si>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</si>
  <si>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</si>
  <si>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</si>
  <si>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</si>
  <si>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</si>
  <si>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</si>
  <si>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</si>
  <si>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</si>
  <si>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</si>
  <si>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</si>
  <si>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</si>
  <si>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</si>
  <si>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</si>
  <si>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</si>
  <si>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</si>
  <si>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</si>
  <si>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</si>
  <si>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</si>
  <si>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</si>
  <si>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</si>
  <si>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</si>
  <si>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</si>
  <si>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</si>
  <si>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</si>
  <si>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</si>
  <si>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</si>
  <si>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</si>
  <si>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</si>
  <si>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</si>
  <si>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</si>
  <si>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</si>
  <si>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</si>
  <si>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</si>
  <si>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</si>
  <si>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</si>
  <si>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</si>
  <si>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</si>
  <si>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</si>
  <si>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</si>
  <si>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</si>
  <si>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</si>
  <si>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</si>
  <si>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</si>
  <si>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</si>
  <si>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</si>
  <si>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</si>
  <si>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</si>
  <si>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</si>
  <si>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</si>
  <si>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</si>
  <si>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</si>
  <si>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</si>
  <si>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</si>
  <si>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</si>
  <si>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</si>
  <si>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</si>
  <si>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</si>
  <si>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</si>
  <si>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</si>
  <si>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</si>
  <si>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</si>
  <si>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</si>
  <si>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</si>
  <si>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</si>
  <si>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</si>
  <si>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</si>
  <si>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</si>
  <si>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</si>
  <si>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</si>
  <si>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</si>
  <si>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</si>
  <si>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</si>
  <si>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</si>
  <si>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</si>
  <si>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</si>
  <si>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</si>
  <si>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</si>
  <si>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</si>
  <si>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</si>
  <si>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</si>
  <si>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</si>
  <si>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</si>
  <si>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</si>
  <si>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</si>
  <si>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</si>
  <si>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</si>
  <si>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</si>
  <si>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</si>
  <si>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</si>
  <si>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</si>
  <si>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</si>
  <si>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</si>
  <si>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</si>
  <si>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</si>
  <si>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</si>
  <si>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</si>
  <si>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</si>
  <si>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</si>
  <si>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</si>
  <si>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</si>
  <si>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</si>
  <si>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</si>
  <si>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</si>
  <si>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</si>
  <si>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</si>
  <si>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</si>
  <si>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</si>
  <si>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</si>
  <si>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</si>
  <si>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</si>
  <si>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</si>
  <si>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</si>
  <si>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</si>
  <si>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</si>
  <si>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</si>
  <si>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</si>
  <si>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</si>
  <si>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</si>
  <si>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</si>
  <si>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</si>
  <si>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</si>
  <si>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</si>
  <si>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</si>
  <si>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</si>
  <si>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</si>
  <si>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</si>
  <si>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</si>
  <si>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</si>
  <si>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</si>
  <si>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</si>
  <si>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</si>
  <si>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</si>
  <si>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</si>
  <si>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</si>
  <si>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</si>
  <si>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</si>
  <si>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</si>
  <si>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</si>
  <si>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</si>
  <si>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</si>
  <si>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</si>
  <si>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</si>
  <si>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</si>
  <si>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</si>
  <si>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</si>
  <si>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</si>
  <si>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</si>
  <si>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</si>
  <si>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</si>
  <si>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</si>
  <si>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</si>
  <si>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</si>
  <si>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</si>
  <si>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</si>
  <si>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</si>
  <si>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</si>
  <si>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</si>
  <si>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</si>
  <si>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</si>
  <si>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</si>
  <si>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</si>
  <si>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</si>
  <si>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</si>
  <si>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</si>
  <si>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</si>
  <si>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</si>
  <si>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</si>
  <si>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</si>
  <si>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</si>
  <si>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</si>
  <si>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</si>
  <si>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</si>
  <si>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</si>
  <si>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</si>
  <si>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</si>
  <si>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</si>
  <si>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</si>
  <si>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</si>
  <si>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</si>
  <si>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</si>
  <si>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</si>
  <si>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</si>
  <si>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</si>
  <si>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</si>
  <si>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</si>
  <si>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</si>
  <si>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</si>
  <si>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</si>
  <si>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</si>
  <si>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</si>
  <si>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</si>
  <si>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</si>
  <si>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</si>
  <si>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</si>
  <si>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</si>
  <si>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</si>
  <si>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</si>
  <si>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</si>
  <si>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</si>
  <si>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</si>
  <si>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</si>
  <si>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</si>
  <si>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</si>
  <si>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</si>
  <si>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</si>
  <si>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</si>
  <si>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</si>
  <si>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</si>
  <si>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</si>
  <si>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</si>
  <si>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</si>
  <si>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</si>
  <si>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</si>
  <si>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</si>
  <si>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</si>
  <si>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</si>
  <si>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</si>
  <si>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</si>
  <si>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</si>
  <si>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</si>
  <si>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</si>
  <si>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</si>
  <si>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</si>
  <si>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</si>
  <si>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</si>
  <si>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</si>
  <si>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</si>
  <si>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</si>
  <si>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</si>
  <si>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</si>
  <si>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</si>
  <si>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</si>
  <si>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</si>
  <si>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</si>
  <si>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</si>
  <si>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</si>
  <si>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</si>
  <si>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</si>
  <si>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</si>
  <si>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</si>
  <si>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</si>
  <si>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</si>
  <si>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</si>
  <si>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</si>
  <si>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</si>
  <si>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</si>
  <si>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</si>
  <si>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</si>
  <si>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</si>
  <si>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</si>
  <si>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</si>
  <si>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</si>
  <si>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</si>
  <si>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</si>
  <si>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</si>
  <si>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</si>
  <si>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</si>
  <si>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</si>
  <si>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</si>
  <si>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</si>
  <si>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</si>
  <si>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</si>
  <si>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</si>
  <si>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</si>
  <si>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</si>
  <si>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</si>
  <si>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</si>
  <si>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</si>
  <si>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</si>
  <si>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</si>
  <si>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</si>
  <si>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</si>
  <si>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</si>
  <si>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</si>
  <si>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</si>
  <si>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</si>
  <si>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</si>
  <si>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</si>
  <si>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</si>
  <si>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</si>
  <si>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</si>
  <si>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</si>
  <si>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</si>
  <si>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</si>
  <si>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</si>
  <si>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</si>
  <si>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</si>
  <si>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</si>
  <si>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</si>
  <si>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</si>
  <si>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</si>
  <si>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</si>
  <si>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</si>
  <si>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</si>
  <si>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</si>
  <si>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</si>
  <si>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</si>
  <si>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</si>
  <si>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</si>
  <si>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</si>
  <si>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</si>
  <si>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</si>
  <si>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</si>
  <si>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</si>
  <si>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</si>
  <si>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</si>
  <si>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</si>
  <si>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</si>
  <si>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</si>
  <si>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</si>
  <si>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</si>
  <si>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</si>
  <si>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</si>
  <si>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</si>
  <si>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</si>
  <si>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</si>
  <si>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</si>
  <si>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</si>
  <si>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</si>
  <si>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</si>
  <si>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</si>
  <si>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</si>
  <si>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</si>
  <si>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</si>
  <si>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</si>
  <si>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</si>
  <si>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</si>
  <si>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</si>
  <si>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</si>
  <si>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</si>
  <si>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</si>
  <si>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</si>
  <si>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</si>
  <si>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</si>
  <si>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</si>
  <si>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</si>
  <si>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</si>
  <si>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</si>
  <si>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</si>
  <si>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</si>
  <si>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</si>
  <si>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</si>
  <si>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</si>
  <si>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</si>
  <si>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</si>
  <si>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</si>
  <si>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</si>
  <si>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</si>
  <si>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</si>
  <si>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</si>
  <si>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</si>
  <si>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</si>
  <si>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</si>
  <si>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</si>
  <si>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</si>
  <si>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</si>
  <si>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</si>
  <si>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</si>
  <si>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</si>
  <si>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</si>
  <si>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</si>
  <si>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</si>
  <si>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</si>
  <si>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</si>
  <si>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</si>
  <si>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</si>
  <si>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</si>
  <si>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</si>
  <si>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</si>
  <si>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</si>
  <si>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</si>
  <si>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</si>
  <si>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</si>
  <si>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</si>
  <si>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</si>
  <si>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</si>
  <si>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</si>
  <si>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</si>
  <si>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</si>
  <si>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</si>
  <si>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</si>
  <si>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</si>
  <si>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</si>
  <si>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</si>
  <si>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</si>
  <si>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</si>
  <si>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</si>
  <si>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</si>
  <si>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</si>
  <si>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</si>
  <si>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</si>
  <si>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</si>
  <si>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</si>
  <si>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</si>
  <si>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</si>
  <si>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</si>
  <si>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</si>
  <si>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</si>
  <si>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</si>
  <si>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</si>
  <si>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</si>
  <si>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</si>
  <si>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</si>
  <si>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</si>
  <si>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</si>
  <si>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</si>
  <si>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</si>
  <si>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</si>
  <si>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</si>
  <si>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</si>
  <si>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</si>
  <si>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</si>
  <si>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</si>
  <si>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</si>
  <si>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</si>
  <si>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</si>
  <si>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</si>
  <si>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</si>
  <si>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</si>
  <si>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</si>
  <si>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</si>
  <si>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</si>
  <si>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</si>
  <si>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</si>
  <si>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</si>
  <si>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</si>
  <si>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</si>
  <si>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</si>
  <si>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</si>
  <si>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</si>
  <si>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</si>
  <si>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</si>
  <si>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</si>
  <si>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</si>
  <si>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</si>
  <si>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</si>
  <si>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</si>
  <si>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</si>
  <si>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</si>
  <si>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</si>
  <si>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</si>
  <si>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</si>
  <si>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</si>
  <si>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</si>
  <si>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</si>
  <si>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</si>
  <si>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</si>
  <si>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</si>
  <si>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</si>
  <si>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</si>
  <si>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</si>
  <si>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</si>
  <si>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</si>
  <si>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</si>
  <si>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</si>
  <si>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</si>
  <si>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</si>
  <si>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</si>
  <si>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</si>
  <si>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</si>
  <si>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</si>
  <si>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</si>
  <si>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</si>
  <si>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</si>
  <si>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</si>
  <si>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</si>
  <si>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</si>
  <si>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</si>
  <si>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</si>
  <si>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</si>
  <si>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</si>
  <si>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</si>
  <si>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</si>
  <si>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</si>
  <si>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</si>
  <si>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</si>
  <si>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</si>
  <si>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</si>
  <si>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</si>
  <si>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</si>
  <si>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</si>
  <si>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</si>
  <si>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</si>
  <si>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</si>
  <si>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</si>
  <si>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</si>
  <si>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</si>
  <si>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</si>
  <si>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</si>
  <si>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</si>
  <si>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</si>
  <si>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</si>
  <si>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</si>
  <si>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</si>
  <si>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</si>
  <si>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</si>
  <si>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</si>
  <si>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</si>
  <si>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</si>
  <si>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</si>
  <si>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</si>
  <si>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</si>
  <si>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</si>
  <si>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</si>
  <si>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</si>
  <si>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</si>
  <si>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</si>
  <si>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</si>
  <si>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</si>
  <si>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</si>
  <si>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</si>
  <si>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</si>
  <si>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</si>
  <si>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</si>
  <si>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</si>
  <si>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</si>
  <si>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</si>
  <si>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</si>
  <si>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</si>
  <si>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</si>
  <si>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</si>
  <si>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</si>
  <si>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</si>
  <si>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</si>
  <si>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</si>
  <si>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</si>
  <si>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</si>
  <si>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</si>
  <si>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</si>
  <si>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</si>
  <si>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</si>
  <si>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</si>
  <si>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</si>
  <si>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</si>
  <si>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</si>
  <si>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</si>
  <si>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</si>
  <si>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</si>
  <si>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</si>
  <si>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</si>
  <si>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</si>
  <si>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</si>
  <si>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</si>
  <si>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</si>
  <si>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</si>
  <si>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</si>
  <si>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</si>
  <si>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</si>
  <si>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</si>
  <si>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</si>
  <si>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</si>
  <si>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</si>
  <si>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</si>
  <si>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</si>
  <si>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</si>
  <si>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</si>
  <si>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</si>
  <si>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</si>
  <si>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</si>
  <si>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</si>
  <si>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</si>
  <si>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</si>
  <si>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</si>
  <si>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</si>
  <si>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</si>
  <si>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</si>
  <si>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</si>
  <si>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</si>
  <si>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</si>
  <si>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</si>
  <si>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</si>
  <si>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</si>
  <si>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</si>
  <si>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</si>
  <si>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</si>
  <si>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</si>
  <si>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</si>
  <si>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</si>
  <si>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</si>
  <si>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</si>
  <si>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</si>
  <si>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</si>
  <si>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</si>
  <si>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</si>
  <si>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</si>
  <si>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</si>
  <si>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</si>
  <si>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</si>
  <si>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</si>
  <si>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</si>
  <si>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             8/5</t>
  </si>
  <si>
    <t xml:space="preserve">            8/20</t>
  </si>
  <si>
    <t>Audit entry</t>
  </si>
  <si>
    <t>Milton SD</t>
  </si>
  <si>
    <t>Includes $599,266.25 for ARRA Sig Grant - Title 1 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</si>
</sst>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C72-0488-429B-8D2F-7E817F038A71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3" t="s">
        <v>897</v>
      </c>
      <c r="B2" s="21">
        <v>359</v>
      </c>
      <c r="C2" s="21">
        <v>359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2" t="s">
        <v>304</v>
      </c>
      <c r="G6" s="222" t="s">
        <v>305</v>
      </c>
      <c r="H6" s="222" t="s">
        <v>306</v>
      </c>
      <c r="I6" s="222" t="s">
        <v>307</v>
      </c>
      <c r="J6" s="222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2"/>
      <c r="G7" s="223"/>
      <c r="H7" s="222" t="s">
        <v>803</v>
      </c>
      <c r="I7" s="223"/>
      <c r="J7" s="223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288401.95</f>
        <v>288401.95</v>
      </c>
      <c r="G9" s="18">
        <v>0</v>
      </c>
      <c r="H9" s="18">
        <v>0</v>
      </c>
      <c r="I9" s="18">
        <v>231166.59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98683.57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201643.9</f>
        <v>201643.9</v>
      </c>
      <c r="G12" s="18">
        <v>0</v>
      </c>
      <c r="H12" s="18">
        <v>0</v>
      </c>
      <c r="I12" s="18">
        <v>0</v>
      </c>
      <c r="J12" s="67">
        <f>SUM(I433)</f>
        <v>20000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f>5010.55-4513.05</f>
        <v>497.5</v>
      </c>
      <c r="H13" s="18">
        <f>120724.85+10364.29</f>
        <v>131089.14000000001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7.28</f>
        <v>7.28</v>
      </c>
      <c r="G14" s="18">
        <v>33598.57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490053.13</v>
      </c>
      <c r="G19" s="41">
        <f>SUM(G9:G18)</f>
        <v>34096.07</v>
      </c>
      <c r="H19" s="41">
        <f>SUM(H9:H18)</f>
        <v>131089.14000000001</v>
      </c>
      <c r="I19" s="41">
        <f>SUM(I9:I18)</f>
        <v>231166.59</v>
      </c>
      <c r="J19" s="41">
        <f>SUM(J9:J18)</f>
        <v>118683.57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6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6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32415.07</v>
      </c>
      <c r="H23" s="18">
        <f>120724.85+10364.29</f>
        <v>131089.14000000001</v>
      </c>
      <c r="I23" s="18">
        <v>31925.94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147007.89000000001</v>
      </c>
      <c r="G25" s="18">
        <f>1183.5+497.5</f>
        <v>1681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-1778.15+21.62-16.28+680.26+7615.1+1757.16-1151.68+151.17+1159.06</f>
        <v>8438.26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155446.15000000002</v>
      </c>
      <c r="G33" s="41">
        <f>SUM(G23:G32)</f>
        <v>34096.07</v>
      </c>
      <c r="H33" s="41">
        <f>SUM(H23:H32)</f>
        <v>131089.14000000001</v>
      </c>
      <c r="I33" s="41">
        <f>SUM(I23:I32)</f>
        <v>31925.94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75000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0</v>
      </c>
      <c r="I41" s="18">
        <f>I19-I33</f>
        <v>199240.65</v>
      </c>
      <c r="J41" s="13">
        <f>SUM(I449)</f>
        <v>118683.57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428663.29-169056.31</f>
        <v>259606.97999999998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334606.98</v>
      </c>
      <c r="G43" s="41">
        <f>SUM(G35:G42)</f>
        <v>0</v>
      </c>
      <c r="H43" s="41">
        <f>SUM(H35:H42)</f>
        <v>0</v>
      </c>
      <c r="I43" s="41">
        <f>SUM(I35:I42)</f>
        <v>199240.65</v>
      </c>
      <c r="J43" s="41">
        <f>SUM(J35:J42)</f>
        <v>118683.57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490053.13</v>
      </c>
      <c r="G44" s="41">
        <f>G43+G33</f>
        <v>34096.07</v>
      </c>
      <c r="H44" s="41">
        <f>H43+H33</f>
        <v>131089.14000000001</v>
      </c>
      <c r="I44" s="41">
        <f>I43+I33</f>
        <v>231166.59</v>
      </c>
      <c r="J44" s="41">
        <f>J43+J33</f>
        <v>118683.57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4133091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4133091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500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5850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7927.5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14277.5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7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-1430.87+2901.02</f>
        <v>1470.15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1470.15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2352.2399999999998</v>
      </c>
      <c r="G88" s="18">
        <v>0</v>
      </c>
      <c r="H88" s="18">
        <v>0</v>
      </c>
      <c r="I88" s="18">
        <v>483.93</v>
      </c>
      <c r="J88" s="18">
        <v>95.87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77650.59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3070.22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5422.4599999999991</v>
      </c>
      <c r="G103" s="41">
        <f>SUM(G88:G102)</f>
        <v>77650.59</v>
      </c>
      <c r="H103" s="41">
        <f>SUM(H88:H102)</f>
        <v>0</v>
      </c>
      <c r="I103" s="41">
        <f>SUM(I88:I102)</f>
        <v>483.93</v>
      </c>
      <c r="J103" s="41">
        <f>SUM(J88:J102)</f>
        <v>95.87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4154261.11</v>
      </c>
      <c r="G104" s="41">
        <f>G52+G103</f>
        <v>77650.59</v>
      </c>
      <c r="H104" s="41">
        <f>H52+H71+H86+H103</f>
        <v>0</v>
      </c>
      <c r="I104" s="41">
        <f>I52+I103</f>
        <v>483.93</v>
      </c>
      <c r="J104" s="41">
        <f>J52+J103</f>
        <v>95.87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2902531.02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964534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105273.98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f>11907.17</f>
        <v>11907.17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3972339</v>
      </c>
      <c r="G113" s="41">
        <f>SUM(G109:G112)</f>
        <v>0</v>
      </c>
      <c r="H113" s="41">
        <f>SUM(H109:H112)</f>
        <v>11907.17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181169.66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42839.96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1730.49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2494.06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225740.11</v>
      </c>
      <c r="G128" s="41">
        <f>SUM(G115:G127)</f>
        <v>2494.06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4198079.1100000003</v>
      </c>
      <c r="G132" s="41">
        <f>G113+SUM(G128:G129)</f>
        <v>2494.06</v>
      </c>
      <c r="H132" s="41">
        <f>H113+SUM(H128:H131)</f>
        <v>11907.17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1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7774.8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7774.8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21945.48+99182.04+599266.25</f>
        <v>720393.77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975716.97-21945.48-99182.04-266255.24-333011.01</f>
        <v>255323.19999999995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103665.43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64265.98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64265.98</v>
      </c>
      <c r="G154" s="41">
        <f>SUM(G142:G153)</f>
        <v>103665.43</v>
      </c>
      <c r="H154" s="41">
        <f>SUM(H142:H153)</f>
        <v>975716.97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64265.98</v>
      </c>
      <c r="G161" s="41">
        <f>G139+G154+SUM(G155:G160)</f>
        <v>111440.23</v>
      </c>
      <c r="H161" s="41">
        <f>H139+H154+SUM(H155:H160)</f>
        <v>975716.97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1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77693.37</v>
      </c>
      <c r="H171" s="18">
        <v>0</v>
      </c>
      <c r="I171" s="18">
        <v>0</v>
      </c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77693.37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3" t="s">
        <v>454</v>
      </c>
      <c r="E184" s="51">
        <v>5000</v>
      </c>
      <c r="F184" s="41">
        <f>F169+F175+SUM(F180:F183)</f>
        <v>0</v>
      </c>
      <c r="G184" s="41">
        <f>G175+SUM(G180:G183)</f>
        <v>77693.37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4" t="s">
        <v>454</v>
      </c>
      <c r="E185" s="44"/>
      <c r="F185" s="47">
        <f>F104+F132+F161+F184</f>
        <v>8416606.2000000011</v>
      </c>
      <c r="G185" s="47">
        <f>G104+G132+G161+G184</f>
        <v>269278.25</v>
      </c>
      <c r="H185" s="47">
        <f>H104+H132+H161+H184</f>
        <v>987624.14</v>
      </c>
      <c r="I185" s="47">
        <f>I104+I132+I161+I184</f>
        <v>483.93</v>
      </c>
      <c r="J185" s="47">
        <f>J104+J132+J184</f>
        <v>20095.87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4" t="s">
        <v>724</v>
      </c>
      <c r="G186" s="174" t="s">
        <v>725</v>
      </c>
      <c r="H186" s="174" t="s">
        <v>726</v>
      </c>
      <c r="I186" s="174" t="s">
        <v>727</v>
      </c>
      <c r="J186" s="174" t="s">
        <v>728</v>
      </c>
      <c r="K186" s="174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929156.1</v>
      </c>
      <c r="G189" s="18">
        <v>362755.6</v>
      </c>
      <c r="H189" s="18">
        <v>7030.18</v>
      </c>
      <c r="I189" s="18">
        <v>57233.97</v>
      </c>
      <c r="J189" s="18">
        <v>672.28</v>
      </c>
      <c r="K189" s="18">
        <v>0</v>
      </c>
      <c r="L189" s="19">
        <f>SUM(F189:K189)</f>
        <v>1356848.13</v>
      </c>
      <c r="M189" s="8">
        <v>16938.59999999986</v>
      </c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296737.12</v>
      </c>
      <c r="G190" s="18">
        <v>138855.81</v>
      </c>
      <c r="H190" s="18">
        <v>586483.13</v>
      </c>
      <c r="I190" s="18">
        <v>11235.82</v>
      </c>
      <c r="J190" s="18">
        <v>6565.85</v>
      </c>
      <c r="K190" s="18">
        <v>0</v>
      </c>
      <c r="L190" s="19">
        <f>SUM(F190:K190)</f>
        <v>1039877.73</v>
      </c>
      <c r="M190" s="8">
        <v>5409.5399999999718</v>
      </c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5400</v>
      </c>
      <c r="G192" s="18">
        <v>1809.93</v>
      </c>
      <c r="H192" s="18">
        <v>12682.28</v>
      </c>
      <c r="I192" s="18">
        <v>0</v>
      </c>
      <c r="J192" s="18">
        <v>0</v>
      </c>
      <c r="K192" s="18">
        <v>0</v>
      </c>
      <c r="L192" s="19">
        <f>SUM(F192:K192)</f>
        <v>19892.21</v>
      </c>
      <c r="M192" s="8">
        <v>98.440000000002328</v>
      </c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102403</v>
      </c>
      <c r="G194" s="18">
        <v>35630.660000000003</v>
      </c>
      <c r="H194" s="18">
        <v>2355</v>
      </c>
      <c r="I194" s="18">
        <v>1105.3800000000001</v>
      </c>
      <c r="J194" s="18">
        <v>0</v>
      </c>
      <c r="K194" s="18">
        <v>40</v>
      </c>
      <c r="L194" s="19">
        <f t="shared" ref="L194:L200" si="0">SUM(F194:K194)</f>
        <v>141534.04</v>
      </c>
      <c r="M194" s="8">
        <v>1866.8200000000215</v>
      </c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40539</v>
      </c>
      <c r="G195" s="18">
        <v>34856.44</v>
      </c>
      <c r="H195" s="18">
        <v>8921.1200000000008</v>
      </c>
      <c r="I195" s="18">
        <v>6128.15</v>
      </c>
      <c r="J195" s="18">
        <v>459.96</v>
      </c>
      <c r="K195" s="18">
        <v>0</v>
      </c>
      <c r="L195" s="19">
        <f t="shared" si="0"/>
        <v>90904.67</v>
      </c>
      <c r="M195" s="8">
        <v>739.02999999999884</v>
      </c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4233.74</v>
      </c>
      <c r="G196" s="18">
        <v>353.7</v>
      </c>
      <c r="H196" s="18">
        <v>157404.74</v>
      </c>
      <c r="I196" s="18">
        <v>0</v>
      </c>
      <c r="J196" s="18">
        <v>0</v>
      </c>
      <c r="K196" s="18">
        <v>1404.4</v>
      </c>
      <c r="L196" s="19">
        <f t="shared" si="0"/>
        <v>163396.57999999999</v>
      </c>
      <c r="M196" s="8">
        <v>77.179999999993015</v>
      </c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158668.57999999999</v>
      </c>
      <c r="G197" s="18">
        <v>75259.72</v>
      </c>
      <c r="H197" s="18">
        <v>10719.95</v>
      </c>
      <c r="I197" s="18">
        <v>6470</v>
      </c>
      <c r="J197" s="18">
        <v>0</v>
      </c>
      <c r="K197" s="18">
        <v>333.68</v>
      </c>
      <c r="L197" s="19">
        <f t="shared" si="0"/>
        <v>251451.93</v>
      </c>
      <c r="M197" s="8">
        <v>2892.5400000000081</v>
      </c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84095.13</v>
      </c>
      <c r="G199" s="18">
        <v>41853.83</v>
      </c>
      <c r="H199" s="18">
        <v>100713.88</v>
      </c>
      <c r="I199" s="18">
        <v>73973.289999999994</v>
      </c>
      <c r="J199" s="18">
        <v>0</v>
      </c>
      <c r="K199" s="18">
        <v>259</v>
      </c>
      <c r="L199" s="19">
        <f t="shared" si="0"/>
        <v>300895.13</v>
      </c>
      <c r="M199" s="8">
        <v>1533.06</v>
      </c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65777.13</v>
      </c>
      <c r="G200" s="18">
        <v>22767.26</v>
      </c>
      <c r="H200" s="18">
        <v>48322.48</v>
      </c>
      <c r="I200" s="18">
        <v>22490.25</v>
      </c>
      <c r="J200" s="18">
        <v>1280</v>
      </c>
      <c r="K200" s="18">
        <v>1138.74</v>
      </c>
      <c r="L200" s="19">
        <f t="shared" si="0"/>
        <v>161775.85999999999</v>
      </c>
      <c r="M200" s="8">
        <v>1199.1199999999999</v>
      </c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384.23</v>
      </c>
      <c r="I201" s="18">
        <v>7398.04</v>
      </c>
      <c r="J201" s="18">
        <v>22828.62</v>
      </c>
      <c r="K201" s="18">
        <v>0</v>
      </c>
      <c r="L201" s="19">
        <f>SUM(F201:K201)</f>
        <v>30610.89</v>
      </c>
      <c r="M201" s="8">
        <v>0</v>
      </c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1687009.7999999998</v>
      </c>
      <c r="G203" s="41">
        <f t="shared" si="1"/>
        <v>714142.94999999984</v>
      </c>
      <c r="H203" s="41">
        <f t="shared" si="1"/>
        <v>935016.99</v>
      </c>
      <c r="I203" s="41">
        <f t="shared" si="1"/>
        <v>186034.9</v>
      </c>
      <c r="J203" s="41">
        <f t="shared" si="1"/>
        <v>31806.71</v>
      </c>
      <c r="K203" s="41">
        <f t="shared" si="1"/>
        <v>3175.82</v>
      </c>
      <c r="L203" s="41">
        <f t="shared" si="1"/>
        <v>3557187.17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4" t="s">
        <v>724</v>
      </c>
      <c r="G204" s="174" t="s">
        <v>725</v>
      </c>
      <c r="H204" s="174" t="s">
        <v>726</v>
      </c>
      <c r="I204" s="174" t="s">
        <v>727</v>
      </c>
      <c r="J204" s="174" t="s">
        <v>728</v>
      </c>
      <c r="K204" s="174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530021.34</v>
      </c>
      <c r="G207" s="18">
        <v>228735.22</v>
      </c>
      <c r="H207" s="18">
        <v>7090.26</v>
      </c>
      <c r="I207" s="18">
        <v>46996.12</v>
      </c>
      <c r="J207" s="18">
        <v>6355.39</v>
      </c>
      <c r="K207" s="18">
        <v>189</v>
      </c>
      <c r="L207" s="19">
        <f>SUM(F207:K207)</f>
        <v>819387.33</v>
      </c>
      <c r="M207" s="8">
        <v>9662.3200000000652</v>
      </c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206812.98</v>
      </c>
      <c r="G208" s="18">
        <v>100030.33</v>
      </c>
      <c r="H208" s="18">
        <v>8736.5300000000007</v>
      </c>
      <c r="I208" s="18">
        <v>2174.58</v>
      </c>
      <c r="J208" s="18">
        <v>0</v>
      </c>
      <c r="K208" s="18">
        <v>0</v>
      </c>
      <c r="L208" s="19">
        <f>SUM(F208:K208)</f>
        <v>317754.42000000004</v>
      </c>
      <c r="M208" s="8">
        <v>3770.2200000000139</v>
      </c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43422.5</v>
      </c>
      <c r="G210" s="18">
        <v>12275.71</v>
      </c>
      <c r="H210" s="18">
        <v>7695.91</v>
      </c>
      <c r="I210" s="18">
        <v>2369.23</v>
      </c>
      <c r="J210" s="18">
        <v>2291.94</v>
      </c>
      <c r="K210" s="18">
        <v>400</v>
      </c>
      <c r="L210" s="19">
        <f>SUM(F210:K210)</f>
        <v>68455.289999999994</v>
      </c>
      <c r="M210" s="8">
        <v>791.59999999999127</v>
      </c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67886.55</v>
      </c>
      <c r="G212" s="18">
        <v>23172.06</v>
      </c>
      <c r="H212" s="18">
        <v>5522.41</v>
      </c>
      <c r="I212" s="18">
        <v>974.46</v>
      </c>
      <c r="J212" s="18">
        <v>0</v>
      </c>
      <c r="K212" s="18">
        <v>40</v>
      </c>
      <c r="L212" s="19">
        <f t="shared" ref="L212:L218" si="2">SUM(F212:K212)</f>
        <v>97595.48000000001</v>
      </c>
      <c r="M212" s="8">
        <v>1237.5799999999872</v>
      </c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23916.880000000001</v>
      </c>
      <c r="G213" s="18">
        <v>18939.97</v>
      </c>
      <c r="H213" s="18">
        <v>6502.28</v>
      </c>
      <c r="I213" s="18">
        <v>6629.78</v>
      </c>
      <c r="J213" s="18">
        <v>0</v>
      </c>
      <c r="K213" s="18">
        <v>0</v>
      </c>
      <c r="L213" s="19">
        <f t="shared" si="2"/>
        <v>55988.91</v>
      </c>
      <c r="M213" s="8">
        <v>436.01000000000204</v>
      </c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2540.37</v>
      </c>
      <c r="G214" s="18">
        <v>200.06</v>
      </c>
      <c r="H214" s="18">
        <v>94463.42</v>
      </c>
      <c r="I214" s="18">
        <v>0</v>
      </c>
      <c r="J214" s="18">
        <v>0</v>
      </c>
      <c r="K214" s="18">
        <v>842.64</v>
      </c>
      <c r="L214" s="19">
        <f t="shared" si="2"/>
        <v>98046.489999999991</v>
      </c>
      <c r="M214" s="8">
        <v>46.309999999997672</v>
      </c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71860.33</v>
      </c>
      <c r="G215" s="18">
        <v>29568.81</v>
      </c>
      <c r="H215" s="18">
        <v>8509.23</v>
      </c>
      <c r="I215" s="18">
        <v>3046.31</v>
      </c>
      <c r="J215" s="18">
        <v>0</v>
      </c>
      <c r="K215" s="18">
        <v>518</v>
      </c>
      <c r="L215" s="19">
        <f t="shared" si="2"/>
        <v>113502.68</v>
      </c>
      <c r="M215" s="8">
        <v>1310.02</v>
      </c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44821.93</v>
      </c>
      <c r="G217" s="18">
        <v>23330.14</v>
      </c>
      <c r="H217" s="18">
        <v>68404.92</v>
      </c>
      <c r="I217" s="18">
        <v>45417.440000000002</v>
      </c>
      <c r="J217" s="18">
        <v>0</v>
      </c>
      <c r="K217" s="18">
        <v>118</v>
      </c>
      <c r="L217" s="19">
        <f t="shared" si="2"/>
        <v>182092.43</v>
      </c>
      <c r="M217" s="8">
        <v>817.10999999998603</v>
      </c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38622.07</v>
      </c>
      <c r="G218" s="18">
        <v>14462.92</v>
      </c>
      <c r="H218" s="18">
        <v>23171.68</v>
      </c>
      <c r="I218" s="18">
        <v>13691.13</v>
      </c>
      <c r="J218" s="18">
        <v>768</v>
      </c>
      <c r="K218" s="18">
        <v>105.34</v>
      </c>
      <c r="L218" s="19">
        <f t="shared" si="2"/>
        <v>90821.14</v>
      </c>
      <c r="M218" s="8">
        <v>793.33999999999355</v>
      </c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14821.51</v>
      </c>
      <c r="G219" s="18">
        <v>6866.03</v>
      </c>
      <c r="H219" s="18">
        <v>2153.5</v>
      </c>
      <c r="I219" s="18">
        <v>14319.5</v>
      </c>
      <c r="J219" s="18">
        <v>10121.92</v>
      </c>
      <c r="K219" s="18">
        <v>0</v>
      </c>
      <c r="L219" s="19">
        <f>SUM(F219:K219)</f>
        <v>48282.46</v>
      </c>
      <c r="M219" s="8">
        <v>270.20000000000437</v>
      </c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1044726.46</v>
      </c>
      <c r="G221" s="41">
        <f>SUM(G207:G220)</f>
        <v>457581.25000000006</v>
      </c>
      <c r="H221" s="41">
        <f>SUM(H207:H220)</f>
        <v>232250.14</v>
      </c>
      <c r="I221" s="41">
        <f>SUM(I207:I220)</f>
        <v>135618.55000000002</v>
      </c>
      <c r="J221" s="41">
        <f>SUM(J207:J220)</f>
        <v>19537.25</v>
      </c>
      <c r="K221" s="41">
        <f t="shared" si="3"/>
        <v>2212.98</v>
      </c>
      <c r="L221" s="41">
        <f t="shared" si="3"/>
        <v>1891926.6299999997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4" t="s">
        <v>724</v>
      </c>
      <c r="G222" s="174" t="s">
        <v>725</v>
      </c>
      <c r="H222" s="174" t="s">
        <v>726</v>
      </c>
      <c r="I222" s="174" t="s">
        <v>727</v>
      </c>
      <c r="J222" s="174" t="s">
        <v>728</v>
      </c>
      <c r="K222" s="174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639563.59</v>
      </c>
      <c r="G225" s="18">
        <v>255885.72</v>
      </c>
      <c r="H225" s="18">
        <v>8852.23</v>
      </c>
      <c r="I225" s="18">
        <v>49048.959999999999</v>
      </c>
      <c r="J225" s="18">
        <v>3596.1</v>
      </c>
      <c r="K225" s="18">
        <v>170</v>
      </c>
      <c r="L225" s="19">
        <f>SUM(F225:K225)</f>
        <v>957116.59999999986</v>
      </c>
      <c r="M225" s="8">
        <v>11659.289999999921</v>
      </c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246072.87</v>
      </c>
      <c r="G226" s="18">
        <v>137856.89000000001</v>
      </c>
      <c r="H226" s="18">
        <v>119225.83</v>
      </c>
      <c r="I226" s="18">
        <v>1445.38</v>
      </c>
      <c r="J226" s="18">
        <v>867.93</v>
      </c>
      <c r="K226" s="18">
        <v>0</v>
      </c>
      <c r="L226" s="19">
        <f>SUM(F226:K226)</f>
        <v>505468.9</v>
      </c>
      <c r="M226" s="8">
        <v>4485.9300000000512</v>
      </c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37665.32</v>
      </c>
      <c r="G227" s="18">
        <v>11238.54</v>
      </c>
      <c r="H227" s="18">
        <v>24763.759999999998</v>
      </c>
      <c r="I227" s="18">
        <v>0</v>
      </c>
      <c r="J227" s="18">
        <v>0</v>
      </c>
      <c r="K227" s="18">
        <v>0</v>
      </c>
      <c r="L227" s="19">
        <f>SUM(F227:K227)</f>
        <v>73667.62</v>
      </c>
      <c r="M227" s="8">
        <v>686.63999999999942</v>
      </c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38815.46</v>
      </c>
      <c r="G228" s="18">
        <v>5565.53</v>
      </c>
      <c r="H228" s="18">
        <v>23933.06</v>
      </c>
      <c r="I228" s="18">
        <v>5983.68</v>
      </c>
      <c r="J228" s="18">
        <v>4617.88</v>
      </c>
      <c r="K228" s="18">
        <v>1550</v>
      </c>
      <c r="L228" s="19">
        <f>SUM(F228:K228)</f>
        <v>80465.610000000015</v>
      </c>
      <c r="M228" s="8">
        <v>707.61000000001513</v>
      </c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101829.27</v>
      </c>
      <c r="G230" s="18">
        <v>39556.03</v>
      </c>
      <c r="H230" s="18">
        <v>11232</v>
      </c>
      <c r="I230" s="18">
        <v>1518.38</v>
      </c>
      <c r="J230" s="18">
        <v>0</v>
      </c>
      <c r="K230" s="18">
        <v>40</v>
      </c>
      <c r="L230" s="19">
        <f t="shared" ref="L230:L236" si="4">SUM(F230:K230)</f>
        <v>154175.67999999999</v>
      </c>
      <c r="M230" s="8">
        <v>1856.3600000000151</v>
      </c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35875.120000000003</v>
      </c>
      <c r="G231" s="18">
        <v>32589.64</v>
      </c>
      <c r="H231" s="18">
        <v>3987.97</v>
      </c>
      <c r="I231" s="18">
        <v>5441.91</v>
      </c>
      <c r="J231" s="18">
        <v>0</v>
      </c>
      <c r="K231" s="18">
        <v>0</v>
      </c>
      <c r="L231" s="19">
        <f t="shared" si="4"/>
        <v>77894.640000000014</v>
      </c>
      <c r="M231" s="8">
        <v>654.01000000000931</v>
      </c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3810.54</v>
      </c>
      <c r="G232" s="18">
        <v>300.08999999999997</v>
      </c>
      <c r="H232" s="18">
        <v>141695.14000000001</v>
      </c>
      <c r="I232" s="18">
        <v>0</v>
      </c>
      <c r="J232" s="18">
        <v>0</v>
      </c>
      <c r="K232" s="18">
        <v>1263.97</v>
      </c>
      <c r="L232" s="19">
        <f t="shared" si="4"/>
        <v>147069.74000000002</v>
      </c>
      <c r="M232" s="8">
        <v>69.469999999986612</v>
      </c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105555.66</v>
      </c>
      <c r="G233" s="18">
        <v>42933.52</v>
      </c>
      <c r="H233" s="18">
        <v>10731.75</v>
      </c>
      <c r="I233" s="18">
        <v>3923.45</v>
      </c>
      <c r="J233" s="18">
        <v>17.100000000000001</v>
      </c>
      <c r="K233" s="18">
        <v>1697.7</v>
      </c>
      <c r="L233" s="19">
        <f t="shared" si="4"/>
        <v>164859.18000000002</v>
      </c>
      <c r="M233" s="8">
        <v>1924.289999999979</v>
      </c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67232.899999999994</v>
      </c>
      <c r="G235" s="18">
        <v>34995.21</v>
      </c>
      <c r="H235" s="18">
        <v>102607.38</v>
      </c>
      <c r="I235" s="18">
        <v>68126.16</v>
      </c>
      <c r="J235" s="18">
        <v>0</v>
      </c>
      <c r="K235" s="18">
        <v>177</v>
      </c>
      <c r="L235" s="19">
        <f t="shared" si="4"/>
        <v>273138.65000000002</v>
      </c>
      <c r="M235" s="8">
        <v>1225.6600000000326</v>
      </c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70172.850000000006</v>
      </c>
      <c r="G236" s="18">
        <v>22836.3</v>
      </c>
      <c r="H236" s="18">
        <v>43718.66</v>
      </c>
      <c r="I236" s="18">
        <v>20536.68</v>
      </c>
      <c r="J236" s="18">
        <v>1152</v>
      </c>
      <c r="K236" s="18">
        <v>158.02000000000001</v>
      </c>
      <c r="L236" s="19">
        <f t="shared" si="4"/>
        <v>158574.50999999998</v>
      </c>
      <c r="M236" s="8">
        <v>1190.0000000000114</v>
      </c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14821.46</v>
      </c>
      <c r="G237" s="18">
        <v>6865.43</v>
      </c>
      <c r="H237" s="18">
        <v>0</v>
      </c>
      <c r="I237" s="18">
        <v>0</v>
      </c>
      <c r="J237" s="18">
        <v>13564.82</v>
      </c>
      <c r="K237" s="18">
        <v>0</v>
      </c>
      <c r="L237" s="19">
        <f>SUM(F237:K237)</f>
        <v>35251.71</v>
      </c>
      <c r="M237" s="8">
        <v>270.20000000000437</v>
      </c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1361415.0399999998</v>
      </c>
      <c r="G239" s="41">
        <f t="shared" si="5"/>
        <v>590622.9</v>
      </c>
      <c r="H239" s="41">
        <f t="shared" si="5"/>
        <v>490747.78</v>
      </c>
      <c r="I239" s="41">
        <f t="shared" si="5"/>
        <v>156024.59999999998</v>
      </c>
      <c r="J239" s="41">
        <f t="shared" si="5"/>
        <v>23815.83</v>
      </c>
      <c r="K239" s="41">
        <f t="shared" si="5"/>
        <v>5056.6900000000005</v>
      </c>
      <c r="L239" s="41">
        <f t="shared" si="5"/>
        <v>2627682.84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4" t="s">
        <v>724</v>
      </c>
      <c r="G240" s="174" t="s">
        <v>725</v>
      </c>
      <c r="H240" s="174" t="s">
        <v>726</v>
      </c>
      <c r="I240" s="174" t="s">
        <v>727</v>
      </c>
      <c r="J240" s="174" t="s">
        <v>728</v>
      </c>
      <c r="K240" s="174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4093151.3</v>
      </c>
      <c r="G249" s="41">
        <f t="shared" si="8"/>
        <v>1762347.1</v>
      </c>
      <c r="H249" s="41">
        <f t="shared" si="8"/>
        <v>1658014.91</v>
      </c>
      <c r="I249" s="41">
        <f t="shared" si="8"/>
        <v>477678.05</v>
      </c>
      <c r="J249" s="41">
        <f t="shared" si="8"/>
        <v>75159.790000000008</v>
      </c>
      <c r="K249" s="41">
        <f t="shared" si="8"/>
        <v>10445.490000000002</v>
      </c>
      <c r="L249" s="41">
        <f t="shared" si="8"/>
        <v>8076796.6399999997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275000</v>
      </c>
      <c r="L252" s="19">
        <f>SUM(F252:K252)</f>
        <v>275000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136172.5</v>
      </c>
      <c r="L253" s="19">
        <f>SUM(F253:K253)</f>
        <v>136172.5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77693.37</v>
      </c>
      <c r="L255" s="19">
        <f>SUM(F255:K255)</f>
        <v>77693.37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508865.87</v>
      </c>
      <c r="L262" s="41">
        <f t="shared" si="9"/>
        <v>508865.87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4093151.3</v>
      </c>
      <c r="G263" s="42">
        <f t="shared" si="11"/>
        <v>1762347.1</v>
      </c>
      <c r="H263" s="42">
        <f t="shared" si="11"/>
        <v>1658014.91</v>
      </c>
      <c r="I263" s="42">
        <f t="shared" si="11"/>
        <v>477678.05</v>
      </c>
      <c r="J263" s="42">
        <f t="shared" si="11"/>
        <v>75159.790000000008</v>
      </c>
      <c r="K263" s="42">
        <f t="shared" si="11"/>
        <v>519311.35999999999</v>
      </c>
      <c r="L263" s="42">
        <f t="shared" si="11"/>
        <v>8585662.5099999998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4" t="s">
        <v>724</v>
      </c>
      <c r="G265" s="174" t="s">
        <v>725</v>
      </c>
      <c r="H265" s="174" t="s">
        <v>726</v>
      </c>
      <c r="I265" s="174" t="s">
        <v>727</v>
      </c>
      <c r="J265" s="174" t="s">
        <v>728</v>
      </c>
      <c r="K265" s="174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80679.37</v>
      </c>
      <c r="G268" s="18">
        <v>38764.720000000001</v>
      </c>
      <c r="H268" s="18">
        <v>1869.21</v>
      </c>
      <c r="I268" s="18">
        <v>8065.69</v>
      </c>
      <c r="J268" s="18">
        <v>13962.95</v>
      </c>
      <c r="K268" s="18">
        <v>0</v>
      </c>
      <c r="L268" s="19">
        <f>SUM(F268:K268)</f>
        <v>143341.94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378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378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3524</v>
      </c>
      <c r="H274" s="18">
        <v>35827.29</v>
      </c>
      <c r="I274" s="18">
        <v>291.14999999999998</v>
      </c>
      <c r="J274" s="18">
        <v>0</v>
      </c>
      <c r="K274" s="18">
        <v>0</v>
      </c>
      <c r="L274" s="19">
        <f t="shared" si="12"/>
        <v>39642.44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121.2</v>
      </c>
      <c r="I275" s="18">
        <v>0</v>
      </c>
      <c r="J275" s="18">
        <v>0</v>
      </c>
      <c r="K275" s="18">
        <v>0</v>
      </c>
      <c r="L275" s="19">
        <f t="shared" si="12"/>
        <v>121.2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6990.86</v>
      </c>
      <c r="L277" s="19">
        <f t="shared" si="12"/>
        <v>6990.86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80679.37</v>
      </c>
      <c r="G282" s="42">
        <f t="shared" si="13"/>
        <v>42288.72</v>
      </c>
      <c r="H282" s="42">
        <f t="shared" si="13"/>
        <v>38195.699999999997</v>
      </c>
      <c r="I282" s="42">
        <f t="shared" si="13"/>
        <v>8356.84</v>
      </c>
      <c r="J282" s="42">
        <f t="shared" si="13"/>
        <v>13962.95</v>
      </c>
      <c r="K282" s="42">
        <f t="shared" si="13"/>
        <v>6990.86</v>
      </c>
      <c r="L282" s="41">
        <f t="shared" si="13"/>
        <v>190474.44</v>
      </c>
      <c r="M282" s="8">
        <v>-12785.35</v>
      </c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4" t="s">
        <v>724</v>
      </c>
      <c r="G284" s="174" t="s">
        <v>725</v>
      </c>
      <c r="H284" s="174" t="s">
        <v>726</v>
      </c>
      <c r="I284" s="174" t="s">
        <v>727</v>
      </c>
      <c r="J284" s="174" t="s">
        <v>728</v>
      </c>
      <c r="K284" s="174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78987.649999999994</v>
      </c>
      <c r="G287" s="18">
        <v>28322.44</v>
      </c>
      <c r="H287" s="18">
        <v>3550.57</v>
      </c>
      <c r="I287" s="18">
        <v>22608.799999999999</v>
      </c>
      <c r="J287" s="18">
        <v>96366.59</v>
      </c>
      <c r="K287" s="18">
        <v>0</v>
      </c>
      <c r="L287" s="19">
        <f>SUM(F287:K287)</f>
        <v>229836.05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226.8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226.8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2114.4</v>
      </c>
      <c r="H293" s="18">
        <v>109648.12</v>
      </c>
      <c r="I293" s="18">
        <v>174.69</v>
      </c>
      <c r="J293" s="18">
        <v>0</v>
      </c>
      <c r="K293" s="18">
        <v>0</v>
      </c>
      <c r="L293" s="19">
        <f t="shared" si="14"/>
        <v>111937.20999999999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72.72</v>
      </c>
      <c r="I294" s="18">
        <v>0</v>
      </c>
      <c r="J294" s="18">
        <v>0</v>
      </c>
      <c r="K294" s="18">
        <v>0</v>
      </c>
      <c r="L294" s="19">
        <f t="shared" si="14"/>
        <v>72.72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18259.490000000002</v>
      </c>
      <c r="L296" s="19">
        <f t="shared" si="14"/>
        <v>18259.490000000002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78987.649999999994</v>
      </c>
      <c r="G301" s="42">
        <f t="shared" si="15"/>
        <v>30436.84</v>
      </c>
      <c r="H301" s="42">
        <f t="shared" si="15"/>
        <v>113498.20999999999</v>
      </c>
      <c r="I301" s="42">
        <f t="shared" si="15"/>
        <v>22783.489999999998</v>
      </c>
      <c r="J301" s="42">
        <f t="shared" si="15"/>
        <v>96366.59</v>
      </c>
      <c r="K301" s="42">
        <f t="shared" si="15"/>
        <v>18259.490000000002</v>
      </c>
      <c r="L301" s="41">
        <f t="shared" si="15"/>
        <v>360332.2699999999</v>
      </c>
      <c r="M301" s="8">
        <v>0</v>
      </c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4" t="s">
        <v>724</v>
      </c>
      <c r="G303" s="174" t="s">
        <v>725</v>
      </c>
      <c r="H303" s="174" t="s">
        <v>726</v>
      </c>
      <c r="I303" s="174" t="s">
        <v>727</v>
      </c>
      <c r="J303" s="174" t="s">
        <v>728</v>
      </c>
      <c r="K303" s="174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95254.9</v>
      </c>
      <c r="G306" s="18">
        <v>32654.68</v>
      </c>
      <c r="H306" s="18">
        <v>3972.83</v>
      </c>
      <c r="I306" s="18">
        <v>23545.17</v>
      </c>
      <c r="J306" s="18">
        <v>141358.64000000001</v>
      </c>
      <c r="K306" s="18">
        <v>0</v>
      </c>
      <c r="L306" s="19">
        <f>SUM(F306:K306)</f>
        <v>296786.21999999997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340.2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340.2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3171.6</v>
      </c>
      <c r="H312" s="18">
        <v>112871.32</v>
      </c>
      <c r="I312" s="18">
        <v>262.04000000000002</v>
      </c>
      <c r="J312" s="18">
        <v>0</v>
      </c>
      <c r="K312" s="18">
        <v>0</v>
      </c>
      <c r="L312" s="19">
        <f t="shared" si="16"/>
        <v>116304.96000000001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109.08</v>
      </c>
      <c r="I313" s="18">
        <v>0</v>
      </c>
      <c r="J313" s="18">
        <v>0</v>
      </c>
      <c r="K313" s="18">
        <v>0</v>
      </c>
      <c r="L313" s="19">
        <f t="shared" si="16"/>
        <v>109.08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23276.97</v>
      </c>
      <c r="L315" s="19">
        <f t="shared" si="16"/>
        <v>23276.97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95254.9</v>
      </c>
      <c r="G320" s="42">
        <f t="shared" si="17"/>
        <v>35826.28</v>
      </c>
      <c r="H320" s="42">
        <f t="shared" si="17"/>
        <v>117293.43000000001</v>
      </c>
      <c r="I320" s="42">
        <f t="shared" si="17"/>
        <v>23807.21</v>
      </c>
      <c r="J320" s="42">
        <f t="shared" si="17"/>
        <v>141358.64000000001</v>
      </c>
      <c r="K320" s="42">
        <f t="shared" si="17"/>
        <v>23276.97</v>
      </c>
      <c r="L320" s="41">
        <f t="shared" si="17"/>
        <v>436817.43000000005</v>
      </c>
      <c r="M320" s="8">
        <v>0</v>
      </c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4" t="s">
        <v>724</v>
      </c>
      <c r="G322" s="174" t="s">
        <v>725</v>
      </c>
      <c r="H322" s="174" t="s">
        <v>726</v>
      </c>
      <c r="I322" s="174" t="s">
        <v>727</v>
      </c>
      <c r="J322" s="174" t="s">
        <v>728</v>
      </c>
      <c r="K322" s="174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254921.91999999998</v>
      </c>
      <c r="G330" s="41">
        <f t="shared" si="20"/>
        <v>108551.84</v>
      </c>
      <c r="H330" s="41">
        <f t="shared" si="20"/>
        <v>268987.33999999997</v>
      </c>
      <c r="I330" s="41">
        <f t="shared" si="20"/>
        <v>54947.539999999994</v>
      </c>
      <c r="J330" s="41">
        <f t="shared" si="20"/>
        <v>251688.18</v>
      </c>
      <c r="K330" s="41">
        <f t="shared" si="20"/>
        <v>48527.320000000007</v>
      </c>
      <c r="L330" s="41">
        <f t="shared" si="20"/>
        <v>987624.14</v>
      </c>
      <c r="M330" s="8">
        <v>-9.276845958083868E-11</v>
      </c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254921.91999999998</v>
      </c>
      <c r="G344" s="41">
        <f>G330</f>
        <v>108551.84</v>
      </c>
      <c r="H344" s="41">
        <f>H330</f>
        <v>268987.33999999997</v>
      </c>
      <c r="I344" s="41">
        <f>I330</f>
        <v>54947.539999999994</v>
      </c>
      <c r="J344" s="41">
        <f>J330</f>
        <v>251688.18</v>
      </c>
      <c r="K344" s="47">
        <f>K330+K343</f>
        <v>48527.320000000007</v>
      </c>
      <c r="L344" s="41">
        <f>L330+L343</f>
        <v>987624.14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4" t="s">
        <v>724</v>
      </c>
      <c r="G346" s="174" t="s">
        <v>725</v>
      </c>
      <c r="H346" s="174" t="s">
        <v>726</v>
      </c>
      <c r="I346" s="174" t="s">
        <v>727</v>
      </c>
      <c r="J346" s="174" t="s">
        <v>728</v>
      </c>
      <c r="K346" s="174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51388.84</v>
      </c>
      <c r="G350" s="18">
        <v>18901.740000000002</v>
      </c>
      <c r="H350" s="18">
        <v>1415.51</v>
      </c>
      <c r="I350" s="18">
        <v>44548.85</v>
      </c>
      <c r="J350" s="18">
        <v>1020</v>
      </c>
      <c r="K350" s="18">
        <v>111.8</v>
      </c>
      <c r="L350" s="13">
        <f>SUM(F350:K350)</f>
        <v>117386.74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30833.3</v>
      </c>
      <c r="G351" s="18">
        <v>11341.04</v>
      </c>
      <c r="H351" s="18">
        <v>849.3</v>
      </c>
      <c r="I351" s="18">
        <v>19058.099999999999</v>
      </c>
      <c r="J351" s="18">
        <v>612</v>
      </c>
      <c r="K351" s="18">
        <v>67.08</v>
      </c>
      <c r="L351" s="19">
        <f>SUM(F351:K351)</f>
        <v>62760.82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46249.95</v>
      </c>
      <c r="G352" s="18">
        <v>17011.560000000001</v>
      </c>
      <c r="H352" s="18">
        <v>1273.96</v>
      </c>
      <c r="I352" s="18">
        <v>28587.15</v>
      </c>
      <c r="J352" s="18">
        <v>918</v>
      </c>
      <c r="K352" s="18">
        <v>100.62</v>
      </c>
      <c r="L352" s="19">
        <f>SUM(F352:K352)</f>
        <v>94141.239999999991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128472.09</v>
      </c>
      <c r="G354" s="47">
        <f t="shared" si="22"/>
        <v>47254.340000000004</v>
      </c>
      <c r="H354" s="47">
        <f t="shared" si="22"/>
        <v>3538.77</v>
      </c>
      <c r="I354" s="47">
        <f t="shared" si="22"/>
        <v>92194.1</v>
      </c>
      <c r="J354" s="47">
        <f t="shared" si="22"/>
        <v>2550</v>
      </c>
      <c r="K354" s="47">
        <f t="shared" si="22"/>
        <v>279.5</v>
      </c>
      <c r="L354" s="47">
        <f t="shared" si="22"/>
        <v>274288.8</v>
      </c>
      <c r="M354" s="8">
        <v>-2.3646862246096134E-11</v>
      </c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43507.65</v>
      </c>
      <c r="G359" s="18">
        <v>18433.38</v>
      </c>
      <c r="H359" s="18">
        <v>27650.07</v>
      </c>
      <c r="I359" s="56">
        <f>SUM(F359:H359)</f>
        <v>89591.1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1041.2</v>
      </c>
      <c r="G360" s="63">
        <v>624.72</v>
      </c>
      <c r="H360" s="63">
        <v>937.08</v>
      </c>
      <c r="I360" s="56">
        <f>SUM(F360:H360)</f>
        <v>2603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44548.85</v>
      </c>
      <c r="G361" s="47">
        <f>SUM(G359:G360)</f>
        <v>19058.100000000002</v>
      </c>
      <c r="H361" s="47">
        <f>SUM(H359:H360)</f>
        <v>28587.15</v>
      </c>
      <c r="I361" s="47">
        <f>SUM(I359:I360)</f>
        <v>92194.1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4" t="s">
        <v>724</v>
      </c>
      <c r="G363" s="174" t="s">
        <v>725</v>
      </c>
      <c r="H363" s="174" t="s">
        <v>726</v>
      </c>
      <c r="I363" s="174" t="s">
        <v>727</v>
      </c>
      <c r="J363" s="174" t="s">
        <v>728</v>
      </c>
      <c r="K363" s="174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19048</v>
      </c>
      <c r="I371" s="18">
        <v>0</v>
      </c>
      <c r="J371" s="18">
        <v>0</v>
      </c>
      <c r="K371" s="18">
        <v>0</v>
      </c>
      <c r="L371" s="13">
        <f t="shared" si="23"/>
        <v>19048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19048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19048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11.17</v>
      </c>
      <c r="I382" s="18">
        <v>0</v>
      </c>
      <c r="J382" s="24" t="s">
        <v>312</v>
      </c>
      <c r="K382" s="24" t="s">
        <v>312</v>
      </c>
      <c r="L382" s="56">
        <f t="shared" si="25"/>
        <v>11.17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7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11.17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11.17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20000</v>
      </c>
      <c r="H388" s="18">
        <v>82.69</v>
      </c>
      <c r="I388" s="18">
        <v>0</v>
      </c>
      <c r="J388" s="24" t="s">
        <v>312</v>
      </c>
      <c r="K388" s="24" t="s">
        <v>312</v>
      </c>
      <c r="L388" s="56">
        <f t="shared" si="26"/>
        <v>20082.689999999999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2.0099999999999998</v>
      </c>
      <c r="I391" s="18">
        <v>0</v>
      </c>
      <c r="J391" s="24" t="s">
        <v>312</v>
      </c>
      <c r="K391" s="24" t="s">
        <v>312</v>
      </c>
      <c r="L391" s="56">
        <f t="shared" si="26"/>
        <v>2.0099999999999998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7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84.7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20084.699999999997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7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95.87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20095.869999999995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4" t="s">
        <v>724</v>
      </c>
      <c r="G401" s="174" t="s">
        <v>725</v>
      </c>
      <c r="H401" s="174" t="s">
        <v>726</v>
      </c>
      <c r="I401" s="174" t="s">
        <v>727</v>
      </c>
      <c r="J401" s="174" t="s">
        <v>728</v>
      </c>
      <c r="K401" s="174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7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7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57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98683.57</v>
      </c>
      <c r="G432" s="18">
        <v>0</v>
      </c>
      <c r="H432" s="18">
        <v>0</v>
      </c>
      <c r="I432" s="56">
        <f t="shared" si="33"/>
        <v>98683.57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20000</v>
      </c>
      <c r="H433" s="18">
        <v>0</v>
      </c>
      <c r="I433" s="56">
        <f t="shared" si="33"/>
        <v>20000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98683.57</v>
      </c>
      <c r="G438" s="13">
        <f>SUM(G431:G437)</f>
        <v>20000</v>
      </c>
      <c r="H438" s="13">
        <f>SUM(H431:H437)</f>
        <v>0</v>
      </c>
      <c r="I438" s="13">
        <f>SUM(I431:I437)</f>
        <v>118683.57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98683.57</v>
      </c>
      <c r="G449" s="18">
        <v>20000</v>
      </c>
      <c r="H449" s="18">
        <v>0</v>
      </c>
      <c r="I449" s="56">
        <f>SUM(F449:H449)</f>
        <v>118683.57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98683.57</v>
      </c>
      <c r="G450" s="83">
        <f>SUM(G446:G449)</f>
        <v>20000</v>
      </c>
      <c r="H450" s="83">
        <f>SUM(H446:H449)</f>
        <v>0</v>
      </c>
      <c r="I450" s="83">
        <f>SUM(I446:I449)</f>
        <v>118683.57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4" t="s">
        <v>456</v>
      </c>
      <c r="E451" s="82"/>
      <c r="F451" s="42">
        <f>F444+F450</f>
        <v>98683.57</v>
      </c>
      <c r="G451" s="42">
        <f>G444+G450</f>
        <v>20000</v>
      </c>
      <c r="H451" s="42">
        <f>H444+H450</f>
        <v>0</v>
      </c>
      <c r="I451" s="42">
        <f>I444+I450</f>
        <v>118683.57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6" t="s">
        <v>883</v>
      </c>
      <c r="B455" s="105">
        <v>19</v>
      </c>
      <c r="C455" s="111">
        <v>1</v>
      </c>
      <c r="D455" s="2" t="s">
        <v>456</v>
      </c>
      <c r="E455" s="111"/>
      <c r="F455" s="18">
        <v>501962.59</v>
      </c>
      <c r="G455" s="18">
        <v>0</v>
      </c>
      <c r="H455" s="18">
        <v>0</v>
      </c>
      <c r="I455" s="18">
        <v>217804.72</v>
      </c>
      <c r="J455" s="18">
        <v>103587.7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8416606.2000000011</v>
      </c>
      <c r="G458" s="18">
        <f>G185</f>
        <v>269278.25</v>
      </c>
      <c r="H458" s="18">
        <f>11907.17+975716.97</f>
        <v>987624.14</v>
      </c>
      <c r="I458" s="18">
        <v>483.93</v>
      </c>
      <c r="J458" s="18">
        <f>95.87+20000</f>
        <v>20095.87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1700.7</v>
      </c>
      <c r="G459" s="18">
        <v>5010.55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8418306.9000000004</v>
      </c>
      <c r="G460" s="53">
        <f>SUM(G458:G459)</f>
        <v>274288.8</v>
      </c>
      <c r="H460" s="53">
        <f>SUM(H458:H459)</f>
        <v>987624.14</v>
      </c>
      <c r="I460" s="53">
        <f>SUM(I458:I459)</f>
        <v>483.93</v>
      </c>
      <c r="J460" s="53">
        <f>SUM(J458:J459)</f>
        <v>20095.87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8585662.5099999998</v>
      </c>
      <c r="G462" s="18">
        <f>L354</f>
        <v>274288.8</v>
      </c>
      <c r="H462" s="18">
        <v>987624.14</v>
      </c>
      <c r="I462" s="18">
        <v>19048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>
        <v>0</v>
      </c>
      <c r="I463" s="18">
        <v>0</v>
      </c>
      <c r="J463" s="18">
        <v>5000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8585662.5099999998</v>
      </c>
      <c r="G464" s="53">
        <f>SUM(G462:G463)</f>
        <v>274288.8</v>
      </c>
      <c r="H464" s="53">
        <f>SUM(H462:H463)</f>
        <v>987624.14</v>
      </c>
      <c r="I464" s="53">
        <f>SUM(I462:I463)</f>
        <v>19048</v>
      </c>
      <c r="J464" s="53">
        <f>SUM(J462:J463)</f>
        <v>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7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334606.98000000045</v>
      </c>
      <c r="G466" s="53">
        <f>(G455+G460)- G464</f>
        <v>0</v>
      </c>
      <c r="H466" s="53">
        <f>(H455+H460)- H464</f>
        <v>0</v>
      </c>
      <c r="I466" s="53">
        <f>(I455+I460)- I464</f>
        <v>199240.65</v>
      </c>
      <c r="J466" s="53">
        <f>(J455+J460)- J464</f>
        <v>118683.56999999999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2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1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1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1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88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8">
        <v>15</v>
      </c>
      <c r="G480" s="18">
        <v>0</v>
      </c>
      <c r="H480" s="18">
        <v>0</v>
      </c>
      <c r="I480" s="18">
        <v>0</v>
      </c>
      <c r="J480" s="18">
        <v>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8" t="s">
        <v>894</v>
      </c>
      <c r="G481" s="18">
        <v>0</v>
      </c>
      <c r="H481" s="18">
        <v>0</v>
      </c>
      <c r="I481" s="18">
        <v>0</v>
      </c>
      <c r="J481" s="18">
        <v>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8" t="s">
        <v>895</v>
      </c>
      <c r="G482" s="18">
        <v>0</v>
      </c>
      <c r="H482" s="18">
        <v>0</v>
      </c>
      <c r="I482" s="18">
        <v>0</v>
      </c>
      <c r="J482" s="18">
        <v>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4097790</v>
      </c>
      <c r="G483" s="18">
        <v>0</v>
      </c>
      <c r="H483" s="18">
        <v>0</v>
      </c>
      <c r="I483" s="18">
        <v>0</v>
      </c>
      <c r="J483" s="18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>
        <v>0</v>
      </c>
      <c r="H484" s="18">
        <v>0</v>
      </c>
      <c r="I484" s="18">
        <v>0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3000000</v>
      </c>
      <c r="G485" s="18">
        <v>0</v>
      </c>
      <c r="H485" s="18">
        <v>0</v>
      </c>
      <c r="I485" s="18">
        <v>0</v>
      </c>
      <c r="J485" s="18">
        <v>0</v>
      </c>
      <c r="K485" s="53">
        <f>SUM(F485:J485)</f>
        <v>3000000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275000</v>
      </c>
      <c r="G487" s="18">
        <v>0</v>
      </c>
      <c r="H487" s="18">
        <v>0</v>
      </c>
      <c r="I487" s="18">
        <v>0</v>
      </c>
      <c r="J487" s="18">
        <v>0</v>
      </c>
      <c r="K487" s="53">
        <f t="shared" si="34"/>
        <v>275000</v>
      </c>
      <c r="L487" s="24" t="s">
        <v>312</v>
      </c>
    </row>
    <row r="488" spans="1:12" s="52" customFormat="1" ht="12" customHeight="1" x14ac:dyDescent="0.2">
      <c r="A488" s="198" t="s">
        <v>656</v>
      </c>
      <c r="B488" s="199">
        <v>20</v>
      </c>
      <c r="C488" s="200">
        <v>9</v>
      </c>
      <c r="D488" s="201" t="s">
        <v>456</v>
      </c>
      <c r="E488" s="200"/>
      <c r="F488" s="18">
        <v>2725000</v>
      </c>
      <c r="G488" s="18">
        <v>0</v>
      </c>
      <c r="H488" s="18">
        <v>0</v>
      </c>
      <c r="I488" s="18">
        <v>0</v>
      </c>
      <c r="J488" s="18">
        <v>0</v>
      </c>
      <c r="K488" s="202">
        <f t="shared" si="34"/>
        <v>2725000</v>
      </c>
      <c r="L488" s="203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1546860.54-71523.75-78398.75-78398.75-85273.75-85273.75-92148.75-92148.75-97604.55-110618.49-0.25</f>
        <v>755471</v>
      </c>
      <c r="G489" s="18">
        <v>0</v>
      </c>
      <c r="H489" s="18">
        <v>0</v>
      </c>
      <c r="I489" s="18">
        <v>0</v>
      </c>
      <c r="J489" s="18">
        <v>0</v>
      </c>
      <c r="K489" s="53">
        <f t="shared" si="34"/>
        <v>755471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3">
        <v>11</v>
      </c>
      <c r="D490" s="39" t="s">
        <v>456</v>
      </c>
      <c r="E490" s="193"/>
      <c r="F490" s="42">
        <f>SUM(F488:F489)</f>
        <v>3480471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3480471</v>
      </c>
      <c r="L490" s="45" t="s">
        <v>312</v>
      </c>
    </row>
    <row r="491" spans="1:12" s="52" customFormat="1" ht="12" customHeight="1" x14ac:dyDescent="0.2">
      <c r="A491" s="198" t="s">
        <v>685</v>
      </c>
      <c r="B491" s="199">
        <v>20</v>
      </c>
      <c r="C491" s="200">
        <v>12</v>
      </c>
      <c r="D491" s="201" t="s">
        <v>456</v>
      </c>
      <c r="E491" s="200"/>
      <c r="F491" s="18">
        <v>275000</v>
      </c>
      <c r="G491" s="18">
        <v>0</v>
      </c>
      <c r="H491" s="18">
        <v>0</v>
      </c>
      <c r="I491" s="18">
        <v>0</v>
      </c>
      <c r="J491" s="18">
        <v>0</v>
      </c>
      <c r="K491" s="202">
        <f t="shared" si="34"/>
        <v>275000</v>
      </c>
      <c r="L491" s="203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64648.75+57773.75+0.5</f>
        <v>122423</v>
      </c>
      <c r="G492" s="18">
        <v>0</v>
      </c>
      <c r="H492" s="18">
        <v>0</v>
      </c>
      <c r="I492" s="18">
        <v>0</v>
      </c>
      <c r="J492" s="18">
        <v>0</v>
      </c>
      <c r="K492" s="53">
        <f t="shared" si="34"/>
        <v>122423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3">
        <v>14</v>
      </c>
      <c r="D493" s="39" t="s">
        <v>456</v>
      </c>
      <c r="E493" s="193"/>
      <c r="F493" s="42">
        <f>SUM(F491:F492)</f>
        <v>397423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397423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6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0</v>
      </c>
      <c r="H506" s="24" t="s">
        <v>312</v>
      </c>
      <c r="I506" s="18">
        <v>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4" t="s">
        <v>724</v>
      </c>
      <c r="G508" s="174" t="s">
        <v>725</v>
      </c>
      <c r="H508" s="174" t="s">
        <v>726</v>
      </c>
      <c r="I508" s="174" t="s">
        <v>727</v>
      </c>
      <c r="J508" s="174" t="s">
        <v>728</v>
      </c>
      <c r="K508" s="174" t="s">
        <v>729</v>
      </c>
      <c r="L508" s="106"/>
    </row>
    <row r="509" spans="1:12" s="52" customFormat="1" ht="12" customHeight="1" x14ac:dyDescent="0.2">
      <c r="A509" s="175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</f>
        <v>296737.12</v>
      </c>
      <c r="G511" s="18">
        <f t="shared" si="35"/>
        <v>138855.81</v>
      </c>
      <c r="H511" s="18">
        <f t="shared" si="35"/>
        <v>586483.13</v>
      </c>
      <c r="I511" s="18">
        <f t="shared" si="35"/>
        <v>11235.82</v>
      </c>
      <c r="J511" s="18">
        <f t="shared" si="35"/>
        <v>6565.85</v>
      </c>
      <c r="K511" s="18">
        <f t="shared" si="35"/>
        <v>0</v>
      </c>
      <c r="L511" s="88">
        <f>SUM(F511:K511)</f>
        <v>1039877.73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</f>
        <v>206812.98</v>
      </c>
      <c r="G512" s="18">
        <f t="shared" si="36"/>
        <v>100030.33</v>
      </c>
      <c r="H512" s="18">
        <f t="shared" si="36"/>
        <v>8736.5300000000007</v>
      </c>
      <c r="I512" s="18">
        <f t="shared" si="36"/>
        <v>2174.58</v>
      </c>
      <c r="J512" s="18">
        <f t="shared" si="36"/>
        <v>0</v>
      </c>
      <c r="K512" s="18">
        <f t="shared" si="36"/>
        <v>0</v>
      </c>
      <c r="L512" s="88">
        <f>SUM(F512:K512)</f>
        <v>317754.42000000004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</f>
        <v>246072.87</v>
      </c>
      <c r="G513" s="18">
        <f t="shared" si="37"/>
        <v>137856.89000000001</v>
      </c>
      <c r="H513" s="18">
        <f t="shared" si="37"/>
        <v>119225.83</v>
      </c>
      <c r="I513" s="18">
        <f t="shared" si="37"/>
        <v>1445.38</v>
      </c>
      <c r="J513" s="18">
        <f t="shared" si="37"/>
        <v>867.93</v>
      </c>
      <c r="K513" s="18">
        <f t="shared" si="37"/>
        <v>0</v>
      </c>
      <c r="L513" s="88">
        <f>SUM(F513:K513)</f>
        <v>505468.9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3">
        <v>4</v>
      </c>
      <c r="D514" s="194" t="s">
        <v>456</v>
      </c>
      <c r="E514" s="193"/>
      <c r="F514" s="108">
        <f>SUM(F511:F513)</f>
        <v>749622.97</v>
      </c>
      <c r="G514" s="108">
        <f t="shared" ref="G514:L514" si="38">SUM(G511:G513)</f>
        <v>376743.03</v>
      </c>
      <c r="H514" s="108">
        <f t="shared" si="38"/>
        <v>714445.49</v>
      </c>
      <c r="I514" s="108">
        <f t="shared" si="38"/>
        <v>14855.779999999999</v>
      </c>
      <c r="J514" s="108">
        <f t="shared" si="38"/>
        <v>7433.7800000000007</v>
      </c>
      <c r="K514" s="108">
        <f t="shared" si="38"/>
        <v>0</v>
      </c>
      <c r="L514" s="89">
        <f t="shared" si="38"/>
        <v>1863101.0499999998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282904.73</v>
      </c>
      <c r="I516" s="18">
        <v>0</v>
      </c>
      <c r="J516" s="18">
        <v>0</v>
      </c>
      <c r="K516" s="18">
        <v>0</v>
      </c>
      <c r="L516" s="88">
        <f>SUM(F516:K516)</f>
        <v>282904.73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24471.75</v>
      </c>
      <c r="I518" s="18">
        <v>0</v>
      </c>
      <c r="J518" s="18">
        <v>0</v>
      </c>
      <c r="K518" s="18">
        <v>0</v>
      </c>
      <c r="L518" s="88">
        <f>SUM(F518:K518)</f>
        <v>24471.75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5" t="s">
        <v>456</v>
      </c>
      <c r="E519" s="107"/>
      <c r="F519" s="89">
        <f>SUM(F516:F518)</f>
        <v>0</v>
      </c>
      <c r="G519" s="89">
        <f t="shared" ref="G519:L519" si="39">SUM(G516:G518)</f>
        <v>0</v>
      </c>
      <c r="H519" s="89">
        <f t="shared" si="39"/>
        <v>307376.48</v>
      </c>
      <c r="I519" s="89">
        <f t="shared" si="39"/>
        <v>0</v>
      </c>
      <c r="J519" s="89">
        <f t="shared" si="39"/>
        <v>0</v>
      </c>
      <c r="K519" s="89">
        <f t="shared" si="39"/>
        <v>0</v>
      </c>
      <c r="L519" s="89">
        <f t="shared" si="39"/>
        <v>307376.48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73054.95</v>
      </c>
      <c r="G521" s="18">
        <v>19059.05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92114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35190.449999999997</v>
      </c>
      <c r="G522" s="18">
        <v>9487.1200000000008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44677.57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52785.48</v>
      </c>
      <c r="G523" s="18">
        <v>14230.75</v>
      </c>
      <c r="H523" s="18">
        <v>0</v>
      </c>
      <c r="I523" s="18">
        <v>0</v>
      </c>
      <c r="J523" s="18">
        <v>0</v>
      </c>
      <c r="K523" s="18">
        <v>0</v>
      </c>
      <c r="L523" s="88">
        <f>SUM(F523:K523)</f>
        <v>67016.23000000001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5" t="s">
        <v>456</v>
      </c>
      <c r="E524" s="107"/>
      <c r="F524" s="89">
        <f>SUM(F521:F523)</f>
        <v>161030.88</v>
      </c>
      <c r="G524" s="89">
        <f t="shared" ref="G524:L524" si="40">SUM(G521:G523)</f>
        <v>42776.92</v>
      </c>
      <c r="H524" s="89">
        <f t="shared" si="40"/>
        <v>0</v>
      </c>
      <c r="I524" s="89">
        <f t="shared" si="40"/>
        <v>0</v>
      </c>
      <c r="J524" s="89">
        <f t="shared" si="40"/>
        <v>0</v>
      </c>
      <c r="K524" s="89">
        <f t="shared" si="40"/>
        <v>0</v>
      </c>
      <c r="L524" s="89">
        <f t="shared" si="40"/>
        <v>203807.80000000002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2" t="s">
        <v>312</v>
      </c>
      <c r="G525" s="192" t="s">
        <v>312</v>
      </c>
      <c r="H525" s="192" t="s">
        <v>312</v>
      </c>
      <c r="I525" s="192" t="s">
        <v>312</v>
      </c>
      <c r="J525" s="192" t="s">
        <v>312</v>
      </c>
      <c r="K525" s="192" t="s">
        <v>312</v>
      </c>
      <c r="L525" s="192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5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0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24663.33</v>
      </c>
      <c r="G531" s="18">
        <v>1920</v>
      </c>
      <c r="H531" s="18">
        <v>11688</v>
      </c>
      <c r="I531" s="18">
        <v>0</v>
      </c>
      <c r="J531" s="18">
        <v>0</v>
      </c>
      <c r="K531" s="18">
        <v>0</v>
      </c>
      <c r="L531" s="88">
        <f>SUM(F531:K531)</f>
        <v>38271.33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14770.32</v>
      </c>
      <c r="G532" s="18">
        <v>1240.8599999999999</v>
      </c>
      <c r="H532" s="18">
        <v>1531.2</v>
      </c>
      <c r="I532" s="18">
        <v>0</v>
      </c>
      <c r="J532" s="18">
        <v>0</v>
      </c>
      <c r="K532" s="18">
        <v>0</v>
      </c>
      <c r="L532" s="88">
        <f>SUM(F532:K532)</f>
        <v>17542.38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22155.49</v>
      </c>
      <c r="G533" s="18">
        <v>1861.3</v>
      </c>
      <c r="H533" s="18">
        <v>3007.95</v>
      </c>
      <c r="I533" s="18">
        <v>0</v>
      </c>
      <c r="J533" s="18">
        <v>0</v>
      </c>
      <c r="K533" s="18">
        <v>0</v>
      </c>
      <c r="L533" s="88">
        <f>SUM(F533:K533)</f>
        <v>27024.74</v>
      </c>
      <c r="M533" s="8"/>
    </row>
    <row r="534" spans="1:13" s="3" customFormat="1" ht="12" customHeight="1" thickTop="1" thickBot="1" x14ac:dyDescent="0.2">
      <c r="A534" s="130" t="s">
        <v>71</v>
      </c>
      <c r="B534" s="189">
        <v>21</v>
      </c>
      <c r="C534" s="189">
        <v>20</v>
      </c>
      <c r="D534" s="190" t="s">
        <v>456</v>
      </c>
      <c r="E534" s="189"/>
      <c r="F534" s="191">
        <f>SUM(F531:F533)</f>
        <v>61589.14</v>
      </c>
      <c r="G534" s="191">
        <f t="shared" ref="G534:L534" si="42">SUM(G531:G533)</f>
        <v>5022.16</v>
      </c>
      <c r="H534" s="191">
        <f t="shared" si="42"/>
        <v>16227.150000000001</v>
      </c>
      <c r="I534" s="191">
        <f t="shared" si="42"/>
        <v>0</v>
      </c>
      <c r="J534" s="191">
        <f t="shared" si="42"/>
        <v>0</v>
      </c>
      <c r="K534" s="191">
        <f t="shared" si="42"/>
        <v>0</v>
      </c>
      <c r="L534" s="191">
        <f t="shared" si="42"/>
        <v>82838.450000000012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5" t="s">
        <v>456</v>
      </c>
      <c r="E535" s="107"/>
      <c r="F535" s="89">
        <f>F514+F519+F524+F529+F534</f>
        <v>972242.99</v>
      </c>
      <c r="G535" s="89">
        <f t="shared" ref="G535:L535" si="43">G514+G519+G524+G529+G534</f>
        <v>424542.11</v>
      </c>
      <c r="H535" s="89">
        <f t="shared" si="43"/>
        <v>1038049.12</v>
      </c>
      <c r="I535" s="89">
        <f t="shared" si="43"/>
        <v>14855.779999999999</v>
      </c>
      <c r="J535" s="89">
        <f t="shared" si="43"/>
        <v>7433.7800000000007</v>
      </c>
      <c r="K535" s="89">
        <f t="shared" si="43"/>
        <v>0</v>
      </c>
      <c r="L535" s="89">
        <f t="shared" si="43"/>
        <v>2457123.7799999998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1039877.73</v>
      </c>
      <c r="G539" s="87">
        <f>L516</f>
        <v>282904.73</v>
      </c>
      <c r="H539" s="87">
        <f>L521</f>
        <v>92114</v>
      </c>
      <c r="I539" s="87">
        <f>L526</f>
        <v>0</v>
      </c>
      <c r="J539" s="87">
        <f>L531</f>
        <v>38271.33</v>
      </c>
      <c r="K539" s="87">
        <f>SUM(F539:J539)</f>
        <v>1453167.79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317754.42000000004</v>
      </c>
      <c r="G540" s="87">
        <f>L517</f>
        <v>0</v>
      </c>
      <c r="H540" s="87">
        <f>L522</f>
        <v>44677.57</v>
      </c>
      <c r="I540" s="87">
        <f>L527</f>
        <v>0</v>
      </c>
      <c r="J540" s="87">
        <f>L532</f>
        <v>17542.38</v>
      </c>
      <c r="K540" s="87">
        <f>SUM(F540:J540)</f>
        <v>379974.37000000005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505468.9</v>
      </c>
      <c r="G541" s="87">
        <f>L518</f>
        <v>24471.75</v>
      </c>
      <c r="H541" s="87">
        <f>L523</f>
        <v>67016.23000000001</v>
      </c>
      <c r="I541" s="87">
        <f>L528</f>
        <v>0</v>
      </c>
      <c r="J541" s="87">
        <f>L533</f>
        <v>27024.74</v>
      </c>
      <c r="K541" s="87">
        <f>SUM(F541:J541)</f>
        <v>623981.62</v>
      </c>
      <c r="L541" s="24" t="s">
        <v>312</v>
      </c>
      <c r="M541" s="8"/>
    </row>
    <row r="542" spans="1:13" s="3" customFormat="1" ht="12" customHeight="1" thickTop="1" x14ac:dyDescent="0.15">
      <c r="A542" s="169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1863101.0499999998</v>
      </c>
      <c r="G542" s="89">
        <f t="shared" si="44"/>
        <v>307376.48</v>
      </c>
      <c r="H542" s="89">
        <f t="shared" si="44"/>
        <v>203807.80000000002</v>
      </c>
      <c r="I542" s="89">
        <f t="shared" si="44"/>
        <v>0</v>
      </c>
      <c r="J542" s="89">
        <f t="shared" si="44"/>
        <v>82838.450000000012</v>
      </c>
      <c r="K542" s="89">
        <f t="shared" si="44"/>
        <v>2457123.7800000003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4" t="s">
        <v>724</v>
      </c>
      <c r="G544" s="174" t="s">
        <v>725</v>
      </c>
      <c r="H544" s="174" t="s">
        <v>726</v>
      </c>
      <c r="I544" s="174" t="s">
        <v>727</v>
      </c>
      <c r="J544" s="174" t="s">
        <v>728</v>
      </c>
      <c r="K544" s="174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3">
        <v>4</v>
      </c>
      <c r="D550" s="194" t="s">
        <v>456</v>
      </c>
      <c r="E550" s="193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4" t="s">
        <v>456</v>
      </c>
      <c r="E555" s="107"/>
      <c r="F555" s="89">
        <f t="shared" ref="F555:L555" si="46">SUM(F552:F554)</f>
        <v>0</v>
      </c>
      <c r="G555" s="89">
        <f t="shared" si="46"/>
        <v>0</v>
      </c>
      <c r="H555" s="89">
        <f t="shared" si="46"/>
        <v>0</v>
      </c>
      <c r="I555" s="89">
        <f t="shared" si="46"/>
        <v>0</v>
      </c>
      <c r="J555" s="89">
        <f t="shared" si="46"/>
        <v>0</v>
      </c>
      <c r="K555" s="89">
        <f t="shared" si="46"/>
        <v>0</v>
      </c>
      <c r="L555" s="89">
        <f t="shared" si="46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89">
        <v>22</v>
      </c>
      <c r="C560" s="189">
        <v>12</v>
      </c>
      <c r="D560" s="195" t="s">
        <v>456</v>
      </c>
      <c r="E560" s="189"/>
      <c r="F560" s="191">
        <f>SUM(F557:F559)</f>
        <v>0</v>
      </c>
      <c r="G560" s="191">
        <f t="shared" ref="G560:L560" si="47">SUM(G557:G559)</f>
        <v>0</v>
      </c>
      <c r="H560" s="191">
        <f t="shared" si="47"/>
        <v>0</v>
      </c>
      <c r="I560" s="191">
        <f t="shared" si="47"/>
        <v>0</v>
      </c>
      <c r="J560" s="191">
        <f t="shared" si="47"/>
        <v>0</v>
      </c>
      <c r="K560" s="191">
        <f t="shared" si="47"/>
        <v>0</v>
      </c>
      <c r="L560" s="191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5" t="s">
        <v>456</v>
      </c>
      <c r="E561" s="107"/>
      <c r="F561" s="89">
        <f>F550+F555+F560</f>
        <v>0</v>
      </c>
      <c r="G561" s="89">
        <f t="shared" ref="G561:L561" si="48">G550+G555+G560</f>
        <v>0</v>
      </c>
      <c r="H561" s="89">
        <f t="shared" si="48"/>
        <v>0</v>
      </c>
      <c r="I561" s="89">
        <f t="shared" si="48"/>
        <v>0</v>
      </c>
      <c r="J561" s="89">
        <f t="shared" si="48"/>
        <v>0</v>
      </c>
      <c r="K561" s="89">
        <f t="shared" si="48"/>
        <v>0</v>
      </c>
      <c r="L561" s="89">
        <f t="shared" si="48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237254.19</v>
      </c>
      <c r="G569" s="18">
        <v>3562.56</v>
      </c>
      <c r="H569" s="18">
        <v>52213.24</v>
      </c>
      <c r="I569" s="87">
        <f t="shared" si="49"/>
        <v>293029.99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5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5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59416.33</v>
      </c>
      <c r="G572" s="18">
        <v>0</v>
      </c>
      <c r="H572" s="18">
        <v>39935.339999999997</v>
      </c>
      <c r="I572" s="87">
        <f t="shared" si="49"/>
        <v>99351.67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5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19337.099999999999</v>
      </c>
      <c r="I574" s="87">
        <f t="shared" si="49"/>
        <v>19337.099999999999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0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6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118382.1</v>
      </c>
      <c r="I581" s="18">
        <v>70848.84</v>
      </c>
      <c r="J581" s="18">
        <v>114746.39</v>
      </c>
      <c r="K581" s="104">
        <f t="shared" ref="K581:K587" si="50">SUM(H581:J581)</f>
        <v>303977.33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38271.33</v>
      </c>
      <c r="I582" s="18">
        <v>17542.38</v>
      </c>
      <c r="J582" s="18">
        <v>27024.74</v>
      </c>
      <c r="K582" s="104">
        <f t="shared" si="50"/>
        <v>82838.450000000012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13158.51</v>
      </c>
      <c r="K583" s="104">
        <f t="shared" si="50"/>
        <v>13158.51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2429.92</v>
      </c>
      <c r="J584" s="18">
        <v>3644.87</v>
      </c>
      <c r="K584" s="104">
        <f t="shared" si="50"/>
        <v>6074.79</v>
      </c>
      <c r="L584" s="24" t="s">
        <v>312</v>
      </c>
      <c r="M584" s="8"/>
    </row>
    <row r="585" spans="1:13" s="3" customFormat="1" ht="12" customHeight="1" x14ac:dyDescent="0.15">
      <c r="A585" s="168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5122.43</v>
      </c>
      <c r="I585" s="18">
        <v>0</v>
      </c>
      <c r="J585" s="18">
        <v>0</v>
      </c>
      <c r="K585" s="104">
        <f t="shared" si="50"/>
        <v>5122.43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7">
        <v>2700</v>
      </c>
      <c r="G588" s="148" t="s">
        <v>97</v>
      </c>
      <c r="H588" s="108">
        <f>SUM(H581:H587)</f>
        <v>161775.85999999999</v>
      </c>
      <c r="I588" s="108">
        <f>SUM(I581:I587)</f>
        <v>90821.14</v>
      </c>
      <c r="J588" s="108">
        <f>SUM(J581:J587)</f>
        <v>158574.51</v>
      </c>
      <c r="K588" s="108">
        <f>SUM(K581:K587)</f>
        <v>411171.51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</f>
        <v>31806.71</v>
      </c>
      <c r="I594" s="18">
        <f>J221</f>
        <v>19537.25</v>
      </c>
      <c r="J594" s="18">
        <f>J239+J282+J301+J320</f>
        <v>275504.01</v>
      </c>
      <c r="K594" s="104">
        <f>SUM(H594:J594)</f>
        <v>326847.97000000003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8" t="s">
        <v>500</v>
      </c>
      <c r="G595" s="147">
        <v>700</v>
      </c>
      <c r="H595" s="108">
        <f>SUM(H592:H594)</f>
        <v>31806.71</v>
      </c>
      <c r="I595" s="108">
        <f>SUM(I592:I594)</f>
        <v>19537.25</v>
      </c>
      <c r="J595" s="108">
        <f>SUM(J592:J594)</f>
        <v>275504.01</v>
      </c>
      <c r="K595" s="108">
        <f>SUM(K592:K594)</f>
        <v>326847.97000000003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4" t="s">
        <v>724</v>
      </c>
      <c r="G599" s="174" t="s">
        <v>725</v>
      </c>
      <c r="H599" s="174" t="s">
        <v>726</v>
      </c>
      <c r="I599" s="174" t="s">
        <v>727</v>
      </c>
      <c r="J599" s="174" t="s">
        <v>728</v>
      </c>
      <c r="K599" s="174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3050</v>
      </c>
      <c r="G601" s="18">
        <f>ROUND(F601*0.0765,2)</f>
        <v>233.33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3283.33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5210</v>
      </c>
      <c r="G602" s="18">
        <f>ROUND(F602*0.0765,2)</f>
        <v>398.57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5608.57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3015</v>
      </c>
      <c r="G603" s="18">
        <f>ROUND(F603*0.0765,2)</f>
        <v>230.65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3245.65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11275</v>
      </c>
      <c r="G604" s="108">
        <f t="shared" si="51"/>
        <v>862.55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12137.55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49" t="s">
        <v>53</v>
      </c>
      <c r="G606" s="150"/>
      <c r="H606" s="150"/>
      <c r="I606" s="149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490053.13</v>
      </c>
      <c r="H607" s="109">
        <f>SUM(F44)</f>
        <v>490053.13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34096.07</v>
      </c>
      <c r="H608" s="109">
        <f>SUM(G44)</f>
        <v>34096.07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131089.14000000001</v>
      </c>
      <c r="H609" s="109">
        <f>SUM(H44)</f>
        <v>131089.14000000001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231166.59</v>
      </c>
      <c r="H610" s="109">
        <f>SUM(I44)</f>
        <v>231166.59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118683.57</v>
      </c>
      <c r="H611" s="109">
        <f>SUM(J44)</f>
        <v>118683.57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334606.98</v>
      </c>
      <c r="H612" s="109">
        <f>F466</f>
        <v>334606.98000000045</v>
      </c>
      <c r="I612" s="121" t="s">
        <v>106</v>
      </c>
      <c r="J612" s="109">
        <f t="shared" ref="J612:J645" si="52">G612-H612</f>
        <v>-4.6566128730773926E-10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52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199240.65</v>
      </c>
      <c r="H615" s="109">
        <f>I466</f>
        <v>199240.65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118683.57</v>
      </c>
      <c r="H616" s="109">
        <f>J466</f>
        <v>118683.56999999999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8416606.2000000011</v>
      </c>
      <c r="H617" s="104">
        <f>SUM(F458)</f>
        <v>8416606.2000000011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269278.25</v>
      </c>
      <c r="H618" s="104">
        <f>SUM(G458)</f>
        <v>269278.25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987624.14</v>
      </c>
      <c r="H619" s="104">
        <f>SUM(H458)</f>
        <v>987624.14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483.93</v>
      </c>
      <c r="H620" s="104">
        <f>SUM(I458)</f>
        <v>483.93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20095.87</v>
      </c>
      <c r="H621" s="104">
        <f>SUM(J458)</f>
        <v>20095.87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8585662.5099999998</v>
      </c>
      <c r="H622" s="104">
        <f>SUM(F462)</f>
        <v>8585662.5099999998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987624.14</v>
      </c>
      <c r="H623" s="104">
        <f>SUM(H462)</f>
        <v>987624.14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92194.1</v>
      </c>
      <c r="H624" s="104">
        <f>I361</f>
        <v>92194.1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274288.8</v>
      </c>
      <c r="H625" s="104">
        <f>SUM(G462)</f>
        <v>274288.8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19048</v>
      </c>
      <c r="H626" s="104">
        <f>SUM(I462)</f>
        <v>19048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6" customFormat="1" ht="12" customHeight="1" x14ac:dyDescent="0.15">
      <c r="A627" s="158"/>
      <c r="B627" s="159"/>
      <c r="C627" s="159"/>
      <c r="D627" s="159"/>
      <c r="E627" s="159"/>
      <c r="F627" s="160" t="s">
        <v>501</v>
      </c>
      <c r="G627" s="150">
        <f>SUM(L400)</f>
        <v>20095.869999999995</v>
      </c>
      <c r="H627" s="161">
        <f>SUM(J458)</f>
        <v>20095.87</v>
      </c>
      <c r="I627" s="162" t="s">
        <v>119</v>
      </c>
      <c r="J627" s="150">
        <f t="shared" si="52"/>
        <v>0</v>
      </c>
      <c r="K627" s="163"/>
      <c r="L627" s="164"/>
      <c r="M627" s="165"/>
    </row>
    <row r="628" spans="1:13" s="166" customFormat="1" ht="12" customHeight="1" x14ac:dyDescent="0.15">
      <c r="A628" s="158"/>
      <c r="B628" s="159"/>
      <c r="C628" s="159"/>
      <c r="D628" s="159"/>
      <c r="E628" s="159"/>
      <c r="F628" s="160" t="s">
        <v>502</v>
      </c>
      <c r="G628" s="150">
        <f>SUM(L426)</f>
        <v>0</v>
      </c>
      <c r="H628" s="161">
        <f>SUM(J462)</f>
        <v>0</v>
      </c>
      <c r="I628" s="162" t="s">
        <v>126</v>
      </c>
      <c r="J628" s="150">
        <f t="shared" si="52"/>
        <v>0</v>
      </c>
      <c r="K628" s="163"/>
      <c r="L628" s="164"/>
      <c r="M628" s="165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98683.57</v>
      </c>
      <c r="H629" s="104">
        <f>SUM(F451)</f>
        <v>98683.57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20000</v>
      </c>
      <c r="H630" s="104">
        <f>SUM(G451)</f>
        <v>20000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118683.57</v>
      </c>
      <c r="H632" s="104">
        <f>SUM(I451)</f>
        <v>118683.57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95.87</v>
      </c>
      <c r="H634" s="104">
        <f>H400</f>
        <v>95.87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20095.87</v>
      </c>
      <c r="H636" s="104">
        <f>L400</f>
        <v>20095.869999999995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411171.51</v>
      </c>
      <c r="H637" s="104">
        <f>L200+L218+L236</f>
        <v>411171.51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326847.97000000003</v>
      </c>
      <c r="H638" s="104">
        <f>(J249+J330)-(J247+J328)</f>
        <v>326847.96999999997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161775.85999999999</v>
      </c>
      <c r="H639" s="104">
        <f>H588</f>
        <v>161775.85999999999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90821.14</v>
      </c>
      <c r="H640" s="104">
        <f>I588</f>
        <v>90821.14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158574.50999999998</v>
      </c>
      <c r="H641" s="104">
        <f>J588</f>
        <v>158574.51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77693.37</v>
      </c>
      <c r="H642" s="104">
        <f>K255+K337</f>
        <v>77693.37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3865048.35</v>
      </c>
      <c r="G650" s="19">
        <f>(L221+L301+L351)</f>
        <v>2315019.7199999993</v>
      </c>
      <c r="H650" s="19">
        <f>(L239+L320+L352)</f>
        <v>3158641.51</v>
      </c>
      <c r="I650" s="19">
        <f>SUM(F650:H650)</f>
        <v>9338709.5799999982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33231.942460562008</v>
      </c>
      <c r="G651" s="19">
        <f>(L351/IF(SUM(L350:L352)=0,1,SUM(L350:L352))*(SUM(G89:G102)))</f>
        <v>17767.4578833835</v>
      </c>
      <c r="H651" s="19">
        <f>(L352/IF(SUM(L350:L352)=0,1,SUM(L350:L352))*(SUM(G89:G102)))</f>
        <v>26651.189656054492</v>
      </c>
      <c r="I651" s="19">
        <f>SUM(F651:H651)</f>
        <v>77650.59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160495.85999999999</v>
      </c>
      <c r="G652" s="19">
        <f>(L218+L298)-(J218+J298)</f>
        <v>90053.14</v>
      </c>
      <c r="H652" s="19">
        <f>(L236+L317)-(J236+J317)</f>
        <v>157422.50999999998</v>
      </c>
      <c r="I652" s="19">
        <f>SUM(F652:H652)</f>
        <v>407971.51</v>
      </c>
      <c r="J652"/>
      <c r="K652" s="13"/>
      <c r="L652" s="13"/>
      <c r="M652" s="9"/>
    </row>
    <row r="653" spans="1:13" s="3" customFormat="1" ht="12" customHeight="1" x14ac:dyDescent="0.15">
      <c r="A653" s="196" t="s">
        <v>142</v>
      </c>
      <c r="B653" s="166"/>
      <c r="C653" s="166"/>
      <c r="D653" s="166"/>
      <c r="E653" s="166"/>
      <c r="F653" s="197">
        <f>SUM(F565:F577)+SUM(H592:H594)+SUM(L601)</f>
        <v>331760.56000000006</v>
      </c>
      <c r="G653" s="197">
        <f>SUM(G565:G577)+SUM(I592:I594)+L602</f>
        <v>28708.38</v>
      </c>
      <c r="H653" s="197">
        <f>SUM(H565:H577)+SUM(J592:J594)+L603</f>
        <v>390235.34</v>
      </c>
      <c r="I653" s="19">
        <f>SUM(F653:H653)</f>
        <v>750704.28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3339559.9875394381</v>
      </c>
      <c r="G654" s="19">
        <f>G650-SUM(G651:G653)</f>
        <v>2178490.7421166156</v>
      </c>
      <c r="H654" s="19">
        <f>H650-SUM(H651:H653)</f>
        <v>2584332.4703439455</v>
      </c>
      <c r="I654" s="19">
        <f>I650-SUM(I651:I653)</f>
        <v>8102383.1999999983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4">
        <v>266.89999999999998</v>
      </c>
      <c r="G655" s="245">
        <v>141.69</v>
      </c>
      <c r="H655" s="245">
        <v>195.45</v>
      </c>
      <c r="I655" s="19">
        <f>SUM(F655:H655)</f>
        <v>604.04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12512.4</v>
      </c>
      <c r="G657" s="19">
        <f>ROUND(G654/G655,2)</f>
        <v>15375.05</v>
      </c>
      <c r="H657" s="19">
        <f>ROUND(H654/H655,2)</f>
        <v>13222.47</v>
      </c>
      <c r="I657" s="19">
        <f>ROUND(I654/I655,2)</f>
        <v>13413.65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-7.56</v>
      </c>
      <c r="I660" s="19">
        <f>SUM(F660:H660)</f>
        <v>-7.56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12512.4</v>
      </c>
      <c r="G662" s="19">
        <f>ROUND((G654+G659)/(G655+G660),2)</f>
        <v>15375.05</v>
      </c>
      <c r="H662" s="19">
        <f>ROUND((H654+H659)/(H655+H660),2)</f>
        <v>13754.5</v>
      </c>
      <c r="I662" s="19">
        <f>ROUND((I654+I659)/(I655+I660),2)</f>
        <v>13583.66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54F-2AD9-412F-839C-F3B4B66637E8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0" t="s">
        <v>816</v>
      </c>
      <c r="B1" s="229" t="str">
        <f>'DOE25'!A2</f>
        <v>Milton SD</v>
      </c>
      <c r="C1" s="235" t="s">
        <v>870</v>
      </c>
    </row>
    <row r="2" spans="1:3" x14ac:dyDescent="0.2">
      <c r="A2" s="230"/>
      <c r="B2" s="229"/>
    </row>
    <row r="3" spans="1:3" x14ac:dyDescent="0.2">
      <c r="A3" s="270" t="s">
        <v>815</v>
      </c>
      <c r="B3" s="270"/>
      <c r="C3" s="270"/>
    </row>
    <row r="4" spans="1:3" x14ac:dyDescent="0.2">
      <c r="A4" s="233"/>
      <c r="B4" s="234" t="str">
        <f>'DOE25'!H1</f>
        <v>DOE 25  2010-2011</v>
      </c>
      <c r="C4" s="233"/>
    </row>
    <row r="5" spans="1:3" x14ac:dyDescent="0.2">
      <c r="A5" s="230"/>
      <c r="B5" s="229"/>
    </row>
    <row r="6" spans="1:3" x14ac:dyDescent="0.2">
      <c r="A6" s="224"/>
      <c r="B6" s="269" t="s">
        <v>814</v>
      </c>
      <c r="C6" s="269"/>
    </row>
    <row r="7" spans="1:3" x14ac:dyDescent="0.2">
      <c r="A7" s="236" t="s">
        <v>817</v>
      </c>
      <c r="B7" s="267" t="s">
        <v>813</v>
      </c>
      <c r="C7" s="268"/>
    </row>
    <row r="8" spans="1:3" x14ac:dyDescent="0.2">
      <c r="B8" s="225" t="s">
        <v>54</v>
      </c>
      <c r="C8" s="225" t="s">
        <v>807</v>
      </c>
    </row>
    <row r="9" spans="1:3" x14ac:dyDescent="0.2">
      <c r="A9" s="33" t="s">
        <v>808</v>
      </c>
      <c r="B9" s="226">
        <f>'DOE25'!F189+'DOE25'!F207+'DOE25'!F225+'DOE25'!F268+'DOE25'!F287+'DOE25'!F306</f>
        <v>2353662.9499999997</v>
      </c>
      <c r="C9" s="226">
        <f>'DOE25'!G189+'DOE25'!G207+'DOE25'!G225+'DOE25'!G268+'DOE25'!G287+'DOE25'!G306</f>
        <v>947118.37999999989</v>
      </c>
    </row>
    <row r="10" spans="1:3" x14ac:dyDescent="0.2">
      <c r="A10" t="s">
        <v>810</v>
      </c>
      <c r="B10" s="237">
        <v>2290652.11</v>
      </c>
      <c r="C10" s="237">
        <v>887703.16</v>
      </c>
    </row>
    <row r="11" spans="1:3" x14ac:dyDescent="0.2">
      <c r="A11" t="s">
        <v>811</v>
      </c>
      <c r="B11" s="237">
        <v>15793.84</v>
      </c>
      <c r="C11" s="237">
        <v>55803.12</v>
      </c>
    </row>
    <row r="12" spans="1:3" x14ac:dyDescent="0.2">
      <c r="A12" t="s">
        <v>812</v>
      </c>
      <c r="B12" s="237">
        <v>47217</v>
      </c>
      <c r="C12" s="237">
        <v>3612.1</v>
      </c>
    </row>
    <row r="13" spans="1:3" x14ac:dyDescent="0.2">
      <c r="A13" t="str">
        <f>IF(B9=B13,IF(C9=C13,"Check Total OK","Check Total Error"),"Check Total Error")</f>
        <v>Check Total OK</v>
      </c>
      <c r="B13" s="228">
        <f>SUM(B10:B12)</f>
        <v>2353662.9499999997</v>
      </c>
      <c r="C13" s="228">
        <f>SUM(C10:C12)</f>
        <v>947118.38</v>
      </c>
    </row>
    <row r="14" spans="1:3" x14ac:dyDescent="0.2">
      <c r="B14" s="227"/>
      <c r="C14" s="227"/>
    </row>
    <row r="15" spans="1:3" x14ac:dyDescent="0.2">
      <c r="B15" s="269" t="s">
        <v>814</v>
      </c>
      <c r="C15" s="269"/>
    </row>
    <row r="16" spans="1:3" x14ac:dyDescent="0.2">
      <c r="A16" s="236" t="s">
        <v>818</v>
      </c>
      <c r="B16" s="267" t="s">
        <v>738</v>
      </c>
      <c r="C16" s="268"/>
    </row>
    <row r="17" spans="1:3" x14ac:dyDescent="0.2">
      <c r="B17" s="225" t="s">
        <v>54</v>
      </c>
      <c r="C17" s="225" t="s">
        <v>807</v>
      </c>
    </row>
    <row r="18" spans="1:3" x14ac:dyDescent="0.2">
      <c r="A18" s="33" t="s">
        <v>808</v>
      </c>
      <c r="B18" s="226">
        <f>'DOE25'!F190+'DOE25'!F208+'DOE25'!F226+'DOE25'!F269+'DOE25'!F288+'DOE25'!F307</f>
        <v>749622.97</v>
      </c>
      <c r="C18" s="226">
        <f>'DOE25'!G190+'DOE25'!G208+'DOE25'!G226+'DOE25'!G269+'DOE25'!G288+'DOE25'!G307</f>
        <v>376743.03</v>
      </c>
    </row>
    <row r="19" spans="1:3" x14ac:dyDescent="0.2">
      <c r="A19" t="s">
        <v>810</v>
      </c>
      <c r="B19" s="237">
        <v>331809.42</v>
      </c>
      <c r="C19" s="237">
        <v>118981.05</v>
      </c>
    </row>
    <row r="20" spans="1:3" x14ac:dyDescent="0.2">
      <c r="A20" t="s">
        <v>811</v>
      </c>
      <c r="B20" s="237">
        <v>391258.66</v>
      </c>
      <c r="C20" s="237">
        <v>237298.1</v>
      </c>
    </row>
    <row r="21" spans="1:3" x14ac:dyDescent="0.2">
      <c r="A21" t="s">
        <v>812</v>
      </c>
      <c r="B21" s="237">
        <v>26554.89</v>
      </c>
      <c r="C21" s="237">
        <v>20463.88</v>
      </c>
    </row>
    <row r="22" spans="1:3" x14ac:dyDescent="0.2">
      <c r="A22" t="str">
        <f>IF(B18=B22,IF(C18=C22,"Check Total OK","Check Total Error"),"Check Total Error")</f>
        <v>Check Total OK</v>
      </c>
      <c r="B22" s="228">
        <f>SUM(B19:B21)</f>
        <v>749622.97</v>
      </c>
      <c r="C22" s="228">
        <f>SUM(C19:C21)</f>
        <v>376743.03</v>
      </c>
    </row>
    <row r="23" spans="1:3" x14ac:dyDescent="0.2">
      <c r="B23" s="227"/>
      <c r="C23" s="227"/>
    </row>
    <row r="24" spans="1:3" x14ac:dyDescent="0.2">
      <c r="B24" s="269" t="s">
        <v>814</v>
      </c>
      <c r="C24" s="269"/>
    </row>
    <row r="25" spans="1:3" x14ac:dyDescent="0.2">
      <c r="A25" s="236" t="s">
        <v>819</v>
      </c>
      <c r="B25" s="267" t="s">
        <v>739</v>
      </c>
      <c r="C25" s="268"/>
    </row>
    <row r="26" spans="1:3" x14ac:dyDescent="0.2">
      <c r="B26" s="225" t="s">
        <v>54</v>
      </c>
      <c r="C26" s="225" t="s">
        <v>807</v>
      </c>
    </row>
    <row r="27" spans="1:3" x14ac:dyDescent="0.2">
      <c r="A27" s="33" t="s">
        <v>808</v>
      </c>
      <c r="B27" s="231">
        <f>'DOE25'!F191+'DOE25'!F209+'DOE25'!F227+'DOE25'!F270+'DOE25'!F289+'DOE25'!F308</f>
        <v>37665.32</v>
      </c>
      <c r="C27" s="231">
        <f>'DOE25'!G191+'DOE25'!G209+'DOE25'!G227+'DOE25'!G270+'DOE25'!G289+'DOE25'!G308</f>
        <v>11238.54</v>
      </c>
    </row>
    <row r="28" spans="1:3" x14ac:dyDescent="0.2">
      <c r="A28" t="s">
        <v>810</v>
      </c>
      <c r="B28" s="237">
        <v>37665.32</v>
      </c>
      <c r="C28" s="237">
        <v>11238.54</v>
      </c>
    </row>
    <row r="29" spans="1:3" x14ac:dyDescent="0.2">
      <c r="A29" t="s">
        <v>811</v>
      </c>
      <c r="B29" s="237">
        <v>0</v>
      </c>
      <c r="C29" s="237">
        <v>0</v>
      </c>
    </row>
    <row r="30" spans="1:3" x14ac:dyDescent="0.2">
      <c r="A30" t="s">
        <v>812</v>
      </c>
      <c r="B30" s="237">
        <v>0</v>
      </c>
      <c r="C30" s="237">
        <v>0</v>
      </c>
    </row>
    <row r="31" spans="1:3" x14ac:dyDescent="0.2">
      <c r="A31" t="str">
        <f>IF(B27=B31,IF(C27=C31,"Check Total OK","Check Total Error"),"Check Total Error")</f>
        <v>Check Total OK</v>
      </c>
      <c r="B31" s="228">
        <f>SUM(B28:B30)</f>
        <v>37665.32</v>
      </c>
      <c r="C31" s="228">
        <f>SUM(C28:C30)</f>
        <v>11238.54</v>
      </c>
    </row>
    <row r="33" spans="1:3" x14ac:dyDescent="0.2">
      <c r="B33" s="269" t="s">
        <v>814</v>
      </c>
      <c r="C33" s="269"/>
    </row>
    <row r="34" spans="1:3" x14ac:dyDescent="0.2">
      <c r="A34" s="236" t="s">
        <v>820</v>
      </c>
      <c r="B34" s="267" t="s">
        <v>740</v>
      </c>
      <c r="C34" s="268"/>
    </row>
    <row r="35" spans="1:3" x14ac:dyDescent="0.2">
      <c r="B35" s="225" t="s">
        <v>54</v>
      </c>
      <c r="C35" s="225" t="s">
        <v>807</v>
      </c>
    </row>
    <row r="36" spans="1:3" x14ac:dyDescent="0.2">
      <c r="A36" s="33" t="s">
        <v>808</v>
      </c>
      <c r="B36" s="232">
        <f>'DOE25'!F192+'DOE25'!F210+'DOE25'!F228+'DOE25'!F271+'DOE25'!F290+'DOE25'!F309</f>
        <v>87637.959999999992</v>
      </c>
      <c r="C36" s="232">
        <f>'DOE25'!G192+'DOE25'!G210+'DOE25'!G228+'DOE25'!G271+'DOE25'!G290+'DOE25'!G309</f>
        <v>19651.169999999998</v>
      </c>
    </row>
    <row r="37" spans="1:3" x14ac:dyDescent="0.2">
      <c r="A37" t="s">
        <v>810</v>
      </c>
      <c r="B37" s="237">
        <v>87637.96</v>
      </c>
      <c r="C37" s="237">
        <v>19651.169999999998</v>
      </c>
    </row>
    <row r="38" spans="1:3" x14ac:dyDescent="0.2">
      <c r="A38" t="s">
        <v>811</v>
      </c>
      <c r="B38" s="237">
        <v>0</v>
      </c>
      <c r="C38" s="237"/>
    </row>
    <row r="39" spans="1:3" x14ac:dyDescent="0.2">
      <c r="A39" t="s">
        <v>812</v>
      </c>
      <c r="B39" s="237">
        <v>0</v>
      </c>
      <c r="C39" s="237"/>
    </row>
    <row r="40" spans="1:3" x14ac:dyDescent="0.2">
      <c r="A40" t="str">
        <f>IF(B36=B40,IF(C36=C40,"Check Total OK","Check Total Error"),"Check Total Error")</f>
        <v>Check Total OK</v>
      </c>
      <c r="B40" s="228">
        <f>SUM(B37:B39)</f>
        <v>87637.96</v>
      </c>
      <c r="C40" s="228">
        <f>SUM(C37:C39)</f>
        <v>19651.169999999998</v>
      </c>
    </row>
    <row r="41" spans="1:3" x14ac:dyDescent="0.2">
      <c r="B41" s="227"/>
      <c r="C41" s="227"/>
    </row>
    <row r="42" spans="1:3" x14ac:dyDescent="0.2">
      <c r="A42" s="33" t="s">
        <v>868</v>
      </c>
      <c r="B42" s="227"/>
      <c r="C42" s="227"/>
    </row>
    <row r="43" spans="1:3" x14ac:dyDescent="0.2">
      <c r="A43" t="s">
        <v>872</v>
      </c>
      <c r="B43" s="227"/>
      <c r="C43" s="227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1" t="s">
        <v>809</v>
      </c>
    </row>
    <row r="49" spans="1:1" x14ac:dyDescent="0.2">
      <c r="A49" s="265" t="s">
        <v>875</v>
      </c>
    </row>
    <row r="50" spans="1:1" x14ac:dyDescent="0.2">
      <c r="A50" s="265" t="s">
        <v>869</v>
      </c>
    </row>
    <row r="51" spans="1:1" x14ac:dyDescent="0.2">
      <c r="A51" s="265" t="s">
        <v>876</v>
      </c>
    </row>
    <row r="52" spans="1:1" x14ac:dyDescent="0.2">
      <c r="A52" s="266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5646-B78A-4652-AC6D-58EC687A9932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69" t="s">
        <v>821</v>
      </c>
      <c r="B1" s="274"/>
      <c r="C1" s="274"/>
      <c r="D1" s="274"/>
      <c r="E1" s="274"/>
      <c r="F1" s="274"/>
      <c r="G1" s="274"/>
      <c r="H1" s="274"/>
      <c r="I1" s="178"/>
    </row>
    <row r="2" spans="1:9" x14ac:dyDescent="0.2">
      <c r="A2" s="33" t="s">
        <v>748</v>
      </c>
      <c r="B2" s="262" t="str">
        <f>'DOE25'!A2</f>
        <v>Milton SD</v>
      </c>
      <c r="C2" s="178"/>
      <c r="D2" s="178" t="s">
        <v>823</v>
      </c>
      <c r="E2" s="178" t="s">
        <v>825</v>
      </c>
      <c r="F2" s="271" t="s">
        <v>852</v>
      </c>
      <c r="G2" s="272"/>
      <c r="H2" s="273"/>
      <c r="I2" s="178"/>
    </row>
    <row r="3" spans="1:9" x14ac:dyDescent="0.2">
      <c r="A3" s="178" t="s">
        <v>94</v>
      </c>
      <c r="B3" s="225" t="s">
        <v>10</v>
      </c>
      <c r="C3" s="178" t="s">
        <v>5</v>
      </c>
      <c r="D3" s="178" t="s">
        <v>824</v>
      </c>
      <c r="E3" s="178" t="s">
        <v>826</v>
      </c>
      <c r="F3" s="238" t="s">
        <v>866</v>
      </c>
      <c r="G3" s="214" t="s">
        <v>59</v>
      </c>
      <c r="H3" s="239" t="s">
        <v>829</v>
      </c>
    </row>
    <row r="4" spans="1:9" x14ac:dyDescent="0.2">
      <c r="A4" s="248" t="s">
        <v>831</v>
      </c>
      <c r="B4" s="248" t="s">
        <v>847</v>
      </c>
      <c r="C4" s="248" t="s">
        <v>822</v>
      </c>
      <c r="D4" s="248" t="s">
        <v>848</v>
      </c>
      <c r="E4" s="248" t="s">
        <v>848</v>
      </c>
      <c r="F4" s="247" t="s">
        <v>828</v>
      </c>
      <c r="G4" s="248" t="s">
        <v>842</v>
      </c>
      <c r="H4" s="249" t="s">
        <v>830</v>
      </c>
    </row>
    <row r="5" spans="1:9" x14ac:dyDescent="0.2">
      <c r="A5" s="32">
        <v>1000</v>
      </c>
      <c r="B5" t="s">
        <v>218</v>
      </c>
      <c r="C5" s="242">
        <f t="shared" ref="C5:C19" si="0">SUM(D5:H5)</f>
        <v>5238933.84</v>
      </c>
      <c r="D5" s="20">
        <f>SUM('DOE25'!L189:L192)+SUM('DOE25'!L207:L210)+SUM('DOE25'!L225:L228)-F5-G5</f>
        <v>5211657.47</v>
      </c>
      <c r="E5" s="240"/>
      <c r="F5" s="252">
        <f>SUM('DOE25'!J189:J192)+SUM('DOE25'!J207:J210)+SUM('DOE25'!J225:J228)</f>
        <v>24967.37</v>
      </c>
      <c r="G5" s="53">
        <f>SUM('DOE25'!K189:K192)+SUM('DOE25'!K207:K210)+SUM('DOE25'!K225:K228)</f>
        <v>2309</v>
      </c>
      <c r="H5" s="256"/>
    </row>
    <row r="6" spans="1:9" x14ac:dyDescent="0.2">
      <c r="A6" s="32">
        <v>2100</v>
      </c>
      <c r="B6" t="s">
        <v>832</v>
      </c>
      <c r="C6" s="242">
        <f t="shared" si="0"/>
        <v>393305.2</v>
      </c>
      <c r="D6" s="20">
        <f>'DOE25'!L194+'DOE25'!L212+'DOE25'!L230-F6-G6</f>
        <v>393185.2</v>
      </c>
      <c r="E6" s="240"/>
      <c r="F6" s="252">
        <f>'DOE25'!J194+'DOE25'!J212+'DOE25'!J230</f>
        <v>0</v>
      </c>
      <c r="G6" s="53">
        <f>'DOE25'!K194+'DOE25'!K212+'DOE25'!K230</f>
        <v>120</v>
      </c>
      <c r="H6" s="256"/>
    </row>
    <row r="7" spans="1:9" x14ac:dyDescent="0.2">
      <c r="A7" s="32">
        <v>2200</v>
      </c>
      <c r="B7" t="s">
        <v>865</v>
      </c>
      <c r="C7" s="242">
        <f t="shared" si="0"/>
        <v>224788.22000000003</v>
      </c>
      <c r="D7" s="20">
        <f>'DOE25'!L195+'DOE25'!L213+'DOE25'!L231-F7-G7</f>
        <v>224328.26000000004</v>
      </c>
      <c r="E7" s="240"/>
      <c r="F7" s="252">
        <f>'DOE25'!J195+'DOE25'!J213+'DOE25'!J231</f>
        <v>459.96</v>
      </c>
      <c r="G7" s="53">
        <f>'DOE25'!K195+'DOE25'!K213+'DOE25'!K231</f>
        <v>0</v>
      </c>
      <c r="H7" s="256"/>
    </row>
    <row r="8" spans="1:9" x14ac:dyDescent="0.2">
      <c r="A8" s="32">
        <v>2300</v>
      </c>
      <c r="B8" t="s">
        <v>833</v>
      </c>
      <c r="C8" s="242">
        <f t="shared" si="0"/>
        <v>288377.68999999994</v>
      </c>
      <c r="D8" s="240"/>
      <c r="E8" s="20">
        <f>'DOE25'!L196+'DOE25'!L214+'DOE25'!L232-F8-G8-D9-D11</f>
        <v>284866.67999999993</v>
      </c>
      <c r="F8" s="252">
        <f>'DOE25'!J196+'DOE25'!J214+'DOE25'!J232</f>
        <v>0</v>
      </c>
      <c r="G8" s="53">
        <f>'DOE25'!K196+'DOE25'!K214+'DOE25'!K232</f>
        <v>3511.01</v>
      </c>
      <c r="H8" s="256"/>
    </row>
    <row r="9" spans="1:9" x14ac:dyDescent="0.2">
      <c r="A9" s="32">
        <v>2310</v>
      </c>
      <c r="B9" t="s">
        <v>849</v>
      </c>
      <c r="C9" s="242">
        <f t="shared" si="0"/>
        <v>35957.65</v>
      </c>
      <c r="D9" s="241">
        <v>35957.65</v>
      </c>
      <c r="E9" s="240"/>
      <c r="F9" s="255"/>
      <c r="G9" s="253"/>
      <c r="H9" s="256"/>
    </row>
    <row r="10" spans="1:9" x14ac:dyDescent="0.2">
      <c r="A10" s="32">
        <v>2317</v>
      </c>
      <c r="B10" t="s">
        <v>850</v>
      </c>
      <c r="C10" s="242">
        <f t="shared" si="0"/>
        <v>12677.53</v>
      </c>
      <c r="D10" s="240"/>
      <c r="E10" s="241">
        <v>12677.53</v>
      </c>
      <c r="F10" s="255"/>
      <c r="G10" s="253"/>
      <c r="H10" s="256"/>
    </row>
    <row r="11" spans="1:9" x14ac:dyDescent="0.2">
      <c r="A11" s="32">
        <v>2321</v>
      </c>
      <c r="B11" t="s">
        <v>862</v>
      </c>
      <c r="C11" s="242">
        <f t="shared" si="0"/>
        <v>84177.47</v>
      </c>
      <c r="D11" s="241">
        <f>ROUND((98206+44706+10923.77+13090.74+8208+16177.92)*0.44,2)</f>
        <v>84177.47</v>
      </c>
      <c r="E11" s="240"/>
      <c r="F11" s="255"/>
      <c r="G11" s="253"/>
      <c r="H11" s="256"/>
    </row>
    <row r="12" spans="1:9" x14ac:dyDescent="0.2">
      <c r="A12" s="32">
        <v>2400</v>
      </c>
      <c r="B12" t="s">
        <v>746</v>
      </c>
      <c r="C12" s="242">
        <f t="shared" si="0"/>
        <v>529813.79</v>
      </c>
      <c r="D12" s="20">
        <f>'DOE25'!L197+'DOE25'!L215+'DOE25'!L233-F12-G12</f>
        <v>527247.31000000006</v>
      </c>
      <c r="E12" s="240"/>
      <c r="F12" s="252">
        <f>'DOE25'!J197+'DOE25'!J215+'DOE25'!J233</f>
        <v>17.100000000000001</v>
      </c>
      <c r="G12" s="53">
        <f>'DOE25'!K197+'DOE25'!K215+'DOE25'!K233</f>
        <v>2549.38</v>
      </c>
      <c r="H12" s="256"/>
    </row>
    <row r="13" spans="1:9" x14ac:dyDescent="0.2">
      <c r="A13" s="32">
        <v>2500</v>
      </c>
      <c r="B13" t="s">
        <v>834</v>
      </c>
      <c r="C13" s="242">
        <f t="shared" si="0"/>
        <v>0</v>
      </c>
      <c r="D13" s="240"/>
      <c r="E13" s="20">
        <f>'DOE25'!L198+'DOE25'!L216+'DOE25'!L234-F13-G13</f>
        <v>0</v>
      </c>
      <c r="F13" s="252">
        <f>'DOE25'!J198+'DOE25'!J216+'DOE25'!J234</f>
        <v>0</v>
      </c>
      <c r="G13" s="53">
        <f>'DOE25'!K198+'DOE25'!K216+'DOE25'!K234</f>
        <v>0</v>
      </c>
      <c r="H13" s="256"/>
    </row>
    <row r="14" spans="1:9" x14ac:dyDescent="0.2">
      <c r="A14" s="32">
        <v>2600</v>
      </c>
      <c r="B14" t="s">
        <v>863</v>
      </c>
      <c r="C14" s="242">
        <f t="shared" si="0"/>
        <v>756126.21</v>
      </c>
      <c r="D14" s="20">
        <f>'DOE25'!L199+'DOE25'!L217+'DOE25'!L235-F14-G14</f>
        <v>755572.21</v>
      </c>
      <c r="E14" s="240"/>
      <c r="F14" s="252">
        <f>'DOE25'!J199+'DOE25'!J217+'DOE25'!J235</f>
        <v>0</v>
      </c>
      <c r="G14" s="53">
        <f>'DOE25'!K199+'DOE25'!K217+'DOE25'!K235</f>
        <v>554</v>
      </c>
      <c r="H14" s="256"/>
    </row>
    <row r="15" spans="1:9" x14ac:dyDescent="0.2">
      <c r="A15" s="32">
        <v>2700</v>
      </c>
      <c r="B15" t="s">
        <v>835</v>
      </c>
      <c r="C15" s="242">
        <f t="shared" si="0"/>
        <v>411171.51</v>
      </c>
      <c r="D15" s="20">
        <f>'DOE25'!L200+'DOE25'!L218+'DOE25'!L236-F15-G15</f>
        <v>406569.41000000003</v>
      </c>
      <c r="E15" s="240"/>
      <c r="F15" s="252">
        <f>'DOE25'!J200+'DOE25'!J218+'DOE25'!J236</f>
        <v>3200</v>
      </c>
      <c r="G15" s="53">
        <f>'DOE25'!K200+'DOE25'!K218+'DOE25'!K236</f>
        <v>1402.1</v>
      </c>
      <c r="H15" s="256"/>
    </row>
    <row r="16" spans="1:9" x14ac:dyDescent="0.2">
      <c r="A16" s="32">
        <v>2800</v>
      </c>
      <c r="B16" t="s">
        <v>836</v>
      </c>
      <c r="C16" s="242">
        <f t="shared" si="0"/>
        <v>114145.06</v>
      </c>
      <c r="D16" s="240"/>
      <c r="E16" s="20">
        <f>'DOE25'!L201+'DOE25'!L219+'DOE25'!L237-F16-G16</f>
        <v>67629.7</v>
      </c>
      <c r="F16" s="252">
        <f>'DOE25'!J201+'DOE25'!J219+'DOE25'!J237</f>
        <v>46515.360000000001</v>
      </c>
      <c r="G16" s="53">
        <f>'DOE25'!K201+'DOE25'!K219+'DOE25'!K237</f>
        <v>0</v>
      </c>
      <c r="H16" s="256"/>
    </row>
    <row r="17" spans="1:8" x14ac:dyDescent="0.2">
      <c r="A17" s="32">
        <v>1600</v>
      </c>
      <c r="B17" t="s">
        <v>837</v>
      </c>
      <c r="C17" s="242">
        <f t="shared" si="0"/>
        <v>0</v>
      </c>
      <c r="D17" s="20">
        <f>'DOE25'!L243-F17-G17</f>
        <v>0</v>
      </c>
      <c r="E17" s="240"/>
      <c r="F17" s="252">
        <f>'DOE25'!J243</f>
        <v>0</v>
      </c>
      <c r="G17" s="53">
        <f>'DOE25'!K243</f>
        <v>0</v>
      </c>
      <c r="H17" s="256"/>
    </row>
    <row r="18" spans="1:8" x14ac:dyDescent="0.2">
      <c r="A18" s="32">
        <v>1700</v>
      </c>
      <c r="B18" t="s">
        <v>838</v>
      </c>
      <c r="C18" s="242">
        <f t="shared" si="0"/>
        <v>0</v>
      </c>
      <c r="D18" s="20">
        <f>'DOE25'!L244-F18-G18</f>
        <v>0</v>
      </c>
      <c r="E18" s="240"/>
      <c r="F18" s="252">
        <f>'DOE25'!J244</f>
        <v>0</v>
      </c>
      <c r="G18" s="53">
        <f>'DOE25'!K244</f>
        <v>0</v>
      </c>
      <c r="H18" s="256"/>
    </row>
    <row r="19" spans="1:8" x14ac:dyDescent="0.2">
      <c r="A19" s="32">
        <v>1800</v>
      </c>
      <c r="B19" t="s">
        <v>839</v>
      </c>
      <c r="C19" s="242">
        <f t="shared" si="0"/>
        <v>0</v>
      </c>
      <c r="D19" s="20">
        <f>'DOE25'!L245-F19-G19</f>
        <v>0</v>
      </c>
      <c r="E19" s="240"/>
      <c r="F19" s="252">
        <f>'DOE25'!J245</f>
        <v>0</v>
      </c>
      <c r="G19" s="53">
        <f>'DOE25'!K245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827</v>
      </c>
      <c r="F21" s="257"/>
      <c r="G21" s="52"/>
      <c r="H21" s="258"/>
    </row>
    <row r="22" spans="1:8" x14ac:dyDescent="0.2">
      <c r="A22" s="32">
        <v>4000</v>
      </c>
      <c r="B22" t="s">
        <v>864</v>
      </c>
      <c r="C22" s="242">
        <f>SUM(D22:H22)</f>
        <v>0</v>
      </c>
      <c r="D22" s="240"/>
      <c r="E22" s="240"/>
      <c r="F22" s="252">
        <f>'DOE25'!L247+'DOE25'!L328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487</v>
      </c>
      <c r="F24" s="257"/>
      <c r="G24" s="52"/>
      <c r="H24" s="258"/>
    </row>
    <row r="25" spans="1:8" x14ac:dyDescent="0.2">
      <c r="A25" s="32" t="s">
        <v>840</v>
      </c>
      <c r="B25" t="s">
        <v>841</v>
      </c>
      <c r="C25" s="242">
        <f>SUM(D25:H25)</f>
        <v>411172.5</v>
      </c>
      <c r="D25" s="240"/>
      <c r="E25" s="240"/>
      <c r="F25" s="255"/>
      <c r="G25" s="253"/>
      <c r="H25" s="254">
        <f>'DOE25'!L252+'DOE25'!L253+'DOE25'!L333+'DOE25'!L334</f>
        <v>411172.5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843</v>
      </c>
      <c r="F27" s="257"/>
      <c r="G27" s="52"/>
      <c r="H27" s="258"/>
    </row>
    <row r="28" spans="1:8" x14ac:dyDescent="0.2">
      <c r="A28" s="32">
        <v>3100</v>
      </c>
      <c r="B28" t="s">
        <v>856</v>
      </c>
      <c r="F28" s="257"/>
      <c r="G28" s="52"/>
      <c r="H28" s="258"/>
    </row>
    <row r="29" spans="1:8" x14ac:dyDescent="0.2">
      <c r="A29" s="32"/>
      <c r="B29" t="s">
        <v>844</v>
      </c>
      <c r="C29" s="242">
        <f>SUM(D29:H29)</f>
        <v>184697.69999999998</v>
      </c>
      <c r="D29" s="20">
        <f>'DOE25'!L350+'DOE25'!L351+'DOE25'!L352-'DOE25'!I359-F29-G29</f>
        <v>181868.19999999998</v>
      </c>
      <c r="E29" s="240"/>
      <c r="F29" s="252">
        <f>'DOE25'!J350+'DOE25'!J351+'DOE25'!J352</f>
        <v>2550</v>
      </c>
      <c r="G29" s="53">
        <f>'DOE25'!K350+'DOE25'!K351+'DOE25'!K352</f>
        <v>279.5</v>
      </c>
      <c r="H29" s="256"/>
    </row>
    <row r="30" spans="1:8" x14ac:dyDescent="0.2">
      <c r="A30" s="32"/>
      <c r="D30" s="20"/>
      <c r="E30" s="240"/>
      <c r="F30" s="252"/>
      <c r="G30" s="53"/>
      <c r="H30" s="256"/>
    </row>
    <row r="31" spans="1:8" x14ac:dyDescent="0.2">
      <c r="A31" s="32" t="s">
        <v>858</v>
      </c>
      <c r="B31" t="s">
        <v>857</v>
      </c>
      <c r="C31" s="242">
        <f>SUM(D31:H31)</f>
        <v>987624.1399999999</v>
      </c>
      <c r="D31" s="20">
        <f>'DOE25'!L282+'DOE25'!L301+'DOE25'!L320+'DOE25'!L325+'DOE25'!L326+'DOE25'!L327-F31-G31</f>
        <v>687408.6399999999</v>
      </c>
      <c r="E31" s="240"/>
      <c r="F31" s="252">
        <f>'DOE25'!J282+'DOE25'!J301+'DOE25'!J320+'DOE25'!J325+'DOE25'!J326+'DOE25'!J327</f>
        <v>251688.18</v>
      </c>
      <c r="G31" s="53">
        <f>'DOE25'!K282+'DOE25'!K301+'DOE25'!K320+'DOE25'!K325+'DOE25'!K326+'DOE25'!K327</f>
        <v>48527.320000000007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845</v>
      </c>
      <c r="D33" s="243">
        <f>SUM(D5:D31)</f>
        <v>8507971.8200000003</v>
      </c>
      <c r="E33" s="243">
        <f>SUM(E5:E31)</f>
        <v>365173.91</v>
      </c>
      <c r="F33" s="243">
        <f>SUM(F5:F31)</f>
        <v>329397.96999999997</v>
      </c>
      <c r="G33" s="243">
        <f>SUM(G5:G31)</f>
        <v>59252.310000000005</v>
      </c>
      <c r="H33" s="243">
        <f>SUM(H5:H31)</f>
        <v>411172.5</v>
      </c>
    </row>
    <row r="35" spans="2:8" ht="12" thickBot="1" x14ac:dyDescent="0.25">
      <c r="B35" s="250" t="s">
        <v>878</v>
      </c>
      <c r="D35" s="251">
        <f>E33</f>
        <v>365173.91</v>
      </c>
      <c r="E35" s="246"/>
    </row>
    <row r="36" spans="2:8" ht="12" thickTop="1" x14ac:dyDescent="0.2">
      <c r="B36" t="s">
        <v>846</v>
      </c>
      <c r="D36" s="20">
        <f>D33</f>
        <v>8507971.8200000003</v>
      </c>
    </row>
    <row r="38" spans="2:8" x14ac:dyDescent="0.2">
      <c r="B38" s="184" t="s">
        <v>887</v>
      </c>
      <c r="C38" s="263"/>
      <c r="D38" s="264"/>
    </row>
    <row r="39" spans="2:8" x14ac:dyDescent="0.2">
      <c r="B39" t="s">
        <v>855</v>
      </c>
      <c r="D39" s="178" t="str">
        <f>IF(E10&gt;0,"Y","N")</f>
        <v>Y</v>
      </c>
    </row>
    <row r="41" spans="2:8" x14ac:dyDescent="0.2">
      <c r="B41" s="261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2AC-E398-4FBC-B934-0CDBA95455D4}">
  <sheetPr transitionEvaluation="1" codeName="Sheet2">
    <tabColor indexed="10"/>
  </sheetPr>
  <dimension ref="A1:I156"/>
  <sheetViews>
    <sheetView zoomScale="75" zoomScaleNormal="100" workbookViewId="0">
      <pane ySplit="2" topLeftCell="A63" activePane="bottomLeft" state="frozen"/>
      <selection pane="bottomLeft" activeCell="E80" sqref="E8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288401.95</v>
      </c>
      <c r="D9" s="95">
        <f>'DOE25'!G9</f>
        <v>0</v>
      </c>
      <c r="E9" s="95">
        <f>'DOE25'!H9</f>
        <v>0</v>
      </c>
      <c r="F9" s="95">
        <f>'DOE25'!I9</f>
        <v>231166.59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98683.57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201643.9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20000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497.5</v>
      </c>
      <c r="E13" s="95">
        <f>'DOE25'!H13</f>
        <v>131089.14000000001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7.28</v>
      </c>
      <c r="D14" s="95">
        <f>'DOE25'!G14</f>
        <v>33598.57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490053.13</v>
      </c>
      <c r="D19" s="41">
        <f>SUM(D9:D18)</f>
        <v>34096.07</v>
      </c>
      <c r="E19" s="41">
        <f>SUM(E9:E18)</f>
        <v>131089.14000000001</v>
      </c>
      <c r="F19" s="41">
        <f>SUM(F9:F18)</f>
        <v>231166.59</v>
      </c>
      <c r="G19" s="41">
        <f>SUM(G9:G18)</f>
        <v>118683.57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32415.07</v>
      </c>
      <c r="E22" s="95">
        <f>'DOE25'!H23</f>
        <v>131089.14000000001</v>
      </c>
      <c r="F22" s="95">
        <f>'DOE25'!I23</f>
        <v>31925.94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147007.89000000001</v>
      </c>
      <c r="D24" s="95">
        <f>'DOE25'!G25</f>
        <v>1681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8438.26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155446.15000000002</v>
      </c>
      <c r="D32" s="41">
        <f>SUM(D22:D31)</f>
        <v>34096.07</v>
      </c>
      <c r="E32" s="41">
        <f>SUM(E22:E31)</f>
        <v>131089.14000000001</v>
      </c>
      <c r="F32" s="41">
        <f>SUM(F22:F31)</f>
        <v>31925.94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75000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199240.65</v>
      </c>
      <c r="G40" s="95">
        <f>'DOE25'!J41</f>
        <v>118683.57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259606.97999999998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334606.98</v>
      </c>
      <c r="D42" s="41">
        <f>SUM(D34:D41)</f>
        <v>0</v>
      </c>
      <c r="E42" s="41">
        <f>SUM(E34:E41)</f>
        <v>0</v>
      </c>
      <c r="F42" s="41">
        <f>SUM(F34:F41)</f>
        <v>199240.65</v>
      </c>
      <c r="G42" s="41">
        <f>SUM(G34:G41)</f>
        <v>118683.57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490053.13</v>
      </c>
      <c r="D43" s="41">
        <f>D42+D32</f>
        <v>34096.07</v>
      </c>
      <c r="E43" s="41">
        <f>E42+E32</f>
        <v>131089.14000000001</v>
      </c>
      <c r="F43" s="41">
        <f>F42+F32</f>
        <v>231166.59</v>
      </c>
      <c r="G43" s="41">
        <f>G42+G32</f>
        <v>118683.57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4133091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14277.5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1470.15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2352.2399999999998</v>
      </c>
      <c r="D51" s="95">
        <f>'DOE25'!G88</f>
        <v>0</v>
      </c>
      <c r="E51" s="95">
        <f>'DOE25'!H88</f>
        <v>0</v>
      </c>
      <c r="F51" s="95">
        <f>'DOE25'!I88</f>
        <v>483.93</v>
      </c>
      <c r="G51" s="95">
        <f>'DOE25'!J88</f>
        <v>95.87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77650.59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3070.22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21170.11</v>
      </c>
      <c r="D54" s="130">
        <f>SUM(D49:D53)</f>
        <v>77650.59</v>
      </c>
      <c r="E54" s="130">
        <f>SUM(E49:E53)</f>
        <v>0</v>
      </c>
      <c r="F54" s="130">
        <f>SUM(F49:F53)</f>
        <v>483.93</v>
      </c>
      <c r="G54" s="130">
        <f>SUM(G49:G53)</f>
        <v>95.87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4154261.11</v>
      </c>
      <c r="D55" s="22">
        <f>D48+D54</f>
        <v>77650.59</v>
      </c>
      <c r="E55" s="22">
        <f>E48+E54</f>
        <v>0</v>
      </c>
      <c r="F55" s="22">
        <f>F48+F54</f>
        <v>483.93</v>
      </c>
      <c r="G55" s="22">
        <f>G48+G54</f>
        <v>95.87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2902531.02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964534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105273.98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11907.17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3972339</v>
      </c>
      <c r="D62" s="139">
        <f>D61</f>
        <v>0</v>
      </c>
      <c r="E62" s="139">
        <f>E61</f>
        <v>11907.17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181169.66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42839.96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1730.49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2494.06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225740.11</v>
      </c>
      <c r="D70" s="130">
        <f>SUM(D64:D69)</f>
        <v>2494.06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4198079.1100000003</v>
      </c>
      <c r="D73" s="130">
        <f>SUM(D71:D72)+D70+D62</f>
        <v>2494.06</v>
      </c>
      <c r="E73" s="130">
        <f>SUM(E71:E72)+E70+E62</f>
        <v>11907.17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7774.8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64265.98</v>
      </c>
      <c r="D80" s="95">
        <f>SUM('DOE25'!G145:G153)</f>
        <v>103665.43</v>
      </c>
      <c r="E80" s="95">
        <f>SUM('DOE25'!H145:H153)</f>
        <v>975716.97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64265.98</v>
      </c>
      <c r="D83" s="131">
        <f>SUM(D77:D82)</f>
        <v>111440.23</v>
      </c>
      <c r="E83" s="131">
        <f>SUM(E77:E82)</f>
        <v>975716.97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77693.37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77693.37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8416606.2000000011</v>
      </c>
      <c r="D96" s="86">
        <f>D55+D73+D83+D95</f>
        <v>269278.25</v>
      </c>
      <c r="E96" s="86">
        <f>E55+E73+E83+E95</f>
        <v>987624.14</v>
      </c>
      <c r="F96" s="86">
        <f>F55+F73+F83+F95</f>
        <v>483.93</v>
      </c>
      <c r="G96" s="86">
        <f>G55+G73+G95</f>
        <v>20095.87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3133352.0599999996</v>
      </c>
      <c r="D101" s="24" t="s">
        <v>312</v>
      </c>
      <c r="E101" s="95">
        <f>('DOE25'!L268)+('DOE25'!L287)+('DOE25'!L306)</f>
        <v>669964.21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1863101.0499999998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73667.62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168813.11000000002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5238933.84</v>
      </c>
      <c r="D107" s="86">
        <f>SUM(D101:D106)</f>
        <v>0</v>
      </c>
      <c r="E107" s="86">
        <f>SUM(E101:E106)</f>
        <v>669964.21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393305.2</v>
      </c>
      <c r="D110" s="24" t="s">
        <v>312</v>
      </c>
      <c r="E110" s="95">
        <f>+('DOE25'!L273)+('DOE25'!L292)+('DOE25'!L311)</f>
        <v>945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224788.22000000003</v>
      </c>
      <c r="D111" s="24" t="s">
        <v>312</v>
      </c>
      <c r="E111" s="95">
        <f>+('DOE25'!L274)+('DOE25'!L293)+('DOE25'!L312)</f>
        <v>267884.61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408512.81</v>
      </c>
      <c r="D112" s="24" t="s">
        <v>312</v>
      </c>
      <c r="E112" s="95">
        <f>+('DOE25'!L275)+('DOE25'!L294)+('DOE25'!L313)</f>
        <v>303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529813.79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48527.320000000007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756126.21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411171.51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114145.06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274288.8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2837862.8000000003</v>
      </c>
      <c r="D120" s="86">
        <f>SUM(D110:D119)</f>
        <v>274288.8</v>
      </c>
      <c r="E120" s="86">
        <f>SUM(E110:E119)</f>
        <v>317659.93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19048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136172.5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77693.37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11.17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20084.699999999997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-95.869999999995343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508865.87</v>
      </c>
      <c r="D136" s="141">
        <f>SUM(D122:D135)</f>
        <v>0</v>
      </c>
      <c r="E136" s="141">
        <f>SUM(E122:E135)</f>
        <v>0</v>
      </c>
      <c r="F136" s="141">
        <f>SUM(F122:F135)</f>
        <v>19048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8585662.5099999998</v>
      </c>
      <c r="D137" s="86">
        <f>(D107+D120+D136)</f>
        <v>274288.8</v>
      </c>
      <c r="E137" s="86">
        <f>(E107+E120+E136)</f>
        <v>987624.1399999999</v>
      </c>
      <c r="F137" s="86">
        <f>(F107+F120+F136)</f>
        <v>19048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2">
        <f>'DOE25'!F480</f>
        <v>15</v>
      </c>
      <c r="C143" s="152">
        <f>'DOE25'!G480</f>
        <v>0</v>
      </c>
      <c r="D143" s="152">
        <f>'DOE25'!H480</f>
        <v>0</v>
      </c>
      <c r="E143" s="152">
        <f>'DOE25'!I480</f>
        <v>0</v>
      </c>
      <c r="F143" s="152">
        <f>'DOE25'!J480</f>
        <v>0</v>
      </c>
      <c r="G143" s="24" t="s">
        <v>312</v>
      </c>
    </row>
    <row r="144" spans="1:9" x14ac:dyDescent="0.2">
      <c r="A144" s="136" t="s">
        <v>28</v>
      </c>
      <c r="B144" s="151" t="str">
        <f>'DOE25'!F481</f>
        <v xml:space="preserve">             8/5</v>
      </c>
      <c r="C144" s="151">
        <f>'DOE25'!G481</f>
        <v>0</v>
      </c>
      <c r="D144" s="151">
        <f>'DOE25'!H481</f>
        <v>0</v>
      </c>
      <c r="E144" s="151">
        <f>'DOE25'!I481</f>
        <v>0</v>
      </c>
      <c r="F144" s="151">
        <f>'DOE25'!J481</f>
        <v>0</v>
      </c>
      <c r="G144" s="24" t="s">
        <v>312</v>
      </c>
    </row>
    <row r="145" spans="1:7" x14ac:dyDescent="0.2">
      <c r="A145" s="136" t="s">
        <v>29</v>
      </c>
      <c r="B145" s="151" t="str">
        <f>'DOE25'!F482</f>
        <v xml:space="preserve">            8/20</v>
      </c>
      <c r="C145" s="151">
        <f>'DOE25'!G482</f>
        <v>0</v>
      </c>
      <c r="D145" s="151">
        <f>'DOE25'!H482</f>
        <v>0</v>
      </c>
      <c r="E145" s="151">
        <f>'DOE25'!I482</f>
        <v>0</v>
      </c>
      <c r="F145" s="151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4097790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3000000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3000000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275000</v>
      </c>
    </row>
    <row r="151" spans="1:7" x14ac:dyDescent="0.2">
      <c r="A151" s="22" t="s">
        <v>35</v>
      </c>
      <c r="B151" s="137">
        <f>'DOE25'!F488</f>
        <v>2725000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2725000</v>
      </c>
    </row>
    <row r="152" spans="1:7" x14ac:dyDescent="0.2">
      <c r="A152" s="22" t="s">
        <v>36</v>
      </c>
      <c r="B152" s="137">
        <f>'DOE25'!F489</f>
        <v>755471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755471</v>
      </c>
    </row>
    <row r="153" spans="1:7" x14ac:dyDescent="0.2">
      <c r="A153" s="22" t="s">
        <v>37</v>
      </c>
      <c r="B153" s="137">
        <f>'DOE25'!F490</f>
        <v>3480471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3480471</v>
      </c>
    </row>
    <row r="154" spans="1:7" x14ac:dyDescent="0.2">
      <c r="A154" s="22" t="s">
        <v>38</v>
      </c>
      <c r="B154" s="137">
        <f>'DOE25'!F491</f>
        <v>275000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275000</v>
      </c>
    </row>
    <row r="155" spans="1:7" x14ac:dyDescent="0.2">
      <c r="A155" s="22" t="s">
        <v>39</v>
      </c>
      <c r="B155" s="137">
        <f>'DOE25'!F492</f>
        <v>122423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122423</v>
      </c>
    </row>
    <row r="156" spans="1:7" x14ac:dyDescent="0.2">
      <c r="A156" s="22" t="s">
        <v>269</v>
      </c>
      <c r="B156" s="137">
        <f>'DOE25'!F493</f>
        <v>397423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397423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D80D-7D79-45D8-8CB8-C767A1676010}">
  <sheetPr codeName="Sheet3">
    <tabColor indexed="43"/>
  </sheetPr>
  <dimension ref="A1:D42"/>
  <sheetViews>
    <sheetView workbookViewId="0">
      <selection activeCell="C12" sqref="C1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5" t="s">
        <v>771</v>
      </c>
      <c r="B1" s="275"/>
      <c r="C1" s="275"/>
      <c r="D1" s="275"/>
    </row>
    <row r="2" spans="1:4" x14ac:dyDescent="0.2">
      <c r="A2" s="184" t="s">
        <v>748</v>
      </c>
      <c r="B2" s="183" t="str">
        <f>'DOE25'!A2</f>
        <v>Milton SD</v>
      </c>
    </row>
    <row r="3" spans="1:4" x14ac:dyDescent="0.2">
      <c r="B3" s="185" t="s">
        <v>891</v>
      </c>
    </row>
    <row r="4" spans="1:4" x14ac:dyDescent="0.2">
      <c r="B4" t="s">
        <v>61</v>
      </c>
      <c r="C4" s="176">
        <f>IF('DOE25'!F655+'DOE25'!F660=0,0,ROUND('DOE25'!F662,0))</f>
        <v>12512</v>
      </c>
    </row>
    <row r="5" spans="1:4" x14ac:dyDescent="0.2">
      <c r="B5" t="s">
        <v>735</v>
      </c>
      <c r="C5" s="176">
        <f>IF('DOE25'!G655+'DOE25'!G660=0,0,ROUND('DOE25'!G662,0))</f>
        <v>15375</v>
      </c>
    </row>
    <row r="6" spans="1:4" x14ac:dyDescent="0.2">
      <c r="B6" t="s">
        <v>62</v>
      </c>
      <c r="C6" s="176">
        <f>IF('DOE25'!H655+'DOE25'!H660=0,0,ROUND('DOE25'!H662,0))</f>
        <v>13755</v>
      </c>
    </row>
    <row r="7" spans="1:4" x14ac:dyDescent="0.2">
      <c r="B7" t="s">
        <v>736</v>
      </c>
      <c r="C7" s="176">
        <f>IF('DOE25'!I655+'DOE25'!I660=0,0,ROUND('DOE25'!I662,0))</f>
        <v>13584</v>
      </c>
    </row>
    <row r="9" spans="1:4" x14ac:dyDescent="0.2">
      <c r="A9" s="184" t="s">
        <v>94</v>
      </c>
      <c r="B9" s="185" t="s">
        <v>892</v>
      </c>
      <c r="C9" s="178" t="s">
        <v>755</v>
      </c>
      <c r="D9" s="178" t="s">
        <v>756</v>
      </c>
    </row>
    <row r="10" spans="1:4" x14ac:dyDescent="0.2">
      <c r="A10">
        <v>1100</v>
      </c>
      <c r="B10" t="s">
        <v>737</v>
      </c>
      <c r="C10" s="176">
        <f>ROUND('DOE25'!L189+'DOE25'!L207+'DOE25'!L225+'DOE25'!L268+'DOE25'!L287+'DOE25'!L306,0)</f>
        <v>3803316</v>
      </c>
      <c r="D10" s="179">
        <f>ROUND((C10/$C$28)*100,1)</f>
        <v>40.5</v>
      </c>
    </row>
    <row r="11" spans="1:4" x14ac:dyDescent="0.2">
      <c r="A11">
        <v>1200</v>
      </c>
      <c r="B11" t="s">
        <v>738</v>
      </c>
      <c r="C11" s="176">
        <f>ROUND('DOE25'!L190+'DOE25'!L208+'DOE25'!L226+'DOE25'!L269+'DOE25'!L288+'DOE25'!L307,0)</f>
        <v>1863101</v>
      </c>
      <c r="D11" s="179">
        <f>ROUND((C11/$C$28)*100,1)</f>
        <v>19.8</v>
      </c>
    </row>
    <row r="12" spans="1:4" x14ac:dyDescent="0.2">
      <c r="A12">
        <v>1300</v>
      </c>
      <c r="B12" t="s">
        <v>739</v>
      </c>
      <c r="C12" s="176">
        <f>ROUND('DOE25'!L191+'DOE25'!L209+'DOE25'!L227+'DOE25'!L270+'DOE25'!L289+'DOE25'!L308,0)</f>
        <v>73668</v>
      </c>
      <c r="D12" s="179">
        <f>ROUND((C12/$C$28)*100,1)</f>
        <v>0.8</v>
      </c>
    </row>
    <row r="13" spans="1:4" x14ac:dyDescent="0.2">
      <c r="A13">
        <v>1400</v>
      </c>
      <c r="B13" t="s">
        <v>740</v>
      </c>
      <c r="C13" s="176">
        <f>ROUND('DOE25'!L192+'DOE25'!L210+'DOE25'!L228+'DOE25'!L271+'DOE25'!L290+'DOE25'!L309,0)</f>
        <v>168813</v>
      </c>
      <c r="D13" s="179">
        <f>ROUND((C13/$C$28)*100,1)</f>
        <v>1.8</v>
      </c>
    </row>
    <row r="14" spans="1:4" x14ac:dyDescent="0.2">
      <c r="D14" s="179"/>
    </row>
    <row r="15" spans="1:4" x14ac:dyDescent="0.2">
      <c r="A15">
        <v>2100</v>
      </c>
      <c r="B15" t="s">
        <v>741</v>
      </c>
      <c r="C15" s="176">
        <f>ROUND('DOE25'!L194+'DOE25'!L212+'DOE25'!L230+'DOE25'!L273+'DOE25'!L292+'DOE25'!L311,0)</f>
        <v>394250</v>
      </c>
      <c r="D15" s="179">
        <f t="shared" ref="D15:D27" si="0">ROUND((C15/$C$28)*100,1)</f>
        <v>4.2</v>
      </c>
    </row>
    <row r="16" spans="1:4" x14ac:dyDescent="0.2">
      <c r="A16">
        <v>2200</v>
      </c>
      <c r="B16" t="s">
        <v>742</v>
      </c>
      <c r="C16" s="176">
        <f>ROUND('DOE25'!L195+'DOE25'!L213+'DOE25'!L231+'DOE25'!L274+'DOE25'!L293+'DOE25'!L312,0)</f>
        <v>492673</v>
      </c>
      <c r="D16" s="179">
        <f t="shared" si="0"/>
        <v>5.2</v>
      </c>
    </row>
    <row r="17" spans="1:4" x14ac:dyDescent="0.2">
      <c r="A17" s="180" t="s">
        <v>758</v>
      </c>
      <c r="B17" t="s">
        <v>773</v>
      </c>
      <c r="C17" s="176">
        <f>ROUND('DOE25'!L196+'DOE25'!L201+'DOE25'!L214+'DOE25'!L219+'DOE25'!L232+'DOE25'!L237+'DOE25'!L275+'DOE25'!L280+'DOE25'!L294+'DOE25'!L299+'DOE25'!L313+'DOE25'!L318,0)</f>
        <v>522961</v>
      </c>
      <c r="D17" s="179">
        <f t="shared" si="0"/>
        <v>5.6</v>
      </c>
    </row>
    <row r="18" spans="1:4" x14ac:dyDescent="0.2">
      <c r="A18">
        <v>2400</v>
      </c>
      <c r="B18" t="s">
        <v>746</v>
      </c>
      <c r="C18" s="176">
        <f>ROUND('DOE25'!L197+'DOE25'!L215+'DOE25'!L233+'DOE25'!L276+'DOE25'!L295+'DOE25'!L314,0)</f>
        <v>529814</v>
      </c>
      <c r="D18" s="179">
        <f t="shared" si="0"/>
        <v>5.6</v>
      </c>
    </row>
    <row r="19" spans="1:4" x14ac:dyDescent="0.2">
      <c r="A19">
        <v>2500</v>
      </c>
      <c r="B19" t="s">
        <v>743</v>
      </c>
      <c r="C19" s="176">
        <f>ROUND('DOE25'!L198+'DOE25'!L216+'DOE25'!L234+'DOE25'!L277+'DOE25'!L296+'DOE25'!L315,0)</f>
        <v>48527</v>
      </c>
      <c r="D19" s="179">
        <f t="shared" si="0"/>
        <v>0.5</v>
      </c>
    </row>
    <row r="20" spans="1:4" x14ac:dyDescent="0.2">
      <c r="A20">
        <v>2600</v>
      </c>
      <c r="B20" t="s">
        <v>744</v>
      </c>
      <c r="C20" s="176">
        <f>ROUND('DOE25'!L199+'DOE25'!L217+'DOE25'!L235+'DOE25'!L278+'DOE25'!L297+'DOE25'!L316,0)</f>
        <v>756126</v>
      </c>
      <c r="D20" s="179">
        <f t="shared" si="0"/>
        <v>8</v>
      </c>
    </row>
    <row r="21" spans="1:4" x14ac:dyDescent="0.2">
      <c r="A21">
        <v>2700</v>
      </c>
      <c r="B21" t="s">
        <v>745</v>
      </c>
      <c r="C21" s="176">
        <f>ROUND('DOE25'!L200+'DOE25'!L218+'DOE25'!L236+'DOE25'!L279+'DOE25'!L298+'DOE25'!L317,0)</f>
        <v>411172</v>
      </c>
      <c r="D21" s="179">
        <f t="shared" si="0"/>
        <v>4.4000000000000004</v>
      </c>
    </row>
    <row r="22" spans="1:4" x14ac:dyDescent="0.2">
      <c r="A22">
        <v>2900</v>
      </c>
      <c r="B22" t="s">
        <v>747</v>
      </c>
      <c r="C22" s="176">
        <v>0</v>
      </c>
      <c r="D22" s="179">
        <f t="shared" si="0"/>
        <v>0</v>
      </c>
    </row>
    <row r="23" spans="1:4" x14ac:dyDescent="0.2">
      <c r="A23">
        <v>1500</v>
      </c>
      <c r="B23" t="s">
        <v>749</v>
      </c>
      <c r="C23" s="176">
        <f>ROUND('DOE25'!L242+'DOE25'!L324,0)</f>
        <v>0</v>
      </c>
      <c r="D23" s="179">
        <f t="shared" si="0"/>
        <v>0</v>
      </c>
    </row>
    <row r="24" spans="1:4" x14ac:dyDescent="0.2">
      <c r="A24" s="180" t="s">
        <v>757</v>
      </c>
      <c r="B24" t="s">
        <v>750</v>
      </c>
      <c r="C24" s="176">
        <f>ROUND('DOE25'!L243+'DOE25'!L244+'DOE25'!L245+'DOE25'!L246+'DOE25'!L325+'DOE25'!L326+'DOE25'!L327,0)</f>
        <v>0</v>
      </c>
      <c r="D24" s="179">
        <f t="shared" si="0"/>
        <v>0</v>
      </c>
    </row>
    <row r="25" spans="1:4" x14ac:dyDescent="0.2">
      <c r="A25">
        <v>5120</v>
      </c>
      <c r="B25" t="s">
        <v>751</v>
      </c>
      <c r="C25" s="176">
        <f>ROUND('DOE25'!L253+'DOE25'!L334,0)</f>
        <v>136173</v>
      </c>
      <c r="D25" s="179">
        <f t="shared" si="0"/>
        <v>1.4</v>
      </c>
    </row>
    <row r="26" spans="1:4" x14ac:dyDescent="0.2">
      <c r="A26" s="180" t="s">
        <v>752</v>
      </c>
      <c r="B26" t="s">
        <v>753</v>
      </c>
      <c r="C26" s="176">
        <f>'DOE25'!L260+'DOE25'!L261+'DOE25'!L341+'DOE25'!L342</f>
        <v>0</v>
      </c>
      <c r="D26" s="179">
        <f t="shared" si="0"/>
        <v>0</v>
      </c>
    </row>
    <row r="27" spans="1:4" x14ac:dyDescent="0.2">
      <c r="A27">
        <v>3100</v>
      </c>
      <c r="B27" t="s">
        <v>11</v>
      </c>
      <c r="C27" s="176">
        <f>ROUND('DOE25'!L354-'DOE25'!L353,0)-SUM('DOE25'!G89:G102)</f>
        <v>196638.41</v>
      </c>
      <c r="D27" s="179">
        <f t="shared" si="0"/>
        <v>2.1</v>
      </c>
    </row>
    <row r="28" spans="1:4" x14ac:dyDescent="0.2">
      <c r="B28" s="184" t="s">
        <v>754</v>
      </c>
      <c r="C28" s="177">
        <f>SUM(C10:C27)</f>
        <v>9397232.4100000001</v>
      </c>
      <c r="D28" s="181">
        <f>ROUND(SUM(D10:D27),0)</f>
        <v>100</v>
      </c>
    </row>
    <row r="29" spans="1:4" x14ac:dyDescent="0.2">
      <c r="A29">
        <v>4000</v>
      </c>
      <c r="B29" t="s">
        <v>759</v>
      </c>
      <c r="C29" s="176">
        <f>ROUND('DOE25'!L247+'DOE25'!L328+'DOE25'!L366+'DOE25'!L367+'DOE25'!L368+'DOE25'!L369+'DOE25'!L370+'DOE25'!L371+'DOE25'!L372,0)</f>
        <v>19048</v>
      </c>
    </row>
    <row r="30" spans="1:4" x14ac:dyDescent="0.2">
      <c r="B30" s="184" t="s">
        <v>760</v>
      </c>
      <c r="C30" s="177">
        <f>SUM(C28:C29)</f>
        <v>9416280.4100000001</v>
      </c>
    </row>
    <row r="31" spans="1:4" x14ac:dyDescent="0.2">
      <c r="B31" s="33"/>
      <c r="C31" s="177"/>
    </row>
    <row r="32" spans="1:4" x14ac:dyDescent="0.2">
      <c r="A32">
        <v>5100</v>
      </c>
      <c r="B32" s="33" t="s">
        <v>761</v>
      </c>
      <c r="C32" s="177">
        <f>ROUND('DOE25'!L252+'DOE25'!L333,0)</f>
        <v>275000</v>
      </c>
    </row>
    <row r="34" spans="1:4" x14ac:dyDescent="0.2">
      <c r="A34" s="184" t="s">
        <v>94</v>
      </c>
      <c r="B34" s="185" t="s">
        <v>893</v>
      </c>
      <c r="C34" s="178" t="s">
        <v>755</v>
      </c>
      <c r="D34" s="178" t="s">
        <v>756</v>
      </c>
    </row>
    <row r="35" spans="1:4" x14ac:dyDescent="0.2">
      <c r="A35">
        <v>1100</v>
      </c>
      <c r="B35" s="182" t="s">
        <v>762</v>
      </c>
      <c r="C35" s="176">
        <f>ROUND('DOE25'!F52+'DOE25'!G52+'DOE25'!H52+'DOE25'!I52+'DOE25'!J52,0)</f>
        <v>4133091</v>
      </c>
      <c r="D35" s="179">
        <f t="shared" ref="D35:D40" si="1">ROUND((C35/$C$41)*100,1)</f>
        <v>43.4</v>
      </c>
    </row>
    <row r="36" spans="1:4" x14ac:dyDescent="0.2">
      <c r="B36" s="182" t="s">
        <v>774</v>
      </c>
      <c r="C36" s="176">
        <f>SUM('DOE25'!F104:J104)-SUM('DOE25'!G89:G102)+('DOE25'!F166+'DOE25'!F167+'DOE25'!I166+'DOE25'!I167)-C35</f>
        <v>21749.910000000149</v>
      </c>
      <c r="D36" s="179">
        <f t="shared" si="1"/>
        <v>0.2</v>
      </c>
    </row>
    <row r="37" spans="1:4" x14ac:dyDescent="0.2">
      <c r="A37" s="180" t="s">
        <v>890</v>
      </c>
      <c r="B37" s="182" t="s">
        <v>763</v>
      </c>
      <c r="C37" s="176">
        <f>ROUND('DOE25'!F109+'DOE25'!F110+'DOE25'!F111,0)</f>
        <v>3972339</v>
      </c>
      <c r="D37" s="179">
        <f t="shared" si="1"/>
        <v>41.7</v>
      </c>
    </row>
    <row r="38" spans="1:4" x14ac:dyDescent="0.2">
      <c r="A38" s="180" t="s">
        <v>769</v>
      </c>
      <c r="B38" s="182" t="s">
        <v>764</v>
      </c>
      <c r="C38" s="176">
        <f>ROUND(SUM('DOE25'!F132:J132)-SUM('DOE25'!F109:F111),0)</f>
        <v>240141</v>
      </c>
      <c r="D38" s="179">
        <f t="shared" si="1"/>
        <v>2.5</v>
      </c>
    </row>
    <row r="39" spans="1:4" x14ac:dyDescent="0.2">
      <c r="A39">
        <v>4000</v>
      </c>
      <c r="B39" s="182" t="s">
        <v>765</v>
      </c>
      <c r="C39" s="176">
        <f>ROUND('DOE25'!F161+'DOE25'!G161+'DOE25'!H161+'DOE25'!I161,0)</f>
        <v>1151423</v>
      </c>
      <c r="D39" s="179">
        <f t="shared" si="1"/>
        <v>12.1</v>
      </c>
    </row>
    <row r="40" spans="1:4" x14ac:dyDescent="0.2">
      <c r="A40" s="180" t="s">
        <v>770</v>
      </c>
      <c r="B40" s="182" t="s">
        <v>766</v>
      </c>
      <c r="C40" s="176">
        <f>ROUND(SUM('DOE25'!F181:F183)+SUM('DOE25'!G181:G183)+SUM('DOE25'!H181:H183)+SUM('DOE25'!I181:I183),0)</f>
        <v>0</v>
      </c>
      <c r="D40" s="179">
        <f t="shared" si="1"/>
        <v>0</v>
      </c>
    </row>
    <row r="41" spans="1:4" x14ac:dyDescent="0.2">
      <c r="B41" s="184" t="s">
        <v>767</v>
      </c>
      <c r="C41" s="177">
        <f>SUM(C35:C40)</f>
        <v>9518743.9100000001</v>
      </c>
      <c r="D41" s="181">
        <f>SUM(D35:D40)</f>
        <v>99.9</v>
      </c>
    </row>
    <row r="42" spans="1:4" x14ac:dyDescent="0.2">
      <c r="A42" s="180" t="s">
        <v>772</v>
      </c>
      <c r="B42" s="182" t="s">
        <v>768</v>
      </c>
      <c r="C42" s="176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14D0-535F-4179-B9D8-4529A7762BD5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801</v>
      </c>
      <c r="B1" s="285"/>
      <c r="C1" s="285"/>
      <c r="D1" s="285"/>
      <c r="E1" s="285"/>
      <c r="F1" s="285"/>
      <c r="G1" s="285"/>
      <c r="H1" s="285"/>
      <c r="I1" s="285"/>
      <c r="J1" s="210"/>
      <c r="K1" s="210"/>
      <c r="L1" s="210"/>
      <c r="M1" s="211"/>
    </row>
    <row r="2" spans="1:26" ht="12.75" x14ac:dyDescent="0.2">
      <c r="A2" s="282" t="s">
        <v>798</v>
      </c>
      <c r="B2" s="283"/>
      <c r="C2" s="283"/>
      <c r="D2" s="283"/>
      <c r="E2" s="283"/>
      <c r="F2" s="288" t="str">
        <f>'DOE25'!A2</f>
        <v>Milton SD</v>
      </c>
      <c r="G2" s="289"/>
      <c r="H2" s="289"/>
      <c r="I2" s="289"/>
      <c r="J2" s="52"/>
      <c r="K2" s="52"/>
      <c r="L2" s="52"/>
      <c r="M2" s="212"/>
    </row>
    <row r="3" spans="1:26" x14ac:dyDescent="0.2">
      <c r="A3" s="213" t="s">
        <v>799</v>
      </c>
      <c r="B3" s="214" t="s">
        <v>800</v>
      </c>
      <c r="C3" s="286" t="s">
        <v>802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5">
        <v>5</v>
      </c>
      <c r="B4" s="216">
        <v>7</v>
      </c>
      <c r="C4" s="276" t="s">
        <v>898</v>
      </c>
      <c r="D4" s="276"/>
      <c r="E4" s="276"/>
      <c r="F4" s="276"/>
      <c r="G4" s="276"/>
      <c r="H4" s="276"/>
      <c r="I4" s="276"/>
      <c r="J4" s="276"/>
      <c r="K4" s="276"/>
      <c r="L4" s="276"/>
      <c r="M4" s="27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5"/>
      <c r="B5" s="21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5"/>
      <c r="B6" s="21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5"/>
      <c r="B7" s="21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5"/>
      <c r="B8" s="21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5"/>
      <c r="B9" s="21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5"/>
      <c r="B10" s="21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5"/>
      <c r="B11" s="21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5"/>
      <c r="B12" s="21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5"/>
      <c r="B13" s="21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5"/>
      <c r="B14" s="21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5"/>
      <c r="B15" s="216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5"/>
      <c r="B16" s="216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5"/>
      <c r="B17" s="21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5"/>
      <c r="B18" s="21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5"/>
      <c r="B19" s="21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5"/>
      <c r="B20" s="216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5"/>
      <c r="B21" s="21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5"/>
      <c r="B22" s="216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5"/>
      <c r="B23" s="216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5"/>
      <c r="B24" s="21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5"/>
      <c r="B25" s="21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5"/>
      <c r="B26" s="216"/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5"/>
      <c r="B27" s="21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5"/>
      <c r="B28" s="21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5"/>
      <c r="B29" s="216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7"/>
      <c r="N29" s="208"/>
      <c r="O29" s="208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4"/>
      <c r="AB29" s="204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4"/>
      <c r="AO29" s="204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4"/>
      <c r="BB29" s="204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4"/>
      <c r="BO29" s="204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4"/>
      <c r="CB29" s="204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4"/>
      <c r="CO29" s="204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4"/>
      <c r="DB29" s="204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4"/>
      <c r="DO29" s="204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4"/>
      <c r="EB29" s="204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4"/>
      <c r="EO29" s="204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4"/>
      <c r="FB29" s="204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4"/>
      <c r="FO29" s="204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4"/>
      <c r="GB29" s="204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4"/>
      <c r="GO29" s="204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4"/>
      <c r="HB29" s="204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4"/>
      <c r="HO29" s="204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4"/>
      <c r="IB29" s="204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4"/>
      <c r="IO29" s="204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5"/>
      <c r="B30" s="21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7"/>
      <c r="N30" s="208"/>
      <c r="O30" s="208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4"/>
      <c r="AB30" s="204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4"/>
      <c r="AO30" s="204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4"/>
      <c r="BB30" s="204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4"/>
      <c r="BO30" s="204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4"/>
      <c r="CB30" s="204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4"/>
      <c r="CO30" s="204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4"/>
      <c r="DB30" s="204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4"/>
      <c r="DO30" s="204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4"/>
      <c r="EB30" s="204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4"/>
      <c r="EO30" s="204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4"/>
      <c r="FB30" s="204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4"/>
      <c r="FO30" s="204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4"/>
      <c r="GB30" s="204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4"/>
      <c r="GO30" s="204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4"/>
      <c r="HB30" s="204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4"/>
      <c r="HO30" s="204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4"/>
      <c r="IB30" s="204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4"/>
      <c r="IO30" s="204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5"/>
      <c r="B31" s="216"/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7"/>
      <c r="N31" s="208"/>
      <c r="O31" s="208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4"/>
      <c r="AB31" s="204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4"/>
      <c r="AO31" s="204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4"/>
      <c r="BB31" s="204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4"/>
      <c r="BO31" s="204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4"/>
      <c r="CB31" s="204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4"/>
      <c r="CO31" s="204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4"/>
      <c r="DB31" s="204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4"/>
      <c r="DO31" s="204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4"/>
      <c r="EB31" s="204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4"/>
      <c r="EO31" s="204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4"/>
      <c r="FB31" s="204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4"/>
      <c r="FO31" s="204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4"/>
      <c r="GB31" s="204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4"/>
      <c r="GO31" s="204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4"/>
      <c r="HB31" s="204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4"/>
      <c r="HO31" s="204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4"/>
      <c r="IB31" s="204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4"/>
      <c r="IO31" s="204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5"/>
      <c r="B32" s="21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7"/>
      <c r="N32" s="220"/>
      <c r="O32" s="220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5"/>
      <c r="AB32" s="21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7"/>
      <c r="AN32" s="215"/>
      <c r="AO32" s="21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7"/>
      <c r="BA32" s="215"/>
      <c r="BB32" s="216"/>
      <c r="BC32" s="276"/>
      <c r="BD32" s="276"/>
      <c r="BE32" s="276"/>
      <c r="BF32" s="276"/>
      <c r="BG32" s="276"/>
      <c r="BH32" s="276"/>
      <c r="BI32" s="276"/>
      <c r="BJ32" s="276"/>
      <c r="BK32" s="276"/>
      <c r="BL32" s="276"/>
      <c r="BM32" s="277"/>
      <c r="BN32" s="215"/>
      <c r="BO32" s="216"/>
      <c r="BP32" s="276"/>
      <c r="BQ32" s="276"/>
      <c r="BR32" s="276"/>
      <c r="BS32" s="276"/>
      <c r="BT32" s="276"/>
      <c r="BU32" s="276"/>
      <c r="BV32" s="276"/>
      <c r="BW32" s="276"/>
      <c r="BX32" s="276"/>
      <c r="BY32" s="276"/>
      <c r="BZ32" s="277"/>
      <c r="CA32" s="215"/>
      <c r="CB32" s="216"/>
      <c r="CC32" s="276"/>
      <c r="CD32" s="276"/>
      <c r="CE32" s="276"/>
      <c r="CF32" s="276"/>
      <c r="CG32" s="276"/>
      <c r="CH32" s="276"/>
      <c r="CI32" s="276"/>
      <c r="CJ32" s="276"/>
      <c r="CK32" s="276"/>
      <c r="CL32" s="276"/>
      <c r="CM32" s="277"/>
      <c r="CN32" s="215"/>
      <c r="CO32" s="216"/>
      <c r="CP32" s="276"/>
      <c r="CQ32" s="276"/>
      <c r="CR32" s="276"/>
      <c r="CS32" s="276"/>
      <c r="CT32" s="276"/>
      <c r="CU32" s="276"/>
      <c r="CV32" s="276"/>
      <c r="CW32" s="276"/>
      <c r="CX32" s="276"/>
      <c r="CY32" s="276"/>
      <c r="CZ32" s="277"/>
      <c r="DA32" s="215"/>
      <c r="DB32" s="216"/>
      <c r="DC32" s="276"/>
      <c r="DD32" s="276"/>
      <c r="DE32" s="276"/>
      <c r="DF32" s="276"/>
      <c r="DG32" s="276"/>
      <c r="DH32" s="276"/>
      <c r="DI32" s="276"/>
      <c r="DJ32" s="276"/>
      <c r="DK32" s="276"/>
      <c r="DL32" s="276"/>
      <c r="DM32" s="277"/>
      <c r="DN32" s="215"/>
      <c r="DO32" s="216"/>
      <c r="DP32" s="276"/>
      <c r="DQ32" s="276"/>
      <c r="DR32" s="276"/>
      <c r="DS32" s="276"/>
      <c r="DT32" s="276"/>
      <c r="DU32" s="276"/>
      <c r="DV32" s="276"/>
      <c r="DW32" s="276"/>
      <c r="DX32" s="276"/>
      <c r="DY32" s="276"/>
      <c r="DZ32" s="277"/>
      <c r="EA32" s="215"/>
      <c r="EB32" s="216"/>
      <c r="EC32" s="276"/>
      <c r="ED32" s="276"/>
      <c r="EE32" s="276"/>
      <c r="EF32" s="276"/>
      <c r="EG32" s="276"/>
      <c r="EH32" s="276"/>
      <c r="EI32" s="276"/>
      <c r="EJ32" s="276"/>
      <c r="EK32" s="276"/>
      <c r="EL32" s="276"/>
      <c r="EM32" s="277"/>
      <c r="EN32" s="215"/>
      <c r="EO32" s="216"/>
      <c r="EP32" s="276"/>
      <c r="EQ32" s="276"/>
      <c r="ER32" s="276"/>
      <c r="ES32" s="276"/>
      <c r="ET32" s="276"/>
      <c r="EU32" s="276"/>
      <c r="EV32" s="276"/>
      <c r="EW32" s="276"/>
      <c r="EX32" s="276"/>
      <c r="EY32" s="276"/>
      <c r="EZ32" s="277"/>
      <c r="FA32" s="215"/>
      <c r="FB32" s="216"/>
      <c r="FC32" s="276"/>
      <c r="FD32" s="276"/>
      <c r="FE32" s="276"/>
      <c r="FF32" s="276"/>
      <c r="FG32" s="276"/>
      <c r="FH32" s="276"/>
      <c r="FI32" s="276"/>
      <c r="FJ32" s="276"/>
      <c r="FK32" s="276"/>
      <c r="FL32" s="276"/>
      <c r="FM32" s="277"/>
      <c r="FN32" s="215"/>
      <c r="FO32" s="216"/>
      <c r="FP32" s="276"/>
      <c r="FQ32" s="276"/>
      <c r="FR32" s="276"/>
      <c r="FS32" s="276"/>
      <c r="FT32" s="276"/>
      <c r="FU32" s="276"/>
      <c r="FV32" s="276"/>
      <c r="FW32" s="276"/>
      <c r="FX32" s="276"/>
      <c r="FY32" s="276"/>
      <c r="FZ32" s="277"/>
      <c r="GA32" s="215"/>
      <c r="GB32" s="216"/>
      <c r="GC32" s="276"/>
      <c r="GD32" s="276"/>
      <c r="GE32" s="276"/>
      <c r="GF32" s="276"/>
      <c r="GG32" s="276"/>
      <c r="GH32" s="276"/>
      <c r="GI32" s="276"/>
      <c r="GJ32" s="276"/>
      <c r="GK32" s="276"/>
      <c r="GL32" s="276"/>
      <c r="GM32" s="277"/>
      <c r="GN32" s="215"/>
      <c r="GO32" s="216"/>
      <c r="GP32" s="276"/>
      <c r="GQ32" s="276"/>
      <c r="GR32" s="276"/>
      <c r="GS32" s="276"/>
      <c r="GT32" s="276"/>
      <c r="GU32" s="276"/>
      <c r="GV32" s="276"/>
      <c r="GW32" s="276"/>
      <c r="GX32" s="276"/>
      <c r="GY32" s="276"/>
      <c r="GZ32" s="277"/>
      <c r="HA32" s="215"/>
      <c r="HB32" s="216"/>
      <c r="HC32" s="276"/>
      <c r="HD32" s="276"/>
      <c r="HE32" s="276"/>
      <c r="HF32" s="276"/>
      <c r="HG32" s="276"/>
      <c r="HH32" s="276"/>
      <c r="HI32" s="276"/>
      <c r="HJ32" s="276"/>
      <c r="HK32" s="276"/>
      <c r="HL32" s="276"/>
      <c r="HM32" s="277"/>
      <c r="HN32" s="215"/>
      <c r="HO32" s="216"/>
      <c r="HP32" s="276"/>
      <c r="HQ32" s="276"/>
      <c r="HR32" s="276"/>
      <c r="HS32" s="276"/>
      <c r="HT32" s="276"/>
      <c r="HU32" s="276"/>
      <c r="HV32" s="276"/>
      <c r="HW32" s="276"/>
      <c r="HX32" s="276"/>
      <c r="HY32" s="276"/>
      <c r="HZ32" s="277"/>
      <c r="IA32" s="215"/>
      <c r="IB32" s="216"/>
      <c r="IC32" s="276"/>
      <c r="ID32" s="276"/>
      <c r="IE32" s="276"/>
      <c r="IF32" s="276"/>
      <c r="IG32" s="276"/>
      <c r="IH32" s="276"/>
      <c r="II32" s="276"/>
      <c r="IJ32" s="276"/>
      <c r="IK32" s="276"/>
      <c r="IL32" s="276"/>
      <c r="IM32" s="277"/>
      <c r="IN32" s="215"/>
      <c r="IO32" s="216"/>
      <c r="IP32" s="276"/>
      <c r="IQ32" s="276"/>
      <c r="IR32" s="276"/>
      <c r="IS32" s="276"/>
      <c r="IT32" s="276"/>
      <c r="IU32" s="276"/>
      <c r="IV32" s="276"/>
    </row>
    <row r="33" spans="1:256" x14ac:dyDescent="0.2">
      <c r="A33" s="215"/>
      <c r="B33" s="21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7"/>
      <c r="N33" s="208"/>
      <c r="O33" s="208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04"/>
      <c r="AB33" s="204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4"/>
      <c r="AO33" s="204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4"/>
      <c r="BB33" s="204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204"/>
      <c r="BO33" s="204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4"/>
      <c r="CB33" s="204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4"/>
      <c r="CO33" s="204"/>
      <c r="CP33" s="209"/>
      <c r="CQ33" s="209"/>
      <c r="CR33" s="209"/>
      <c r="CS33" s="209"/>
      <c r="CT33" s="209"/>
      <c r="CU33" s="209"/>
      <c r="CV33" s="209"/>
      <c r="CW33" s="209"/>
      <c r="CX33" s="209"/>
      <c r="CY33" s="209"/>
      <c r="CZ33" s="209"/>
      <c r="DA33" s="204"/>
      <c r="DB33" s="204"/>
      <c r="DC33" s="209"/>
      <c r="DD33" s="209"/>
      <c r="DE33" s="209"/>
      <c r="DF33" s="209"/>
      <c r="DG33" s="209"/>
      <c r="DH33" s="209"/>
      <c r="DI33" s="209"/>
      <c r="DJ33" s="209"/>
      <c r="DK33" s="209"/>
      <c r="DL33" s="209"/>
      <c r="DM33" s="209"/>
      <c r="DN33" s="204"/>
      <c r="DO33" s="204"/>
      <c r="DP33" s="209"/>
      <c r="DQ33" s="209"/>
      <c r="DR33" s="209"/>
      <c r="DS33" s="209"/>
      <c r="DT33" s="209"/>
      <c r="DU33" s="209"/>
      <c r="DV33" s="209"/>
      <c r="DW33" s="209"/>
      <c r="DX33" s="209"/>
      <c r="DY33" s="209"/>
      <c r="DZ33" s="209"/>
      <c r="EA33" s="204"/>
      <c r="EB33" s="204"/>
      <c r="EC33" s="209"/>
      <c r="ED33" s="209"/>
      <c r="EE33" s="209"/>
      <c r="EF33" s="209"/>
      <c r="EG33" s="209"/>
      <c r="EH33" s="209"/>
      <c r="EI33" s="209"/>
      <c r="EJ33" s="209"/>
      <c r="EK33" s="209"/>
      <c r="EL33" s="209"/>
      <c r="EM33" s="209"/>
      <c r="EN33" s="204"/>
      <c r="EO33" s="204"/>
      <c r="EP33" s="209"/>
      <c r="EQ33" s="209"/>
      <c r="ER33" s="209"/>
      <c r="ES33" s="209"/>
      <c r="ET33" s="209"/>
      <c r="EU33" s="209"/>
      <c r="EV33" s="209"/>
      <c r="EW33" s="209"/>
      <c r="EX33" s="209"/>
      <c r="EY33" s="209"/>
      <c r="EZ33" s="209"/>
      <c r="FA33" s="204"/>
      <c r="FB33" s="204"/>
      <c r="FC33" s="209"/>
      <c r="FD33" s="209"/>
      <c r="FE33" s="209"/>
      <c r="FF33" s="209"/>
      <c r="FG33" s="209"/>
      <c r="FH33" s="209"/>
      <c r="FI33" s="209"/>
      <c r="FJ33" s="209"/>
      <c r="FK33" s="209"/>
      <c r="FL33" s="209"/>
      <c r="FM33" s="209"/>
      <c r="FN33" s="204"/>
      <c r="FO33" s="204"/>
      <c r="FP33" s="209"/>
      <c r="FQ33" s="209"/>
      <c r="FR33" s="209"/>
      <c r="FS33" s="209"/>
      <c r="FT33" s="209"/>
      <c r="FU33" s="209"/>
      <c r="FV33" s="209"/>
      <c r="FW33" s="209"/>
      <c r="FX33" s="209"/>
      <c r="FY33" s="209"/>
      <c r="FZ33" s="209"/>
      <c r="GA33" s="204"/>
      <c r="GB33" s="204"/>
      <c r="GC33" s="209"/>
      <c r="GD33" s="209"/>
      <c r="GE33" s="209"/>
      <c r="GF33" s="209"/>
      <c r="GG33" s="209"/>
      <c r="GH33" s="209"/>
      <c r="GI33" s="209"/>
      <c r="GJ33" s="209"/>
      <c r="GK33" s="209"/>
      <c r="GL33" s="209"/>
      <c r="GM33" s="209"/>
      <c r="GN33" s="204"/>
      <c r="GO33" s="204"/>
      <c r="GP33" s="209"/>
      <c r="GQ33" s="209"/>
      <c r="GR33" s="209"/>
      <c r="GS33" s="209"/>
      <c r="GT33" s="209"/>
      <c r="GU33" s="209"/>
      <c r="GV33" s="209"/>
      <c r="GW33" s="209"/>
      <c r="GX33" s="209"/>
      <c r="GY33" s="209"/>
      <c r="GZ33" s="209"/>
      <c r="HA33" s="204"/>
      <c r="HB33" s="204"/>
      <c r="HC33" s="209"/>
      <c r="HD33" s="209"/>
      <c r="HE33" s="209"/>
      <c r="HF33" s="209"/>
      <c r="HG33" s="209"/>
      <c r="HH33" s="209"/>
      <c r="HI33" s="209"/>
      <c r="HJ33" s="209"/>
      <c r="HK33" s="209"/>
      <c r="HL33" s="209"/>
      <c r="HM33" s="209"/>
      <c r="HN33" s="204"/>
      <c r="HO33" s="204"/>
      <c r="HP33" s="209"/>
      <c r="HQ33" s="209"/>
      <c r="HR33" s="209"/>
      <c r="HS33" s="209"/>
      <c r="HT33" s="209"/>
      <c r="HU33" s="209"/>
      <c r="HV33" s="209"/>
      <c r="HW33" s="209"/>
      <c r="HX33" s="209"/>
      <c r="HY33" s="209"/>
      <c r="HZ33" s="209"/>
      <c r="IA33" s="204"/>
      <c r="IB33" s="204"/>
      <c r="IC33" s="209"/>
      <c r="ID33" s="209"/>
      <c r="IE33" s="209"/>
      <c r="IF33" s="209"/>
      <c r="IG33" s="209"/>
      <c r="IH33" s="209"/>
      <c r="II33" s="209"/>
      <c r="IJ33" s="209"/>
      <c r="IK33" s="209"/>
      <c r="IL33" s="209"/>
      <c r="IM33" s="209"/>
      <c r="IN33" s="204"/>
      <c r="IO33" s="204"/>
      <c r="IP33" s="209"/>
      <c r="IQ33" s="209"/>
      <c r="IR33" s="209"/>
      <c r="IS33" s="209"/>
      <c r="IT33" s="209"/>
      <c r="IU33" s="209"/>
      <c r="IV33" s="209"/>
    </row>
    <row r="34" spans="1:256" x14ac:dyDescent="0.2">
      <c r="A34" s="215"/>
      <c r="B34" s="216"/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7"/>
      <c r="N34" s="208"/>
      <c r="O34" s="208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04"/>
      <c r="AB34" s="204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4"/>
      <c r="AO34" s="204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4"/>
      <c r="BB34" s="204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4"/>
      <c r="BO34" s="204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4"/>
      <c r="CB34" s="204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204"/>
      <c r="CO34" s="204"/>
      <c r="CP34" s="209"/>
      <c r="CQ34" s="209"/>
      <c r="CR34" s="209"/>
      <c r="CS34" s="209"/>
      <c r="CT34" s="209"/>
      <c r="CU34" s="209"/>
      <c r="CV34" s="209"/>
      <c r="CW34" s="209"/>
      <c r="CX34" s="209"/>
      <c r="CY34" s="209"/>
      <c r="CZ34" s="209"/>
      <c r="DA34" s="204"/>
      <c r="DB34" s="204"/>
      <c r="DC34" s="209"/>
      <c r="DD34" s="209"/>
      <c r="DE34" s="209"/>
      <c r="DF34" s="209"/>
      <c r="DG34" s="209"/>
      <c r="DH34" s="209"/>
      <c r="DI34" s="209"/>
      <c r="DJ34" s="209"/>
      <c r="DK34" s="209"/>
      <c r="DL34" s="209"/>
      <c r="DM34" s="209"/>
      <c r="DN34" s="204"/>
      <c r="DO34" s="204"/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09"/>
      <c r="EA34" s="204"/>
      <c r="EB34" s="204"/>
      <c r="EC34" s="209"/>
      <c r="ED34" s="209"/>
      <c r="EE34" s="209"/>
      <c r="EF34" s="209"/>
      <c r="EG34" s="209"/>
      <c r="EH34" s="209"/>
      <c r="EI34" s="209"/>
      <c r="EJ34" s="209"/>
      <c r="EK34" s="209"/>
      <c r="EL34" s="209"/>
      <c r="EM34" s="209"/>
      <c r="EN34" s="204"/>
      <c r="EO34" s="204"/>
      <c r="EP34" s="209"/>
      <c r="EQ34" s="209"/>
      <c r="ER34" s="209"/>
      <c r="ES34" s="209"/>
      <c r="ET34" s="209"/>
      <c r="EU34" s="209"/>
      <c r="EV34" s="209"/>
      <c r="EW34" s="209"/>
      <c r="EX34" s="209"/>
      <c r="EY34" s="209"/>
      <c r="EZ34" s="209"/>
      <c r="FA34" s="204"/>
      <c r="FB34" s="204"/>
      <c r="FC34" s="209"/>
      <c r="FD34" s="209"/>
      <c r="FE34" s="209"/>
      <c r="FF34" s="209"/>
      <c r="FG34" s="209"/>
      <c r="FH34" s="209"/>
      <c r="FI34" s="209"/>
      <c r="FJ34" s="209"/>
      <c r="FK34" s="209"/>
      <c r="FL34" s="209"/>
      <c r="FM34" s="209"/>
      <c r="FN34" s="204"/>
      <c r="FO34" s="204"/>
      <c r="FP34" s="209"/>
      <c r="FQ34" s="209"/>
      <c r="FR34" s="209"/>
      <c r="FS34" s="209"/>
      <c r="FT34" s="209"/>
      <c r="FU34" s="209"/>
      <c r="FV34" s="209"/>
      <c r="FW34" s="209"/>
      <c r="FX34" s="209"/>
      <c r="FY34" s="209"/>
      <c r="FZ34" s="209"/>
      <c r="GA34" s="204"/>
      <c r="GB34" s="204"/>
      <c r="GC34" s="209"/>
      <c r="GD34" s="209"/>
      <c r="GE34" s="209"/>
      <c r="GF34" s="209"/>
      <c r="GG34" s="209"/>
      <c r="GH34" s="209"/>
      <c r="GI34" s="209"/>
      <c r="GJ34" s="209"/>
      <c r="GK34" s="209"/>
      <c r="GL34" s="209"/>
      <c r="GM34" s="209"/>
      <c r="GN34" s="204"/>
      <c r="GO34" s="204"/>
      <c r="GP34" s="209"/>
      <c r="GQ34" s="209"/>
      <c r="GR34" s="209"/>
      <c r="GS34" s="209"/>
      <c r="GT34" s="209"/>
      <c r="GU34" s="209"/>
      <c r="GV34" s="209"/>
      <c r="GW34" s="209"/>
      <c r="GX34" s="209"/>
      <c r="GY34" s="209"/>
      <c r="GZ34" s="209"/>
      <c r="HA34" s="204"/>
      <c r="HB34" s="204"/>
      <c r="HC34" s="209"/>
      <c r="HD34" s="209"/>
      <c r="HE34" s="209"/>
      <c r="HF34" s="209"/>
      <c r="HG34" s="209"/>
      <c r="HH34" s="209"/>
      <c r="HI34" s="209"/>
      <c r="HJ34" s="209"/>
      <c r="HK34" s="209"/>
      <c r="HL34" s="209"/>
      <c r="HM34" s="209"/>
      <c r="HN34" s="204"/>
      <c r="HO34" s="204"/>
      <c r="HP34" s="209"/>
      <c r="HQ34" s="209"/>
      <c r="HR34" s="209"/>
      <c r="HS34" s="209"/>
      <c r="HT34" s="209"/>
      <c r="HU34" s="209"/>
      <c r="HV34" s="209"/>
      <c r="HW34" s="209"/>
      <c r="HX34" s="209"/>
      <c r="HY34" s="209"/>
      <c r="HZ34" s="209"/>
      <c r="IA34" s="204"/>
      <c r="IB34" s="204"/>
      <c r="IC34" s="209"/>
      <c r="ID34" s="209"/>
      <c r="IE34" s="209"/>
      <c r="IF34" s="209"/>
      <c r="IG34" s="209"/>
      <c r="IH34" s="209"/>
      <c r="II34" s="209"/>
      <c r="IJ34" s="209"/>
      <c r="IK34" s="209"/>
      <c r="IL34" s="209"/>
      <c r="IM34" s="209"/>
      <c r="IN34" s="204"/>
      <c r="IO34" s="204"/>
      <c r="IP34" s="209"/>
      <c r="IQ34" s="209"/>
      <c r="IR34" s="209"/>
      <c r="IS34" s="209"/>
      <c r="IT34" s="209"/>
      <c r="IU34" s="209"/>
      <c r="IV34" s="209"/>
    </row>
    <row r="35" spans="1:256" x14ac:dyDescent="0.2">
      <c r="A35" s="215"/>
      <c r="B35" s="21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08"/>
      <c r="O35" s="208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04"/>
      <c r="AB35" s="204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4"/>
      <c r="AO35" s="204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4"/>
      <c r="BB35" s="204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4"/>
      <c r="BO35" s="204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4"/>
      <c r="CB35" s="204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4"/>
      <c r="CO35" s="204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4"/>
      <c r="DB35" s="204"/>
      <c r="DC35" s="209"/>
      <c r="DD35" s="209"/>
      <c r="DE35" s="209"/>
      <c r="DF35" s="209"/>
      <c r="DG35" s="209"/>
      <c r="DH35" s="209"/>
      <c r="DI35" s="209"/>
      <c r="DJ35" s="209"/>
      <c r="DK35" s="209"/>
      <c r="DL35" s="209"/>
      <c r="DM35" s="209"/>
      <c r="DN35" s="204"/>
      <c r="DO35" s="204"/>
      <c r="DP35" s="209"/>
      <c r="DQ35" s="209"/>
      <c r="DR35" s="209"/>
      <c r="DS35" s="209"/>
      <c r="DT35" s="209"/>
      <c r="DU35" s="209"/>
      <c r="DV35" s="209"/>
      <c r="DW35" s="209"/>
      <c r="DX35" s="209"/>
      <c r="DY35" s="209"/>
      <c r="DZ35" s="209"/>
      <c r="EA35" s="204"/>
      <c r="EB35" s="204"/>
      <c r="EC35" s="209"/>
      <c r="ED35" s="209"/>
      <c r="EE35" s="209"/>
      <c r="EF35" s="209"/>
      <c r="EG35" s="209"/>
      <c r="EH35" s="209"/>
      <c r="EI35" s="209"/>
      <c r="EJ35" s="209"/>
      <c r="EK35" s="209"/>
      <c r="EL35" s="209"/>
      <c r="EM35" s="209"/>
      <c r="EN35" s="204"/>
      <c r="EO35" s="204"/>
      <c r="EP35" s="209"/>
      <c r="EQ35" s="209"/>
      <c r="ER35" s="209"/>
      <c r="ES35" s="209"/>
      <c r="ET35" s="209"/>
      <c r="EU35" s="209"/>
      <c r="EV35" s="209"/>
      <c r="EW35" s="209"/>
      <c r="EX35" s="209"/>
      <c r="EY35" s="209"/>
      <c r="EZ35" s="209"/>
      <c r="FA35" s="204"/>
      <c r="FB35" s="204"/>
      <c r="FC35" s="209"/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04"/>
      <c r="FO35" s="204"/>
      <c r="FP35" s="209"/>
      <c r="FQ35" s="209"/>
      <c r="FR35" s="209"/>
      <c r="FS35" s="209"/>
      <c r="FT35" s="209"/>
      <c r="FU35" s="209"/>
      <c r="FV35" s="209"/>
      <c r="FW35" s="209"/>
      <c r="FX35" s="209"/>
      <c r="FY35" s="209"/>
      <c r="FZ35" s="209"/>
      <c r="GA35" s="204"/>
      <c r="GB35" s="204"/>
      <c r="GC35" s="209"/>
      <c r="GD35" s="209"/>
      <c r="GE35" s="209"/>
      <c r="GF35" s="209"/>
      <c r="GG35" s="209"/>
      <c r="GH35" s="209"/>
      <c r="GI35" s="209"/>
      <c r="GJ35" s="209"/>
      <c r="GK35" s="209"/>
      <c r="GL35" s="209"/>
      <c r="GM35" s="209"/>
      <c r="GN35" s="204"/>
      <c r="GO35" s="204"/>
      <c r="GP35" s="209"/>
      <c r="GQ35" s="209"/>
      <c r="GR35" s="209"/>
      <c r="GS35" s="209"/>
      <c r="GT35" s="209"/>
      <c r="GU35" s="209"/>
      <c r="GV35" s="209"/>
      <c r="GW35" s="209"/>
      <c r="GX35" s="209"/>
      <c r="GY35" s="209"/>
      <c r="GZ35" s="209"/>
      <c r="HA35" s="204"/>
      <c r="HB35" s="204"/>
      <c r="HC35" s="209"/>
      <c r="HD35" s="209"/>
      <c r="HE35" s="209"/>
      <c r="HF35" s="209"/>
      <c r="HG35" s="209"/>
      <c r="HH35" s="209"/>
      <c r="HI35" s="209"/>
      <c r="HJ35" s="209"/>
      <c r="HK35" s="209"/>
      <c r="HL35" s="209"/>
      <c r="HM35" s="209"/>
      <c r="HN35" s="204"/>
      <c r="HO35" s="204"/>
      <c r="HP35" s="209"/>
      <c r="HQ35" s="209"/>
      <c r="HR35" s="209"/>
      <c r="HS35" s="209"/>
      <c r="HT35" s="209"/>
      <c r="HU35" s="209"/>
      <c r="HV35" s="209"/>
      <c r="HW35" s="209"/>
      <c r="HX35" s="209"/>
      <c r="HY35" s="209"/>
      <c r="HZ35" s="209"/>
      <c r="IA35" s="204"/>
      <c r="IB35" s="204"/>
      <c r="IC35" s="209"/>
      <c r="ID35" s="209"/>
      <c r="IE35" s="209"/>
      <c r="IF35" s="209"/>
      <c r="IG35" s="209"/>
      <c r="IH35" s="209"/>
      <c r="II35" s="209"/>
      <c r="IJ35" s="209"/>
      <c r="IK35" s="209"/>
      <c r="IL35" s="209"/>
      <c r="IM35" s="209"/>
      <c r="IN35" s="204"/>
      <c r="IO35" s="204"/>
      <c r="IP35" s="209"/>
      <c r="IQ35" s="209"/>
      <c r="IR35" s="209"/>
      <c r="IS35" s="209"/>
      <c r="IT35" s="209"/>
      <c r="IU35" s="209"/>
      <c r="IV35" s="209"/>
    </row>
    <row r="36" spans="1:256" x14ac:dyDescent="0.2">
      <c r="A36" s="215"/>
      <c r="B36" s="21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7"/>
      <c r="N36" s="208"/>
      <c r="O36" s="208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04"/>
      <c r="AB36" s="204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4"/>
      <c r="AO36" s="204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4"/>
      <c r="BB36" s="204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4"/>
      <c r="BO36" s="204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4"/>
      <c r="CB36" s="204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204"/>
      <c r="CO36" s="204"/>
      <c r="CP36" s="209"/>
      <c r="CQ36" s="209"/>
      <c r="CR36" s="209"/>
      <c r="CS36" s="209"/>
      <c r="CT36" s="209"/>
      <c r="CU36" s="209"/>
      <c r="CV36" s="209"/>
      <c r="CW36" s="209"/>
      <c r="CX36" s="209"/>
      <c r="CY36" s="209"/>
      <c r="CZ36" s="209"/>
      <c r="DA36" s="204"/>
      <c r="DB36" s="204"/>
      <c r="DC36" s="209"/>
      <c r="DD36" s="209"/>
      <c r="DE36" s="209"/>
      <c r="DF36" s="209"/>
      <c r="DG36" s="209"/>
      <c r="DH36" s="209"/>
      <c r="DI36" s="209"/>
      <c r="DJ36" s="209"/>
      <c r="DK36" s="209"/>
      <c r="DL36" s="209"/>
      <c r="DM36" s="209"/>
      <c r="DN36" s="204"/>
      <c r="DO36" s="204"/>
      <c r="DP36" s="209"/>
      <c r="DQ36" s="209"/>
      <c r="DR36" s="209"/>
      <c r="DS36" s="209"/>
      <c r="DT36" s="209"/>
      <c r="DU36" s="209"/>
      <c r="DV36" s="209"/>
      <c r="DW36" s="209"/>
      <c r="DX36" s="209"/>
      <c r="DY36" s="209"/>
      <c r="DZ36" s="209"/>
      <c r="EA36" s="204"/>
      <c r="EB36" s="204"/>
      <c r="EC36" s="209"/>
      <c r="ED36" s="209"/>
      <c r="EE36" s="209"/>
      <c r="EF36" s="209"/>
      <c r="EG36" s="209"/>
      <c r="EH36" s="209"/>
      <c r="EI36" s="209"/>
      <c r="EJ36" s="209"/>
      <c r="EK36" s="209"/>
      <c r="EL36" s="209"/>
      <c r="EM36" s="209"/>
      <c r="EN36" s="204"/>
      <c r="EO36" s="204"/>
      <c r="EP36" s="209"/>
      <c r="EQ36" s="209"/>
      <c r="ER36" s="209"/>
      <c r="ES36" s="209"/>
      <c r="ET36" s="209"/>
      <c r="EU36" s="209"/>
      <c r="EV36" s="209"/>
      <c r="EW36" s="209"/>
      <c r="EX36" s="209"/>
      <c r="EY36" s="209"/>
      <c r="EZ36" s="209"/>
      <c r="FA36" s="204"/>
      <c r="FB36" s="204"/>
      <c r="FC36" s="209"/>
      <c r="FD36" s="209"/>
      <c r="FE36" s="209"/>
      <c r="FF36" s="209"/>
      <c r="FG36" s="209"/>
      <c r="FH36" s="209"/>
      <c r="FI36" s="209"/>
      <c r="FJ36" s="209"/>
      <c r="FK36" s="209"/>
      <c r="FL36" s="209"/>
      <c r="FM36" s="209"/>
      <c r="FN36" s="204"/>
      <c r="FO36" s="204"/>
      <c r="FP36" s="209"/>
      <c r="FQ36" s="209"/>
      <c r="FR36" s="209"/>
      <c r="FS36" s="209"/>
      <c r="FT36" s="209"/>
      <c r="FU36" s="209"/>
      <c r="FV36" s="209"/>
      <c r="FW36" s="209"/>
      <c r="FX36" s="209"/>
      <c r="FY36" s="209"/>
      <c r="FZ36" s="209"/>
      <c r="GA36" s="204"/>
      <c r="GB36" s="204"/>
      <c r="GC36" s="209"/>
      <c r="GD36" s="209"/>
      <c r="GE36" s="209"/>
      <c r="GF36" s="209"/>
      <c r="GG36" s="209"/>
      <c r="GH36" s="209"/>
      <c r="GI36" s="209"/>
      <c r="GJ36" s="209"/>
      <c r="GK36" s="209"/>
      <c r="GL36" s="209"/>
      <c r="GM36" s="209"/>
      <c r="GN36" s="204"/>
      <c r="GO36" s="204"/>
      <c r="GP36" s="209"/>
      <c r="GQ36" s="209"/>
      <c r="GR36" s="209"/>
      <c r="GS36" s="209"/>
      <c r="GT36" s="209"/>
      <c r="GU36" s="209"/>
      <c r="GV36" s="209"/>
      <c r="GW36" s="209"/>
      <c r="GX36" s="209"/>
      <c r="GY36" s="209"/>
      <c r="GZ36" s="209"/>
      <c r="HA36" s="204"/>
      <c r="HB36" s="204"/>
      <c r="HC36" s="209"/>
      <c r="HD36" s="209"/>
      <c r="HE36" s="209"/>
      <c r="HF36" s="209"/>
      <c r="HG36" s="209"/>
      <c r="HH36" s="209"/>
      <c r="HI36" s="209"/>
      <c r="HJ36" s="209"/>
      <c r="HK36" s="209"/>
      <c r="HL36" s="209"/>
      <c r="HM36" s="209"/>
      <c r="HN36" s="204"/>
      <c r="HO36" s="204"/>
      <c r="HP36" s="209"/>
      <c r="HQ36" s="209"/>
      <c r="HR36" s="209"/>
      <c r="HS36" s="209"/>
      <c r="HT36" s="209"/>
      <c r="HU36" s="209"/>
      <c r="HV36" s="209"/>
      <c r="HW36" s="209"/>
      <c r="HX36" s="209"/>
      <c r="HY36" s="209"/>
      <c r="HZ36" s="209"/>
      <c r="IA36" s="204"/>
      <c r="IB36" s="204"/>
      <c r="IC36" s="209"/>
      <c r="ID36" s="209"/>
      <c r="IE36" s="209"/>
      <c r="IF36" s="209"/>
      <c r="IG36" s="209"/>
      <c r="IH36" s="209"/>
      <c r="II36" s="209"/>
      <c r="IJ36" s="209"/>
      <c r="IK36" s="209"/>
      <c r="IL36" s="209"/>
      <c r="IM36" s="209"/>
      <c r="IN36" s="204"/>
      <c r="IO36" s="204"/>
      <c r="IP36" s="209"/>
      <c r="IQ36" s="209"/>
      <c r="IR36" s="209"/>
      <c r="IS36" s="209"/>
      <c r="IT36" s="209"/>
      <c r="IU36" s="209"/>
      <c r="IV36" s="209"/>
    </row>
    <row r="37" spans="1:256" x14ac:dyDescent="0.2">
      <c r="A37" s="215"/>
      <c r="B37" s="216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7"/>
      <c r="N37" s="208"/>
      <c r="O37" s="208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04"/>
      <c r="AB37" s="204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4"/>
      <c r="AO37" s="204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4"/>
      <c r="BB37" s="204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4"/>
      <c r="BO37" s="204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4"/>
      <c r="CB37" s="204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4"/>
      <c r="CO37" s="204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4"/>
      <c r="DB37" s="204"/>
      <c r="DC37" s="209"/>
      <c r="DD37" s="209"/>
      <c r="DE37" s="209"/>
      <c r="DF37" s="209"/>
      <c r="DG37" s="209"/>
      <c r="DH37" s="209"/>
      <c r="DI37" s="209"/>
      <c r="DJ37" s="209"/>
      <c r="DK37" s="209"/>
      <c r="DL37" s="209"/>
      <c r="DM37" s="209"/>
      <c r="DN37" s="204"/>
      <c r="DO37" s="204"/>
      <c r="DP37" s="209"/>
      <c r="DQ37" s="209"/>
      <c r="DR37" s="209"/>
      <c r="DS37" s="209"/>
      <c r="DT37" s="209"/>
      <c r="DU37" s="209"/>
      <c r="DV37" s="209"/>
      <c r="DW37" s="209"/>
      <c r="DX37" s="209"/>
      <c r="DY37" s="209"/>
      <c r="DZ37" s="209"/>
      <c r="EA37" s="204"/>
      <c r="EB37" s="204"/>
      <c r="EC37" s="209"/>
      <c r="ED37" s="209"/>
      <c r="EE37" s="209"/>
      <c r="EF37" s="209"/>
      <c r="EG37" s="209"/>
      <c r="EH37" s="209"/>
      <c r="EI37" s="209"/>
      <c r="EJ37" s="209"/>
      <c r="EK37" s="209"/>
      <c r="EL37" s="209"/>
      <c r="EM37" s="209"/>
      <c r="EN37" s="204"/>
      <c r="EO37" s="204"/>
      <c r="EP37" s="209"/>
      <c r="EQ37" s="209"/>
      <c r="ER37" s="209"/>
      <c r="ES37" s="209"/>
      <c r="ET37" s="209"/>
      <c r="EU37" s="209"/>
      <c r="EV37" s="209"/>
      <c r="EW37" s="209"/>
      <c r="EX37" s="209"/>
      <c r="EY37" s="209"/>
      <c r="EZ37" s="209"/>
      <c r="FA37" s="204"/>
      <c r="FB37" s="204"/>
      <c r="FC37" s="209"/>
      <c r="FD37" s="209"/>
      <c r="FE37" s="209"/>
      <c r="FF37" s="209"/>
      <c r="FG37" s="209"/>
      <c r="FH37" s="209"/>
      <c r="FI37" s="209"/>
      <c r="FJ37" s="209"/>
      <c r="FK37" s="209"/>
      <c r="FL37" s="209"/>
      <c r="FM37" s="209"/>
      <c r="FN37" s="204"/>
      <c r="FO37" s="204"/>
      <c r="FP37" s="209"/>
      <c r="FQ37" s="209"/>
      <c r="FR37" s="209"/>
      <c r="FS37" s="209"/>
      <c r="FT37" s="209"/>
      <c r="FU37" s="209"/>
      <c r="FV37" s="209"/>
      <c r="FW37" s="209"/>
      <c r="FX37" s="209"/>
      <c r="FY37" s="209"/>
      <c r="FZ37" s="209"/>
      <c r="GA37" s="204"/>
      <c r="GB37" s="204"/>
      <c r="GC37" s="209"/>
      <c r="GD37" s="209"/>
      <c r="GE37" s="209"/>
      <c r="GF37" s="209"/>
      <c r="GG37" s="209"/>
      <c r="GH37" s="209"/>
      <c r="GI37" s="209"/>
      <c r="GJ37" s="209"/>
      <c r="GK37" s="209"/>
      <c r="GL37" s="209"/>
      <c r="GM37" s="209"/>
      <c r="GN37" s="204"/>
      <c r="GO37" s="204"/>
      <c r="GP37" s="209"/>
      <c r="GQ37" s="209"/>
      <c r="GR37" s="209"/>
      <c r="GS37" s="209"/>
      <c r="GT37" s="209"/>
      <c r="GU37" s="209"/>
      <c r="GV37" s="209"/>
      <c r="GW37" s="209"/>
      <c r="GX37" s="209"/>
      <c r="GY37" s="209"/>
      <c r="GZ37" s="209"/>
      <c r="HA37" s="204"/>
      <c r="HB37" s="204"/>
      <c r="HC37" s="209"/>
      <c r="HD37" s="209"/>
      <c r="HE37" s="209"/>
      <c r="HF37" s="209"/>
      <c r="HG37" s="209"/>
      <c r="HH37" s="209"/>
      <c r="HI37" s="209"/>
      <c r="HJ37" s="209"/>
      <c r="HK37" s="209"/>
      <c r="HL37" s="209"/>
      <c r="HM37" s="209"/>
      <c r="HN37" s="204"/>
      <c r="HO37" s="204"/>
      <c r="HP37" s="209"/>
      <c r="HQ37" s="209"/>
      <c r="HR37" s="209"/>
      <c r="HS37" s="209"/>
      <c r="HT37" s="209"/>
      <c r="HU37" s="209"/>
      <c r="HV37" s="209"/>
      <c r="HW37" s="209"/>
      <c r="HX37" s="209"/>
      <c r="HY37" s="209"/>
      <c r="HZ37" s="209"/>
      <c r="IA37" s="204"/>
      <c r="IB37" s="204"/>
      <c r="IC37" s="209"/>
      <c r="ID37" s="209"/>
      <c r="IE37" s="209"/>
      <c r="IF37" s="209"/>
      <c r="IG37" s="209"/>
      <c r="IH37" s="209"/>
      <c r="II37" s="209"/>
      <c r="IJ37" s="209"/>
      <c r="IK37" s="209"/>
      <c r="IL37" s="209"/>
      <c r="IM37" s="209"/>
      <c r="IN37" s="204"/>
      <c r="IO37" s="204"/>
      <c r="IP37" s="209"/>
      <c r="IQ37" s="209"/>
      <c r="IR37" s="209"/>
      <c r="IS37" s="209"/>
      <c r="IT37" s="209"/>
      <c r="IU37" s="209"/>
      <c r="IV37" s="209"/>
    </row>
    <row r="38" spans="1:256" x14ac:dyDescent="0.2">
      <c r="A38" s="215"/>
      <c r="B38" s="21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7"/>
      <c r="N38" s="208"/>
      <c r="O38" s="208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4"/>
      <c r="AB38" s="204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4"/>
      <c r="AO38" s="204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4"/>
      <c r="BB38" s="204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4"/>
      <c r="BO38" s="204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4"/>
      <c r="CB38" s="204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4"/>
      <c r="CO38" s="204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4"/>
      <c r="DB38" s="204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4"/>
      <c r="DO38" s="204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4"/>
      <c r="EB38" s="204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4"/>
      <c r="EO38" s="204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4"/>
      <c r="FB38" s="204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4"/>
      <c r="FO38" s="204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4"/>
      <c r="GB38" s="204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4"/>
      <c r="GO38" s="204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4"/>
      <c r="HB38" s="204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4"/>
      <c r="HO38" s="204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4"/>
      <c r="IB38" s="204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4"/>
      <c r="IO38" s="204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5"/>
      <c r="B39" s="216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7"/>
      <c r="N39" s="208"/>
      <c r="O39" s="208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4"/>
      <c r="AB39" s="204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4"/>
      <c r="AO39" s="204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4"/>
      <c r="BB39" s="204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4"/>
      <c r="BO39" s="204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4"/>
      <c r="CB39" s="204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4"/>
      <c r="CO39" s="204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4"/>
      <c r="DB39" s="204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4"/>
      <c r="DO39" s="204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4"/>
      <c r="EB39" s="204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4"/>
      <c r="EO39" s="204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4"/>
      <c r="FB39" s="204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4"/>
      <c r="FO39" s="204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4"/>
      <c r="GB39" s="204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4"/>
      <c r="GO39" s="204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4"/>
      <c r="HB39" s="204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4"/>
      <c r="HO39" s="204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4"/>
      <c r="IB39" s="204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4"/>
      <c r="IO39" s="204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5"/>
      <c r="B40" s="216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7"/>
      <c r="N40" s="208"/>
      <c r="O40" s="208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4"/>
      <c r="AB40" s="204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4"/>
      <c r="AO40" s="204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4"/>
      <c r="BB40" s="204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4"/>
      <c r="BO40" s="204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4"/>
      <c r="CB40" s="204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4"/>
      <c r="CO40" s="204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4"/>
      <c r="DB40" s="204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4"/>
      <c r="DO40" s="204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4"/>
      <c r="EB40" s="204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4"/>
      <c r="EO40" s="204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4"/>
      <c r="FB40" s="204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4"/>
      <c r="FO40" s="204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4"/>
      <c r="GB40" s="204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4"/>
      <c r="GO40" s="204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4"/>
      <c r="HB40" s="204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4"/>
      <c r="HO40" s="204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4"/>
      <c r="IB40" s="204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4"/>
      <c r="IO40" s="204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5"/>
      <c r="B41" s="21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7"/>
      <c r="N41" s="208"/>
      <c r="O41" s="208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04"/>
      <c r="AB41" s="204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4"/>
      <c r="AO41" s="204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4"/>
      <c r="BB41" s="204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4"/>
      <c r="BO41" s="204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4"/>
      <c r="CB41" s="204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4"/>
      <c r="CO41" s="204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4"/>
      <c r="DB41" s="204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4"/>
      <c r="DO41" s="204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4"/>
      <c r="EB41" s="204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4"/>
      <c r="EO41" s="204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4"/>
      <c r="FB41" s="204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4"/>
      <c r="FO41" s="204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4"/>
      <c r="GB41" s="204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4"/>
      <c r="GO41" s="204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4"/>
      <c r="HB41" s="204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4"/>
      <c r="HO41" s="204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4"/>
      <c r="IB41" s="204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4"/>
      <c r="IO41" s="204"/>
      <c r="IP41" s="209"/>
      <c r="IQ41" s="209"/>
      <c r="IR41" s="209"/>
      <c r="IS41" s="209"/>
      <c r="IT41" s="209"/>
      <c r="IU41" s="209"/>
      <c r="IV41" s="209"/>
    </row>
    <row r="42" spans="1:256" x14ac:dyDescent="0.2">
      <c r="A42" s="215"/>
      <c r="B42" s="216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7"/>
      <c r="N42" s="208"/>
      <c r="O42" s="208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04"/>
      <c r="AB42" s="204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4"/>
      <c r="AO42" s="204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4"/>
      <c r="BB42" s="204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4"/>
      <c r="BO42" s="204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4"/>
      <c r="CB42" s="204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4"/>
      <c r="CO42" s="204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4"/>
      <c r="DB42" s="204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4"/>
      <c r="DO42" s="204"/>
      <c r="DP42" s="209"/>
      <c r="DQ42" s="209"/>
      <c r="DR42" s="209"/>
      <c r="DS42" s="209"/>
      <c r="DT42" s="209"/>
      <c r="DU42" s="209"/>
      <c r="DV42" s="209"/>
      <c r="DW42" s="209"/>
      <c r="DX42" s="209"/>
      <c r="DY42" s="209"/>
      <c r="DZ42" s="209"/>
      <c r="EA42" s="204"/>
      <c r="EB42" s="204"/>
      <c r="EC42" s="209"/>
      <c r="ED42" s="209"/>
      <c r="EE42" s="209"/>
      <c r="EF42" s="209"/>
      <c r="EG42" s="209"/>
      <c r="EH42" s="209"/>
      <c r="EI42" s="209"/>
      <c r="EJ42" s="209"/>
      <c r="EK42" s="209"/>
      <c r="EL42" s="209"/>
      <c r="EM42" s="209"/>
      <c r="EN42" s="204"/>
      <c r="EO42" s="204"/>
      <c r="EP42" s="209"/>
      <c r="EQ42" s="209"/>
      <c r="ER42" s="209"/>
      <c r="ES42" s="209"/>
      <c r="ET42" s="209"/>
      <c r="EU42" s="209"/>
      <c r="EV42" s="209"/>
      <c r="EW42" s="209"/>
      <c r="EX42" s="209"/>
      <c r="EY42" s="209"/>
      <c r="EZ42" s="209"/>
      <c r="FA42" s="204"/>
      <c r="FB42" s="204"/>
      <c r="FC42" s="209"/>
      <c r="FD42" s="209"/>
      <c r="FE42" s="209"/>
      <c r="FF42" s="209"/>
      <c r="FG42" s="209"/>
      <c r="FH42" s="209"/>
      <c r="FI42" s="209"/>
      <c r="FJ42" s="209"/>
      <c r="FK42" s="209"/>
      <c r="FL42" s="209"/>
      <c r="FM42" s="209"/>
      <c r="FN42" s="204"/>
      <c r="FO42" s="204"/>
      <c r="FP42" s="209"/>
      <c r="FQ42" s="209"/>
      <c r="FR42" s="209"/>
      <c r="FS42" s="209"/>
      <c r="FT42" s="209"/>
      <c r="FU42" s="209"/>
      <c r="FV42" s="209"/>
      <c r="FW42" s="209"/>
      <c r="FX42" s="209"/>
      <c r="FY42" s="209"/>
      <c r="FZ42" s="209"/>
      <c r="GA42" s="204"/>
      <c r="GB42" s="204"/>
      <c r="GC42" s="209"/>
      <c r="GD42" s="209"/>
      <c r="GE42" s="209"/>
      <c r="GF42" s="209"/>
      <c r="GG42" s="209"/>
      <c r="GH42" s="209"/>
      <c r="GI42" s="209"/>
      <c r="GJ42" s="209"/>
      <c r="GK42" s="209"/>
      <c r="GL42" s="209"/>
      <c r="GM42" s="209"/>
      <c r="GN42" s="204"/>
      <c r="GO42" s="204"/>
      <c r="GP42" s="209"/>
      <c r="GQ42" s="209"/>
      <c r="GR42" s="209"/>
      <c r="GS42" s="209"/>
      <c r="GT42" s="209"/>
      <c r="GU42" s="209"/>
      <c r="GV42" s="209"/>
      <c r="GW42" s="209"/>
      <c r="GX42" s="209"/>
      <c r="GY42" s="209"/>
      <c r="GZ42" s="209"/>
      <c r="HA42" s="204"/>
      <c r="HB42" s="204"/>
      <c r="HC42" s="209"/>
      <c r="HD42" s="209"/>
      <c r="HE42" s="209"/>
      <c r="HF42" s="209"/>
      <c r="HG42" s="209"/>
      <c r="HH42" s="209"/>
      <c r="HI42" s="209"/>
      <c r="HJ42" s="209"/>
      <c r="HK42" s="209"/>
      <c r="HL42" s="209"/>
      <c r="HM42" s="209"/>
      <c r="HN42" s="204"/>
      <c r="HO42" s="204"/>
      <c r="HP42" s="209"/>
      <c r="HQ42" s="209"/>
      <c r="HR42" s="209"/>
      <c r="HS42" s="209"/>
      <c r="HT42" s="209"/>
      <c r="HU42" s="209"/>
      <c r="HV42" s="209"/>
      <c r="HW42" s="209"/>
      <c r="HX42" s="209"/>
      <c r="HY42" s="209"/>
      <c r="HZ42" s="209"/>
      <c r="IA42" s="204"/>
      <c r="IB42" s="204"/>
      <c r="IC42" s="209"/>
      <c r="ID42" s="209"/>
      <c r="IE42" s="209"/>
      <c r="IF42" s="209"/>
      <c r="IG42" s="209"/>
      <c r="IH42" s="209"/>
      <c r="II42" s="209"/>
      <c r="IJ42" s="209"/>
      <c r="IK42" s="209"/>
      <c r="IL42" s="209"/>
      <c r="IM42" s="209"/>
      <c r="IN42" s="204"/>
      <c r="IO42" s="204"/>
      <c r="IP42" s="209"/>
      <c r="IQ42" s="209"/>
      <c r="IR42" s="209"/>
      <c r="IS42" s="209"/>
      <c r="IT42" s="209"/>
      <c r="IU42" s="209"/>
      <c r="IV42" s="209"/>
    </row>
    <row r="43" spans="1:256" x14ac:dyDescent="0.2">
      <c r="A43" s="215"/>
      <c r="B43" s="21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7"/>
      <c r="N43" s="208"/>
      <c r="O43" s="208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04"/>
      <c r="AB43" s="204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4"/>
      <c r="AO43" s="204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4"/>
      <c r="BB43" s="204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4"/>
      <c r="BO43" s="204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4"/>
      <c r="CB43" s="204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4"/>
      <c r="CO43" s="204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4"/>
      <c r="DB43" s="204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4"/>
      <c r="DO43" s="204"/>
      <c r="DP43" s="209"/>
      <c r="DQ43" s="209"/>
      <c r="DR43" s="209"/>
      <c r="DS43" s="209"/>
      <c r="DT43" s="209"/>
      <c r="DU43" s="209"/>
      <c r="DV43" s="209"/>
      <c r="DW43" s="209"/>
      <c r="DX43" s="209"/>
      <c r="DY43" s="209"/>
      <c r="DZ43" s="209"/>
      <c r="EA43" s="204"/>
      <c r="EB43" s="204"/>
      <c r="EC43" s="209"/>
      <c r="ED43" s="209"/>
      <c r="EE43" s="209"/>
      <c r="EF43" s="209"/>
      <c r="EG43" s="209"/>
      <c r="EH43" s="209"/>
      <c r="EI43" s="209"/>
      <c r="EJ43" s="209"/>
      <c r="EK43" s="209"/>
      <c r="EL43" s="209"/>
      <c r="EM43" s="209"/>
      <c r="EN43" s="204"/>
      <c r="EO43" s="204"/>
      <c r="EP43" s="209"/>
      <c r="EQ43" s="209"/>
      <c r="ER43" s="209"/>
      <c r="ES43" s="209"/>
      <c r="ET43" s="209"/>
      <c r="EU43" s="209"/>
      <c r="EV43" s="209"/>
      <c r="EW43" s="209"/>
      <c r="EX43" s="209"/>
      <c r="EY43" s="209"/>
      <c r="EZ43" s="209"/>
      <c r="FA43" s="204"/>
      <c r="FB43" s="204"/>
      <c r="FC43" s="209"/>
      <c r="FD43" s="209"/>
      <c r="FE43" s="209"/>
      <c r="FF43" s="209"/>
      <c r="FG43" s="209"/>
      <c r="FH43" s="209"/>
      <c r="FI43" s="209"/>
      <c r="FJ43" s="209"/>
      <c r="FK43" s="209"/>
      <c r="FL43" s="209"/>
      <c r="FM43" s="209"/>
      <c r="FN43" s="204"/>
      <c r="FO43" s="204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4"/>
      <c r="GB43" s="204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4"/>
      <c r="GO43" s="204"/>
      <c r="GP43" s="209"/>
      <c r="GQ43" s="209"/>
      <c r="GR43" s="209"/>
      <c r="GS43" s="209"/>
      <c r="GT43" s="209"/>
      <c r="GU43" s="209"/>
      <c r="GV43" s="209"/>
      <c r="GW43" s="209"/>
      <c r="GX43" s="209"/>
      <c r="GY43" s="209"/>
      <c r="GZ43" s="209"/>
      <c r="HA43" s="204"/>
      <c r="HB43" s="204"/>
      <c r="HC43" s="209"/>
      <c r="HD43" s="209"/>
      <c r="HE43" s="209"/>
      <c r="HF43" s="209"/>
      <c r="HG43" s="209"/>
      <c r="HH43" s="209"/>
      <c r="HI43" s="209"/>
      <c r="HJ43" s="209"/>
      <c r="HK43" s="209"/>
      <c r="HL43" s="209"/>
      <c r="HM43" s="209"/>
      <c r="HN43" s="204"/>
      <c r="HO43" s="204"/>
      <c r="HP43" s="209"/>
      <c r="HQ43" s="209"/>
      <c r="HR43" s="209"/>
      <c r="HS43" s="209"/>
      <c r="HT43" s="209"/>
      <c r="HU43" s="209"/>
      <c r="HV43" s="209"/>
      <c r="HW43" s="209"/>
      <c r="HX43" s="209"/>
      <c r="HY43" s="209"/>
      <c r="HZ43" s="209"/>
      <c r="IA43" s="204"/>
      <c r="IB43" s="204"/>
      <c r="IC43" s="209"/>
      <c r="ID43" s="209"/>
      <c r="IE43" s="209"/>
      <c r="IF43" s="209"/>
      <c r="IG43" s="209"/>
      <c r="IH43" s="209"/>
      <c r="II43" s="209"/>
      <c r="IJ43" s="209"/>
      <c r="IK43" s="209"/>
      <c r="IL43" s="209"/>
      <c r="IM43" s="209"/>
      <c r="IN43" s="204"/>
      <c r="IO43" s="204"/>
      <c r="IP43" s="209"/>
      <c r="IQ43" s="209"/>
      <c r="IR43" s="209"/>
      <c r="IS43" s="209"/>
      <c r="IT43" s="209"/>
      <c r="IU43" s="209"/>
      <c r="IV43" s="209"/>
    </row>
    <row r="44" spans="1:256" x14ac:dyDescent="0.2">
      <c r="A44" s="215"/>
      <c r="B44" s="216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7"/>
      <c r="N44" s="208"/>
      <c r="O44" s="208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04"/>
      <c r="AB44" s="204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4"/>
      <c r="AO44" s="204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4"/>
      <c r="BB44" s="204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4"/>
      <c r="BO44" s="204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4"/>
      <c r="CB44" s="204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4"/>
      <c r="CO44" s="204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4"/>
      <c r="DB44" s="204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4"/>
      <c r="DO44" s="204"/>
      <c r="DP44" s="209"/>
      <c r="DQ44" s="209"/>
      <c r="DR44" s="209"/>
      <c r="DS44" s="209"/>
      <c r="DT44" s="209"/>
      <c r="DU44" s="209"/>
      <c r="DV44" s="209"/>
      <c r="DW44" s="209"/>
      <c r="DX44" s="209"/>
      <c r="DY44" s="209"/>
      <c r="DZ44" s="209"/>
      <c r="EA44" s="204"/>
      <c r="EB44" s="204"/>
      <c r="EC44" s="209"/>
      <c r="ED44" s="209"/>
      <c r="EE44" s="209"/>
      <c r="EF44" s="209"/>
      <c r="EG44" s="209"/>
      <c r="EH44" s="209"/>
      <c r="EI44" s="209"/>
      <c r="EJ44" s="209"/>
      <c r="EK44" s="209"/>
      <c r="EL44" s="209"/>
      <c r="EM44" s="209"/>
      <c r="EN44" s="204"/>
      <c r="EO44" s="204"/>
      <c r="EP44" s="209"/>
      <c r="EQ44" s="209"/>
      <c r="ER44" s="209"/>
      <c r="ES44" s="209"/>
      <c r="ET44" s="209"/>
      <c r="EU44" s="209"/>
      <c r="EV44" s="209"/>
      <c r="EW44" s="209"/>
      <c r="EX44" s="209"/>
      <c r="EY44" s="209"/>
      <c r="EZ44" s="209"/>
      <c r="FA44" s="204"/>
      <c r="FB44" s="204"/>
      <c r="FC44" s="209"/>
      <c r="FD44" s="209"/>
      <c r="FE44" s="209"/>
      <c r="FF44" s="209"/>
      <c r="FG44" s="209"/>
      <c r="FH44" s="209"/>
      <c r="FI44" s="209"/>
      <c r="FJ44" s="209"/>
      <c r="FK44" s="209"/>
      <c r="FL44" s="209"/>
      <c r="FM44" s="209"/>
      <c r="FN44" s="204"/>
      <c r="FO44" s="204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4"/>
      <c r="GB44" s="204"/>
      <c r="GC44" s="209"/>
      <c r="GD44" s="209"/>
      <c r="GE44" s="209"/>
      <c r="GF44" s="209"/>
      <c r="GG44" s="209"/>
      <c r="GH44" s="209"/>
      <c r="GI44" s="209"/>
      <c r="GJ44" s="209"/>
      <c r="GK44" s="209"/>
      <c r="GL44" s="209"/>
      <c r="GM44" s="209"/>
      <c r="GN44" s="204"/>
      <c r="GO44" s="204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4"/>
      <c r="HB44" s="204"/>
      <c r="HC44" s="209"/>
      <c r="HD44" s="209"/>
      <c r="HE44" s="209"/>
      <c r="HF44" s="209"/>
      <c r="HG44" s="209"/>
      <c r="HH44" s="209"/>
      <c r="HI44" s="209"/>
      <c r="HJ44" s="209"/>
      <c r="HK44" s="209"/>
      <c r="HL44" s="209"/>
      <c r="HM44" s="209"/>
      <c r="HN44" s="204"/>
      <c r="HO44" s="204"/>
      <c r="HP44" s="209"/>
      <c r="HQ44" s="209"/>
      <c r="HR44" s="209"/>
      <c r="HS44" s="209"/>
      <c r="HT44" s="209"/>
      <c r="HU44" s="209"/>
      <c r="HV44" s="209"/>
      <c r="HW44" s="209"/>
      <c r="HX44" s="209"/>
      <c r="HY44" s="209"/>
      <c r="HZ44" s="209"/>
      <c r="IA44" s="204"/>
      <c r="IB44" s="204"/>
      <c r="IC44" s="209"/>
      <c r="ID44" s="209"/>
      <c r="IE44" s="209"/>
      <c r="IF44" s="209"/>
      <c r="IG44" s="209"/>
      <c r="IH44" s="209"/>
      <c r="II44" s="209"/>
      <c r="IJ44" s="209"/>
      <c r="IK44" s="209"/>
      <c r="IL44" s="209"/>
      <c r="IM44" s="209"/>
      <c r="IN44" s="204"/>
      <c r="IO44" s="204"/>
      <c r="IP44" s="209"/>
      <c r="IQ44" s="209"/>
      <c r="IR44" s="209"/>
      <c r="IS44" s="209"/>
      <c r="IT44" s="209"/>
      <c r="IU44" s="209"/>
      <c r="IV44" s="209"/>
    </row>
    <row r="45" spans="1:256" x14ac:dyDescent="0.2">
      <c r="A45" s="215"/>
      <c r="B45" s="21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7"/>
      <c r="N45" s="208"/>
      <c r="O45" s="208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04"/>
      <c r="AB45" s="204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4"/>
      <c r="AO45" s="204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4"/>
      <c r="BB45" s="204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4"/>
      <c r="BO45" s="204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4"/>
      <c r="CB45" s="204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4"/>
      <c r="CO45" s="204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4"/>
      <c r="DB45" s="204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4"/>
      <c r="DO45" s="204"/>
      <c r="DP45" s="209"/>
      <c r="DQ45" s="209"/>
      <c r="DR45" s="209"/>
      <c r="DS45" s="209"/>
      <c r="DT45" s="209"/>
      <c r="DU45" s="209"/>
      <c r="DV45" s="209"/>
      <c r="DW45" s="209"/>
      <c r="DX45" s="209"/>
      <c r="DY45" s="209"/>
      <c r="DZ45" s="209"/>
      <c r="EA45" s="204"/>
      <c r="EB45" s="204"/>
      <c r="EC45" s="209"/>
      <c r="ED45" s="209"/>
      <c r="EE45" s="209"/>
      <c r="EF45" s="209"/>
      <c r="EG45" s="209"/>
      <c r="EH45" s="209"/>
      <c r="EI45" s="209"/>
      <c r="EJ45" s="209"/>
      <c r="EK45" s="209"/>
      <c r="EL45" s="209"/>
      <c r="EM45" s="209"/>
      <c r="EN45" s="204"/>
      <c r="EO45" s="204"/>
      <c r="EP45" s="209"/>
      <c r="EQ45" s="209"/>
      <c r="ER45" s="209"/>
      <c r="ES45" s="209"/>
      <c r="ET45" s="209"/>
      <c r="EU45" s="209"/>
      <c r="EV45" s="209"/>
      <c r="EW45" s="209"/>
      <c r="EX45" s="209"/>
      <c r="EY45" s="209"/>
      <c r="EZ45" s="209"/>
      <c r="FA45" s="204"/>
      <c r="FB45" s="204"/>
      <c r="FC45" s="209"/>
      <c r="FD45" s="209"/>
      <c r="FE45" s="209"/>
      <c r="FF45" s="209"/>
      <c r="FG45" s="209"/>
      <c r="FH45" s="209"/>
      <c r="FI45" s="209"/>
      <c r="FJ45" s="209"/>
      <c r="FK45" s="209"/>
      <c r="FL45" s="209"/>
      <c r="FM45" s="209"/>
      <c r="FN45" s="204"/>
      <c r="FO45" s="204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4"/>
      <c r="GB45" s="204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4"/>
      <c r="GO45" s="204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4"/>
      <c r="HB45" s="204"/>
      <c r="HC45" s="209"/>
      <c r="HD45" s="209"/>
      <c r="HE45" s="209"/>
      <c r="HF45" s="209"/>
      <c r="HG45" s="209"/>
      <c r="HH45" s="209"/>
      <c r="HI45" s="209"/>
      <c r="HJ45" s="209"/>
      <c r="HK45" s="209"/>
      <c r="HL45" s="209"/>
      <c r="HM45" s="209"/>
      <c r="HN45" s="204"/>
      <c r="HO45" s="204"/>
      <c r="HP45" s="209"/>
      <c r="HQ45" s="209"/>
      <c r="HR45" s="209"/>
      <c r="HS45" s="209"/>
      <c r="HT45" s="209"/>
      <c r="HU45" s="209"/>
      <c r="HV45" s="209"/>
      <c r="HW45" s="209"/>
      <c r="HX45" s="209"/>
      <c r="HY45" s="209"/>
      <c r="HZ45" s="209"/>
      <c r="IA45" s="204"/>
      <c r="IB45" s="204"/>
      <c r="IC45" s="209"/>
      <c r="ID45" s="209"/>
      <c r="IE45" s="209"/>
      <c r="IF45" s="209"/>
      <c r="IG45" s="209"/>
      <c r="IH45" s="209"/>
      <c r="II45" s="209"/>
      <c r="IJ45" s="209"/>
      <c r="IK45" s="209"/>
      <c r="IL45" s="209"/>
      <c r="IM45" s="209"/>
      <c r="IN45" s="204"/>
      <c r="IO45" s="204"/>
      <c r="IP45" s="209"/>
      <c r="IQ45" s="209"/>
      <c r="IR45" s="209"/>
      <c r="IS45" s="209"/>
      <c r="IT45" s="209"/>
      <c r="IU45" s="209"/>
      <c r="IV45" s="209"/>
    </row>
    <row r="46" spans="1:256" x14ac:dyDescent="0.2">
      <c r="A46" s="215"/>
      <c r="B46" s="21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7"/>
      <c r="N46" s="208"/>
      <c r="O46" s="208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04"/>
      <c r="AB46" s="204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4"/>
      <c r="AO46" s="204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4"/>
      <c r="BB46" s="204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4"/>
      <c r="BO46" s="204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4"/>
      <c r="CB46" s="204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4"/>
      <c r="CO46" s="204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4"/>
      <c r="DB46" s="204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4"/>
      <c r="DO46" s="204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4"/>
      <c r="EB46" s="204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4"/>
      <c r="EO46" s="204"/>
      <c r="EP46" s="209"/>
      <c r="EQ46" s="209"/>
      <c r="ER46" s="209"/>
      <c r="ES46" s="209"/>
      <c r="ET46" s="209"/>
      <c r="EU46" s="209"/>
      <c r="EV46" s="209"/>
      <c r="EW46" s="209"/>
      <c r="EX46" s="209"/>
      <c r="EY46" s="209"/>
      <c r="EZ46" s="209"/>
      <c r="FA46" s="204"/>
      <c r="FB46" s="204"/>
      <c r="FC46" s="209"/>
      <c r="FD46" s="209"/>
      <c r="FE46" s="209"/>
      <c r="FF46" s="209"/>
      <c r="FG46" s="209"/>
      <c r="FH46" s="209"/>
      <c r="FI46" s="209"/>
      <c r="FJ46" s="209"/>
      <c r="FK46" s="209"/>
      <c r="FL46" s="209"/>
      <c r="FM46" s="209"/>
      <c r="FN46" s="204"/>
      <c r="FO46" s="204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4"/>
      <c r="GB46" s="204"/>
      <c r="GC46" s="209"/>
      <c r="GD46" s="209"/>
      <c r="GE46" s="209"/>
      <c r="GF46" s="209"/>
      <c r="GG46" s="209"/>
      <c r="GH46" s="209"/>
      <c r="GI46" s="209"/>
      <c r="GJ46" s="209"/>
      <c r="GK46" s="209"/>
      <c r="GL46" s="209"/>
      <c r="GM46" s="209"/>
      <c r="GN46" s="204"/>
      <c r="GO46" s="204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4"/>
      <c r="HB46" s="204"/>
      <c r="HC46" s="209"/>
      <c r="HD46" s="209"/>
      <c r="HE46" s="209"/>
      <c r="HF46" s="209"/>
      <c r="HG46" s="209"/>
      <c r="HH46" s="209"/>
      <c r="HI46" s="209"/>
      <c r="HJ46" s="209"/>
      <c r="HK46" s="209"/>
      <c r="HL46" s="209"/>
      <c r="HM46" s="209"/>
      <c r="HN46" s="204"/>
      <c r="HO46" s="204"/>
      <c r="HP46" s="209"/>
      <c r="HQ46" s="209"/>
      <c r="HR46" s="209"/>
      <c r="HS46" s="209"/>
      <c r="HT46" s="209"/>
      <c r="HU46" s="209"/>
      <c r="HV46" s="209"/>
      <c r="HW46" s="209"/>
      <c r="HX46" s="209"/>
      <c r="HY46" s="209"/>
      <c r="HZ46" s="209"/>
      <c r="IA46" s="204"/>
      <c r="IB46" s="204"/>
      <c r="IC46" s="209"/>
      <c r="ID46" s="209"/>
      <c r="IE46" s="209"/>
      <c r="IF46" s="209"/>
      <c r="IG46" s="209"/>
      <c r="IH46" s="209"/>
      <c r="II46" s="209"/>
      <c r="IJ46" s="209"/>
      <c r="IK46" s="209"/>
      <c r="IL46" s="209"/>
      <c r="IM46" s="209"/>
      <c r="IN46" s="204"/>
      <c r="IO46" s="204"/>
      <c r="IP46" s="209"/>
      <c r="IQ46" s="209"/>
      <c r="IR46" s="209"/>
      <c r="IS46" s="209"/>
      <c r="IT46" s="209"/>
      <c r="IU46" s="209"/>
      <c r="IV46" s="209"/>
    </row>
    <row r="47" spans="1:256" x14ac:dyDescent="0.2">
      <c r="A47" s="215"/>
      <c r="B47" s="21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7"/>
      <c r="N47" s="208"/>
      <c r="O47" s="208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04"/>
      <c r="AB47" s="204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4"/>
      <c r="AO47" s="204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4"/>
      <c r="BB47" s="204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4"/>
      <c r="BO47" s="204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4"/>
      <c r="CB47" s="204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4"/>
      <c r="CO47" s="204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4"/>
      <c r="DB47" s="204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4"/>
      <c r="DO47" s="204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4"/>
      <c r="EB47" s="204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4"/>
      <c r="EO47" s="204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4"/>
      <c r="FB47" s="204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4"/>
      <c r="FO47" s="204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4"/>
      <c r="GB47" s="204"/>
      <c r="GC47" s="209"/>
      <c r="GD47" s="209"/>
      <c r="GE47" s="209"/>
      <c r="GF47" s="209"/>
      <c r="GG47" s="209"/>
      <c r="GH47" s="209"/>
      <c r="GI47" s="209"/>
      <c r="GJ47" s="209"/>
      <c r="GK47" s="209"/>
      <c r="GL47" s="209"/>
      <c r="GM47" s="209"/>
      <c r="GN47" s="204"/>
      <c r="GO47" s="204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4"/>
      <c r="HB47" s="204"/>
      <c r="HC47" s="209"/>
      <c r="HD47" s="209"/>
      <c r="HE47" s="209"/>
      <c r="HF47" s="209"/>
      <c r="HG47" s="209"/>
      <c r="HH47" s="209"/>
      <c r="HI47" s="209"/>
      <c r="HJ47" s="209"/>
      <c r="HK47" s="209"/>
      <c r="HL47" s="209"/>
      <c r="HM47" s="209"/>
      <c r="HN47" s="204"/>
      <c r="HO47" s="204"/>
      <c r="HP47" s="209"/>
      <c r="HQ47" s="209"/>
      <c r="HR47" s="209"/>
      <c r="HS47" s="209"/>
      <c r="HT47" s="209"/>
      <c r="HU47" s="209"/>
      <c r="HV47" s="209"/>
      <c r="HW47" s="209"/>
      <c r="HX47" s="209"/>
      <c r="HY47" s="209"/>
      <c r="HZ47" s="209"/>
      <c r="IA47" s="204"/>
      <c r="IB47" s="204"/>
      <c r="IC47" s="209"/>
      <c r="ID47" s="209"/>
      <c r="IE47" s="209"/>
      <c r="IF47" s="209"/>
      <c r="IG47" s="209"/>
      <c r="IH47" s="209"/>
      <c r="II47" s="209"/>
      <c r="IJ47" s="209"/>
      <c r="IK47" s="209"/>
      <c r="IL47" s="209"/>
      <c r="IM47" s="209"/>
      <c r="IN47" s="204"/>
      <c r="IO47" s="204"/>
      <c r="IP47" s="209"/>
      <c r="IQ47" s="209"/>
      <c r="IR47" s="209"/>
      <c r="IS47" s="209"/>
      <c r="IT47" s="209"/>
      <c r="IU47" s="209"/>
      <c r="IV47" s="209"/>
    </row>
    <row r="48" spans="1:256" x14ac:dyDescent="0.2">
      <c r="A48" s="215"/>
      <c r="B48" s="216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7"/>
      <c r="N48" s="208"/>
      <c r="O48" s="208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04"/>
      <c r="AB48" s="204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4"/>
      <c r="AO48" s="204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4"/>
      <c r="BB48" s="204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4"/>
      <c r="BO48" s="204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4"/>
      <c r="CB48" s="204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204"/>
      <c r="CO48" s="204"/>
      <c r="CP48" s="209"/>
      <c r="CQ48" s="209"/>
      <c r="CR48" s="209"/>
      <c r="CS48" s="209"/>
      <c r="CT48" s="209"/>
      <c r="CU48" s="209"/>
      <c r="CV48" s="209"/>
      <c r="CW48" s="209"/>
      <c r="CX48" s="209"/>
      <c r="CY48" s="209"/>
      <c r="CZ48" s="209"/>
      <c r="DA48" s="204"/>
      <c r="DB48" s="204"/>
      <c r="DC48" s="209"/>
      <c r="DD48" s="209"/>
      <c r="DE48" s="209"/>
      <c r="DF48" s="209"/>
      <c r="DG48" s="209"/>
      <c r="DH48" s="209"/>
      <c r="DI48" s="209"/>
      <c r="DJ48" s="209"/>
      <c r="DK48" s="209"/>
      <c r="DL48" s="209"/>
      <c r="DM48" s="209"/>
      <c r="DN48" s="204"/>
      <c r="DO48" s="204"/>
      <c r="DP48" s="209"/>
      <c r="DQ48" s="209"/>
      <c r="DR48" s="209"/>
      <c r="DS48" s="209"/>
      <c r="DT48" s="209"/>
      <c r="DU48" s="209"/>
      <c r="DV48" s="209"/>
      <c r="DW48" s="209"/>
      <c r="DX48" s="209"/>
      <c r="DY48" s="209"/>
      <c r="DZ48" s="209"/>
      <c r="EA48" s="204"/>
      <c r="EB48" s="204"/>
      <c r="EC48" s="209"/>
      <c r="ED48" s="209"/>
      <c r="EE48" s="209"/>
      <c r="EF48" s="209"/>
      <c r="EG48" s="209"/>
      <c r="EH48" s="209"/>
      <c r="EI48" s="209"/>
      <c r="EJ48" s="209"/>
      <c r="EK48" s="209"/>
      <c r="EL48" s="209"/>
      <c r="EM48" s="209"/>
      <c r="EN48" s="204"/>
      <c r="EO48" s="204"/>
      <c r="EP48" s="209"/>
      <c r="EQ48" s="209"/>
      <c r="ER48" s="209"/>
      <c r="ES48" s="209"/>
      <c r="ET48" s="209"/>
      <c r="EU48" s="209"/>
      <c r="EV48" s="209"/>
      <c r="EW48" s="209"/>
      <c r="EX48" s="209"/>
      <c r="EY48" s="209"/>
      <c r="EZ48" s="209"/>
      <c r="FA48" s="204"/>
      <c r="FB48" s="204"/>
      <c r="FC48" s="209"/>
      <c r="FD48" s="209"/>
      <c r="FE48" s="209"/>
      <c r="FF48" s="209"/>
      <c r="FG48" s="209"/>
      <c r="FH48" s="209"/>
      <c r="FI48" s="209"/>
      <c r="FJ48" s="209"/>
      <c r="FK48" s="209"/>
      <c r="FL48" s="209"/>
      <c r="FM48" s="209"/>
      <c r="FN48" s="204"/>
      <c r="FO48" s="204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4"/>
      <c r="GB48" s="204"/>
      <c r="GC48" s="209"/>
      <c r="GD48" s="209"/>
      <c r="GE48" s="209"/>
      <c r="GF48" s="209"/>
      <c r="GG48" s="209"/>
      <c r="GH48" s="209"/>
      <c r="GI48" s="209"/>
      <c r="GJ48" s="209"/>
      <c r="GK48" s="209"/>
      <c r="GL48" s="209"/>
      <c r="GM48" s="209"/>
      <c r="GN48" s="204"/>
      <c r="GO48" s="204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4"/>
      <c r="HB48" s="204"/>
      <c r="HC48" s="209"/>
      <c r="HD48" s="209"/>
      <c r="HE48" s="209"/>
      <c r="HF48" s="209"/>
      <c r="HG48" s="209"/>
      <c r="HH48" s="209"/>
      <c r="HI48" s="209"/>
      <c r="HJ48" s="209"/>
      <c r="HK48" s="209"/>
      <c r="HL48" s="209"/>
      <c r="HM48" s="209"/>
      <c r="HN48" s="204"/>
      <c r="HO48" s="204"/>
      <c r="HP48" s="209"/>
      <c r="HQ48" s="209"/>
      <c r="HR48" s="209"/>
      <c r="HS48" s="209"/>
      <c r="HT48" s="209"/>
      <c r="HU48" s="209"/>
      <c r="HV48" s="209"/>
      <c r="HW48" s="209"/>
      <c r="HX48" s="209"/>
      <c r="HY48" s="209"/>
      <c r="HZ48" s="209"/>
      <c r="IA48" s="204"/>
      <c r="IB48" s="204"/>
      <c r="IC48" s="209"/>
      <c r="ID48" s="209"/>
      <c r="IE48" s="209"/>
      <c r="IF48" s="209"/>
      <c r="IG48" s="209"/>
      <c r="IH48" s="209"/>
      <c r="II48" s="209"/>
      <c r="IJ48" s="209"/>
      <c r="IK48" s="209"/>
      <c r="IL48" s="209"/>
      <c r="IM48" s="209"/>
      <c r="IN48" s="204"/>
      <c r="IO48" s="204"/>
      <c r="IP48" s="209"/>
      <c r="IQ48" s="209"/>
      <c r="IR48" s="209"/>
      <c r="IS48" s="209"/>
      <c r="IT48" s="209"/>
      <c r="IU48" s="209"/>
      <c r="IV48" s="209"/>
    </row>
    <row r="49" spans="1:256" x14ac:dyDescent="0.2">
      <c r="A49" s="215"/>
      <c r="B49" s="21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7"/>
      <c r="N49" s="208"/>
      <c r="O49" s="208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04"/>
      <c r="AB49" s="204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4"/>
      <c r="AO49" s="204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4"/>
      <c r="BB49" s="204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4"/>
      <c r="BO49" s="204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4"/>
      <c r="CB49" s="204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204"/>
      <c r="CO49" s="204"/>
      <c r="CP49" s="209"/>
      <c r="CQ49" s="209"/>
      <c r="CR49" s="209"/>
      <c r="CS49" s="209"/>
      <c r="CT49" s="209"/>
      <c r="CU49" s="209"/>
      <c r="CV49" s="209"/>
      <c r="CW49" s="209"/>
      <c r="CX49" s="209"/>
      <c r="CY49" s="209"/>
      <c r="CZ49" s="209"/>
      <c r="DA49" s="204"/>
      <c r="DB49" s="204"/>
      <c r="DC49" s="209"/>
      <c r="DD49" s="209"/>
      <c r="DE49" s="209"/>
      <c r="DF49" s="209"/>
      <c r="DG49" s="209"/>
      <c r="DH49" s="209"/>
      <c r="DI49" s="209"/>
      <c r="DJ49" s="209"/>
      <c r="DK49" s="209"/>
      <c r="DL49" s="209"/>
      <c r="DM49" s="209"/>
      <c r="DN49" s="204"/>
      <c r="DO49" s="204"/>
      <c r="DP49" s="209"/>
      <c r="DQ49" s="209"/>
      <c r="DR49" s="209"/>
      <c r="DS49" s="209"/>
      <c r="DT49" s="209"/>
      <c r="DU49" s="209"/>
      <c r="DV49" s="209"/>
      <c r="DW49" s="209"/>
      <c r="DX49" s="209"/>
      <c r="DY49" s="209"/>
      <c r="DZ49" s="209"/>
      <c r="EA49" s="204"/>
      <c r="EB49" s="204"/>
      <c r="EC49" s="209"/>
      <c r="ED49" s="209"/>
      <c r="EE49" s="209"/>
      <c r="EF49" s="209"/>
      <c r="EG49" s="209"/>
      <c r="EH49" s="209"/>
      <c r="EI49" s="209"/>
      <c r="EJ49" s="209"/>
      <c r="EK49" s="209"/>
      <c r="EL49" s="209"/>
      <c r="EM49" s="209"/>
      <c r="EN49" s="204"/>
      <c r="EO49" s="204"/>
      <c r="EP49" s="209"/>
      <c r="EQ49" s="209"/>
      <c r="ER49" s="209"/>
      <c r="ES49" s="209"/>
      <c r="ET49" s="209"/>
      <c r="EU49" s="209"/>
      <c r="EV49" s="209"/>
      <c r="EW49" s="209"/>
      <c r="EX49" s="209"/>
      <c r="EY49" s="209"/>
      <c r="EZ49" s="209"/>
      <c r="FA49" s="204"/>
      <c r="FB49" s="204"/>
      <c r="FC49" s="209"/>
      <c r="FD49" s="209"/>
      <c r="FE49" s="209"/>
      <c r="FF49" s="209"/>
      <c r="FG49" s="209"/>
      <c r="FH49" s="209"/>
      <c r="FI49" s="209"/>
      <c r="FJ49" s="209"/>
      <c r="FK49" s="209"/>
      <c r="FL49" s="209"/>
      <c r="FM49" s="209"/>
      <c r="FN49" s="204"/>
      <c r="FO49" s="204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4"/>
      <c r="GB49" s="204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4"/>
      <c r="GO49" s="204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4"/>
      <c r="HB49" s="204"/>
      <c r="HC49" s="209"/>
      <c r="HD49" s="209"/>
      <c r="HE49" s="209"/>
      <c r="HF49" s="209"/>
      <c r="HG49" s="209"/>
      <c r="HH49" s="209"/>
      <c r="HI49" s="209"/>
      <c r="HJ49" s="209"/>
      <c r="HK49" s="209"/>
      <c r="HL49" s="209"/>
      <c r="HM49" s="209"/>
      <c r="HN49" s="204"/>
      <c r="HO49" s="204"/>
      <c r="HP49" s="209"/>
      <c r="HQ49" s="209"/>
      <c r="HR49" s="209"/>
      <c r="HS49" s="209"/>
      <c r="HT49" s="209"/>
      <c r="HU49" s="209"/>
      <c r="HV49" s="209"/>
      <c r="HW49" s="209"/>
      <c r="HX49" s="209"/>
      <c r="HY49" s="209"/>
      <c r="HZ49" s="209"/>
      <c r="IA49" s="204"/>
      <c r="IB49" s="204"/>
      <c r="IC49" s="209"/>
      <c r="ID49" s="209"/>
      <c r="IE49" s="209"/>
      <c r="IF49" s="209"/>
      <c r="IG49" s="209"/>
      <c r="IH49" s="209"/>
      <c r="II49" s="209"/>
      <c r="IJ49" s="209"/>
      <c r="IK49" s="209"/>
      <c r="IL49" s="209"/>
      <c r="IM49" s="209"/>
      <c r="IN49" s="204"/>
      <c r="IO49" s="204"/>
      <c r="IP49" s="209"/>
      <c r="IQ49" s="209"/>
      <c r="IR49" s="209"/>
      <c r="IS49" s="209"/>
      <c r="IT49" s="209"/>
      <c r="IU49" s="209"/>
      <c r="IV49" s="209"/>
    </row>
    <row r="50" spans="1:256" x14ac:dyDescent="0.2">
      <c r="A50" s="215"/>
      <c r="B50" s="21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5"/>
      <c r="B51" s="21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5"/>
      <c r="B52" s="216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5"/>
      <c r="B53" s="21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5"/>
      <c r="B54" s="216"/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5"/>
      <c r="B55" s="21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5"/>
      <c r="B56" s="21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5"/>
      <c r="B57" s="216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5"/>
      <c r="B58" s="216"/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5"/>
      <c r="B59" s="21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7"/>
    </row>
    <row r="60" spans="1:256" x14ac:dyDescent="0.2">
      <c r="A60" s="215"/>
      <c r="B60" s="216"/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7"/>
    </row>
    <row r="61" spans="1:256" x14ac:dyDescent="0.2">
      <c r="A61" s="215"/>
      <c r="B61" s="216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7"/>
    </row>
    <row r="62" spans="1:256" x14ac:dyDescent="0.2">
      <c r="A62" s="215"/>
      <c r="B62" s="21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7"/>
    </row>
    <row r="63" spans="1:256" x14ac:dyDescent="0.2">
      <c r="A63" s="215"/>
      <c r="B63" s="21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7"/>
    </row>
    <row r="64" spans="1:256" x14ac:dyDescent="0.2">
      <c r="A64" s="215"/>
      <c r="B64" s="216"/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7"/>
    </row>
    <row r="65" spans="1:13" x14ac:dyDescent="0.2">
      <c r="A65" s="215"/>
      <c r="B65" s="21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7"/>
    </row>
    <row r="66" spans="1:13" x14ac:dyDescent="0.2">
      <c r="A66" s="215"/>
      <c r="B66" s="216"/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7"/>
    </row>
    <row r="67" spans="1:13" x14ac:dyDescent="0.2">
      <c r="A67" s="215"/>
      <c r="B67" s="21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7"/>
    </row>
    <row r="68" spans="1:13" x14ac:dyDescent="0.2">
      <c r="A68" s="215"/>
      <c r="B68" s="216"/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7"/>
    </row>
    <row r="69" spans="1:13" x14ac:dyDescent="0.2">
      <c r="A69" s="215"/>
      <c r="B69" s="216"/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7"/>
    </row>
    <row r="70" spans="1:13" ht="12" thickBot="1" x14ac:dyDescent="0.25">
      <c r="A70" s="217"/>
      <c r="B70" s="218"/>
      <c r="C70" s="279"/>
      <c r="D70" s="279"/>
      <c r="E70" s="279"/>
      <c r="F70" s="279"/>
      <c r="G70" s="279"/>
      <c r="H70" s="279"/>
      <c r="I70" s="279"/>
      <c r="J70" s="279"/>
      <c r="K70" s="279"/>
      <c r="L70" s="279"/>
      <c r="M70" s="280"/>
    </row>
    <row r="71" spans="1:13" ht="12" thickTop="1" x14ac:dyDescent="0.2">
      <c r="A71" s="205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3" ht="12.75" x14ac:dyDescent="0.2">
      <c r="A72" s="281" t="s">
        <v>879</v>
      </c>
      <c r="B72" s="281"/>
      <c r="C72" s="281"/>
      <c r="D72" s="281"/>
      <c r="E72" s="28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7" t="s">
        <v>799</v>
      </c>
      <c r="B73" s="207" t="s">
        <v>800</v>
      </c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</row>
    <row r="74" spans="1:13" x14ac:dyDescent="0.2">
      <c r="A74" s="208"/>
      <c r="B74" s="20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</row>
    <row r="75" spans="1:13" x14ac:dyDescent="0.2">
      <c r="A75" s="208"/>
      <c r="B75" s="20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</row>
    <row r="76" spans="1:13" x14ac:dyDescent="0.2">
      <c r="A76" s="208"/>
      <c r="B76" s="20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</row>
    <row r="77" spans="1:13" x14ac:dyDescent="0.2">
      <c r="A77" s="208"/>
      <c r="B77" s="20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</row>
    <row r="78" spans="1:13" x14ac:dyDescent="0.2">
      <c r="A78" s="208"/>
      <c r="B78" s="20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</row>
    <row r="79" spans="1:13" x14ac:dyDescent="0.2">
      <c r="A79" s="208"/>
      <c r="B79" s="20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</row>
    <row r="80" spans="1:13" x14ac:dyDescent="0.2">
      <c r="A80" s="208"/>
      <c r="B80" s="20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</row>
    <row r="81" spans="1:13" x14ac:dyDescent="0.2">
      <c r="A81" s="208"/>
      <c r="B81" s="20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</row>
    <row r="82" spans="1:13" x14ac:dyDescent="0.2">
      <c r="A82" s="208"/>
      <c r="B82" s="20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</row>
    <row r="83" spans="1:13" x14ac:dyDescent="0.2">
      <c r="A83" s="208"/>
      <c r="B83" s="20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</row>
    <row r="84" spans="1:13" x14ac:dyDescent="0.2">
      <c r="A84" s="208"/>
      <c r="B84" s="20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</row>
    <row r="85" spans="1:13" x14ac:dyDescent="0.2">
      <c r="A85" s="208"/>
      <c r="B85" s="20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</row>
    <row r="86" spans="1:13" x14ac:dyDescent="0.2">
      <c r="A86" s="208"/>
      <c r="B86" s="20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</row>
    <row r="87" spans="1:13" x14ac:dyDescent="0.2">
      <c r="A87" s="208"/>
      <c r="B87" s="20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</row>
    <row r="88" spans="1:13" x14ac:dyDescent="0.2">
      <c r="A88" s="208"/>
      <c r="B88" s="20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</row>
    <row r="89" spans="1:13" x14ac:dyDescent="0.2">
      <c r="A89" s="208"/>
      <c r="B89" s="20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</row>
    <row r="90" spans="1:13" x14ac:dyDescent="0.2">
      <c r="A90" s="208"/>
      <c r="B90" s="20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2011-11-04T18:05:26Z</cp:lastPrinted>
  <dcterms:created xsi:type="dcterms:W3CDTF">1997-12-04T19:04:30Z</dcterms:created>
  <dcterms:modified xsi:type="dcterms:W3CDTF">2025-01-10T20:15:41Z</dcterms:modified>
</cp:coreProperties>
</file>