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C2E73F6-7F04-4B80-B99F-F6BCA2404C8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735EAFD4-EEDC-47FC-9E8E-78300BC719A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11" i="1"/>
  <c r="F109" i="1"/>
  <c r="H523" i="1"/>
  <c r="H522" i="1"/>
  <c r="H521" i="1"/>
  <c r="I594" i="1"/>
  <c r="H594" i="1"/>
  <c r="J594" i="1"/>
  <c r="H196" i="1"/>
  <c r="H214" i="1"/>
  <c r="L214" i="1" s="1"/>
  <c r="H232" i="1"/>
  <c r="L232" i="1" s="1"/>
  <c r="K225" i="1"/>
  <c r="J225" i="1"/>
  <c r="I225" i="1"/>
  <c r="H225" i="1"/>
  <c r="G225" i="1"/>
  <c r="F225" i="1"/>
  <c r="K207" i="1"/>
  <c r="G5" i="13" s="1"/>
  <c r="G33" i="13" s="1"/>
  <c r="J207" i="1"/>
  <c r="I207" i="1"/>
  <c r="H207" i="1"/>
  <c r="G207" i="1"/>
  <c r="G221" i="1" s="1"/>
  <c r="F207" i="1"/>
  <c r="L207" i="1" s="1"/>
  <c r="K189" i="1"/>
  <c r="J189" i="1"/>
  <c r="F5" i="13" s="1"/>
  <c r="I189" i="1"/>
  <c r="H189" i="1"/>
  <c r="G189" i="1"/>
  <c r="F189" i="1"/>
  <c r="F190" i="1"/>
  <c r="B18" i="12" s="1"/>
  <c r="F226" i="1"/>
  <c r="J226" i="1"/>
  <c r="I226" i="1"/>
  <c r="H226" i="1"/>
  <c r="H239" i="1" s="1"/>
  <c r="G226" i="1"/>
  <c r="C18" i="12" s="1"/>
  <c r="I208" i="1"/>
  <c r="H208" i="1"/>
  <c r="G208" i="1"/>
  <c r="F208" i="1"/>
  <c r="J190" i="1"/>
  <c r="I190" i="1"/>
  <c r="H190" i="1"/>
  <c r="G190" i="1"/>
  <c r="I217" i="1"/>
  <c r="J199" i="1"/>
  <c r="I199" i="1"/>
  <c r="H199" i="1"/>
  <c r="L199" i="1" s="1"/>
  <c r="G199" i="1"/>
  <c r="F199" i="1"/>
  <c r="J217" i="1"/>
  <c r="H217" i="1"/>
  <c r="G217" i="1"/>
  <c r="F217" i="1"/>
  <c r="J235" i="1"/>
  <c r="J239" i="1" s="1"/>
  <c r="J249" i="1" s="1"/>
  <c r="I235" i="1"/>
  <c r="H235" i="1"/>
  <c r="G235" i="1"/>
  <c r="F235" i="1"/>
  <c r="L235" i="1" s="1"/>
  <c r="F195" i="1"/>
  <c r="L195" i="1" s="1"/>
  <c r="J231" i="1"/>
  <c r="I231" i="1"/>
  <c r="H231" i="1"/>
  <c r="G231" i="1"/>
  <c r="F231" i="1"/>
  <c r="I213" i="1"/>
  <c r="H213" i="1"/>
  <c r="H221" i="1" s="1"/>
  <c r="G213" i="1"/>
  <c r="F213" i="1"/>
  <c r="I195" i="1"/>
  <c r="H195" i="1"/>
  <c r="G195" i="1"/>
  <c r="G203" i="1" s="1"/>
  <c r="G249" i="1" s="1"/>
  <c r="G263" i="1" s="1"/>
  <c r="H194" i="1"/>
  <c r="G194" i="1"/>
  <c r="F194" i="1"/>
  <c r="G212" i="1"/>
  <c r="F212" i="1"/>
  <c r="H230" i="1"/>
  <c r="G230" i="1"/>
  <c r="L230" i="1" s="1"/>
  <c r="F230" i="1"/>
  <c r="F2" i="11"/>
  <c r="B2" i="10"/>
  <c r="C37" i="10"/>
  <c r="C40" i="10"/>
  <c r="C42" i="10"/>
  <c r="A1" i="2"/>
  <c r="A2" i="2"/>
  <c r="C9" i="2"/>
  <c r="D9" i="2"/>
  <c r="E9" i="2"/>
  <c r="F9" i="2"/>
  <c r="F19" i="2" s="1"/>
  <c r="C10" i="2"/>
  <c r="D10" i="2"/>
  <c r="D12" i="2"/>
  <c r="D13" i="2"/>
  <c r="D19" i="2" s="1"/>
  <c r="D14" i="2"/>
  <c r="D16" i="2"/>
  <c r="D17" i="2"/>
  <c r="D18" i="2"/>
  <c r="E10" i="2"/>
  <c r="F10" i="2"/>
  <c r="C11" i="2"/>
  <c r="C12" i="2"/>
  <c r="E12" i="2"/>
  <c r="F12" i="2"/>
  <c r="C13" i="2"/>
  <c r="E13" i="2"/>
  <c r="E19" i="2" s="1"/>
  <c r="F13" i="2"/>
  <c r="C14" i="2"/>
  <c r="E14" i="2"/>
  <c r="F14" i="2"/>
  <c r="F15" i="2"/>
  <c r="C16" i="2"/>
  <c r="E16" i="2"/>
  <c r="F16" i="2"/>
  <c r="C17" i="2"/>
  <c r="E17" i="2"/>
  <c r="F17" i="2"/>
  <c r="C18" i="2"/>
  <c r="E18" i="2"/>
  <c r="F18" i="2"/>
  <c r="C22" i="2"/>
  <c r="D22" i="2"/>
  <c r="E22" i="2"/>
  <c r="F22" i="2"/>
  <c r="F32" i="2" s="1"/>
  <c r="C23" i="2"/>
  <c r="D23" i="2"/>
  <c r="E23" i="2"/>
  <c r="F23" i="2"/>
  <c r="F24" i="2"/>
  <c r="F25" i="2"/>
  <c r="F26" i="2"/>
  <c r="F27" i="2"/>
  <c r="F28" i="2"/>
  <c r="F29" i="2"/>
  <c r="F30" i="2"/>
  <c r="F31" i="2"/>
  <c r="C24" i="2"/>
  <c r="D24" i="2"/>
  <c r="E24" i="2"/>
  <c r="E32" i="2" s="1"/>
  <c r="C25" i="2"/>
  <c r="C32" i="2" s="1"/>
  <c r="D25" i="2"/>
  <c r="E25" i="2"/>
  <c r="C26" i="2"/>
  <c r="C27" i="2"/>
  <c r="C28" i="2"/>
  <c r="D28" i="2"/>
  <c r="E28" i="2"/>
  <c r="C29" i="2"/>
  <c r="D29" i="2"/>
  <c r="E29" i="2"/>
  <c r="C30" i="2"/>
  <c r="D30" i="2"/>
  <c r="D32" i="2" s="1"/>
  <c r="E30" i="2"/>
  <c r="C31" i="2"/>
  <c r="D31" i="2"/>
  <c r="E31" i="2"/>
  <c r="C34" i="2"/>
  <c r="D34" i="2"/>
  <c r="D42" i="2" s="1"/>
  <c r="D43" i="2" s="1"/>
  <c r="E34" i="2"/>
  <c r="F34" i="2"/>
  <c r="F35" i="2"/>
  <c r="F36" i="2"/>
  <c r="F42" i="2" s="1"/>
  <c r="F43" i="2" s="1"/>
  <c r="F37" i="2"/>
  <c r="F38" i="2"/>
  <c r="F40" i="2"/>
  <c r="F41" i="2"/>
  <c r="C35" i="2"/>
  <c r="D35" i="2"/>
  <c r="E35" i="2"/>
  <c r="C36" i="2"/>
  <c r="D36" i="2"/>
  <c r="E36" i="2"/>
  <c r="E42" i="2" s="1"/>
  <c r="C37" i="2"/>
  <c r="C42" i="2" s="1"/>
  <c r="C43" i="2" s="1"/>
  <c r="C38" i="2"/>
  <c r="C40" i="2"/>
  <c r="C41" i="2"/>
  <c r="D37" i="2"/>
  <c r="E37" i="2"/>
  <c r="D38" i="2"/>
  <c r="E38" i="2"/>
  <c r="D40" i="2"/>
  <c r="E40" i="2"/>
  <c r="D41" i="2"/>
  <c r="E41" i="2"/>
  <c r="C51" i="2"/>
  <c r="D51" i="2"/>
  <c r="E51" i="2"/>
  <c r="F51" i="2"/>
  <c r="G51" i="2"/>
  <c r="G54" i="2" s="1"/>
  <c r="G53" i="2"/>
  <c r="D52" i="2"/>
  <c r="C53" i="2"/>
  <c r="D53" i="2"/>
  <c r="D54" i="2" s="1"/>
  <c r="E53" i="2"/>
  <c r="F53" i="2"/>
  <c r="F54" i="2" s="1"/>
  <c r="C58" i="2"/>
  <c r="C59" i="2"/>
  <c r="C60" i="2"/>
  <c r="C61" i="2"/>
  <c r="D61" i="2"/>
  <c r="E61" i="2"/>
  <c r="E62" i="2"/>
  <c r="F61" i="2"/>
  <c r="F62" i="2" s="1"/>
  <c r="G61" i="2"/>
  <c r="G62" i="2"/>
  <c r="D62" i="2"/>
  <c r="C64" i="2"/>
  <c r="F64" i="2"/>
  <c r="C65" i="2"/>
  <c r="F65" i="2"/>
  <c r="C66" i="2"/>
  <c r="C67" i="2"/>
  <c r="C68" i="2"/>
  <c r="E68" i="2"/>
  <c r="E70" i="2" s="1"/>
  <c r="E73" i="2" s="1"/>
  <c r="F68" i="2"/>
  <c r="F69" i="2"/>
  <c r="F70" i="2" s="1"/>
  <c r="C69" i="2"/>
  <c r="D69" i="2"/>
  <c r="D70" i="2"/>
  <c r="D73" i="2" s="1"/>
  <c r="D71" i="2"/>
  <c r="E69" i="2"/>
  <c r="G69" i="2"/>
  <c r="G70" i="2" s="1"/>
  <c r="G73" i="2" s="1"/>
  <c r="C70" i="2"/>
  <c r="C73" i="2" s="1"/>
  <c r="C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F95" i="2" s="1"/>
  <c r="D88" i="2"/>
  <c r="D95" i="2" s="1"/>
  <c r="E88" i="2"/>
  <c r="E89" i="2"/>
  <c r="E95" i="2" s="1"/>
  <c r="E90" i="2"/>
  <c r="E91" i="2"/>
  <c r="E92" i="2"/>
  <c r="E93" i="2"/>
  <c r="E94" i="2"/>
  <c r="F88" i="2"/>
  <c r="G88" i="2"/>
  <c r="G89" i="2"/>
  <c r="G95" i="2" s="1"/>
  <c r="G90" i="2"/>
  <c r="C89" i="2"/>
  <c r="D89" i="2"/>
  <c r="F89" i="2"/>
  <c r="C90" i="2"/>
  <c r="D90" i="2"/>
  <c r="C91" i="2"/>
  <c r="D91" i="2"/>
  <c r="F91" i="2"/>
  <c r="C92" i="2"/>
  <c r="D92" i="2"/>
  <c r="F92" i="2"/>
  <c r="C93" i="2"/>
  <c r="D93" i="2"/>
  <c r="F93" i="2"/>
  <c r="C94" i="2"/>
  <c r="D94" i="2"/>
  <c r="F94" i="2"/>
  <c r="D107" i="2"/>
  <c r="F107" i="2"/>
  <c r="G107" i="2"/>
  <c r="F120" i="2"/>
  <c r="G120" i="2"/>
  <c r="D126" i="2"/>
  <c r="D136" i="2" s="1"/>
  <c r="F12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B2" i="13"/>
  <c r="F6" i="13"/>
  <c r="G6" i="13"/>
  <c r="F7" i="13"/>
  <c r="G7" i="13"/>
  <c r="F8" i="13"/>
  <c r="G8" i="13"/>
  <c r="C9" i="13"/>
  <c r="C10" i="13"/>
  <c r="C11" i="13"/>
  <c r="F12" i="13"/>
  <c r="D12" i="13" s="1"/>
  <c r="C12" i="13" s="1"/>
  <c r="G12" i="13"/>
  <c r="F13" i="13"/>
  <c r="G13" i="13"/>
  <c r="G14" i="13"/>
  <c r="F15" i="13"/>
  <c r="G15" i="13"/>
  <c r="F16" i="13"/>
  <c r="G16" i="13"/>
  <c r="F17" i="13"/>
  <c r="G17" i="13"/>
  <c r="D17" i="13" s="1"/>
  <c r="C17" i="13" s="1"/>
  <c r="F18" i="13"/>
  <c r="G18" i="13"/>
  <c r="F19" i="13"/>
  <c r="G19" i="13"/>
  <c r="F29" i="13"/>
  <c r="G29" i="13"/>
  <c r="D39" i="13"/>
  <c r="B1" i="12"/>
  <c r="B4" i="12"/>
  <c r="B13" i="12"/>
  <c r="C13" i="12"/>
  <c r="B22" i="12"/>
  <c r="C22" i="12"/>
  <c r="B27" i="12"/>
  <c r="C27" i="12"/>
  <c r="B31" i="12"/>
  <c r="C31" i="12"/>
  <c r="B36" i="12"/>
  <c r="C36" i="12"/>
  <c r="B40" i="12"/>
  <c r="A40" i="12"/>
  <c r="C40" i="12"/>
  <c r="F19" i="1"/>
  <c r="G19" i="1"/>
  <c r="H19" i="1"/>
  <c r="I19" i="1"/>
  <c r="F33" i="1"/>
  <c r="G33" i="1"/>
  <c r="G44" i="1" s="1"/>
  <c r="H608" i="1" s="1"/>
  <c r="H33" i="1"/>
  <c r="I33" i="1"/>
  <c r="F43" i="1"/>
  <c r="G612" i="1" s="1"/>
  <c r="J612" i="1" s="1"/>
  <c r="F44" i="1"/>
  <c r="H607" i="1" s="1"/>
  <c r="J607" i="1" s="1"/>
  <c r="G43" i="1"/>
  <c r="H43" i="1"/>
  <c r="I43" i="1"/>
  <c r="I44" i="1" s="1"/>
  <c r="H610" i="1" s="1"/>
  <c r="J610" i="1" s="1"/>
  <c r="F52" i="1"/>
  <c r="G52" i="1"/>
  <c r="D48" i="2"/>
  <c r="D55" i="2" s="1"/>
  <c r="D96" i="2" s="1"/>
  <c r="H52" i="1"/>
  <c r="E48" i="2" s="1"/>
  <c r="E55" i="2" s="1"/>
  <c r="E96" i="2" s="1"/>
  <c r="I52" i="1"/>
  <c r="I104" i="1" s="1"/>
  <c r="F48" i="2"/>
  <c r="J52" i="1"/>
  <c r="G48" i="2"/>
  <c r="G55" i="2" s="1"/>
  <c r="G96" i="2" s="1"/>
  <c r="F55" i="1"/>
  <c r="F71" i="1"/>
  <c r="F104" i="1" s="1"/>
  <c r="H71" i="1"/>
  <c r="E49" i="2" s="1"/>
  <c r="E54" i="2" s="1"/>
  <c r="F86" i="1"/>
  <c r="C50" i="2"/>
  <c r="H86" i="1"/>
  <c r="E50" i="2"/>
  <c r="F103" i="1"/>
  <c r="G103" i="1"/>
  <c r="H103" i="1"/>
  <c r="H104" i="1" s="1"/>
  <c r="I103" i="1"/>
  <c r="J103" i="1"/>
  <c r="J104" i="1" s="1"/>
  <c r="J185" i="1" s="1"/>
  <c r="G104" i="1"/>
  <c r="F113" i="1"/>
  <c r="F132" i="1" s="1"/>
  <c r="G113" i="1"/>
  <c r="G132" i="1" s="1"/>
  <c r="H113" i="1"/>
  <c r="H132" i="1" s="1"/>
  <c r="I113" i="1"/>
  <c r="I132" i="1" s="1"/>
  <c r="J113" i="1"/>
  <c r="J132" i="1" s="1"/>
  <c r="F128" i="1"/>
  <c r="G128" i="1"/>
  <c r="H128" i="1"/>
  <c r="I128" i="1"/>
  <c r="J128" i="1"/>
  <c r="F139" i="1"/>
  <c r="F161" i="1" s="1"/>
  <c r="C77" i="2"/>
  <c r="C83" i="2" s="1"/>
  <c r="G139" i="1"/>
  <c r="D77" i="2" s="1"/>
  <c r="D83" i="2" s="1"/>
  <c r="H139" i="1"/>
  <c r="E77" i="2" s="1"/>
  <c r="E83" i="2" s="1"/>
  <c r="I139" i="1"/>
  <c r="F77" i="2"/>
  <c r="F83" i="2" s="1"/>
  <c r="F154" i="1"/>
  <c r="G154" i="1"/>
  <c r="G161" i="1" s="1"/>
  <c r="H154" i="1"/>
  <c r="I154" i="1"/>
  <c r="I161" i="1"/>
  <c r="F169" i="1"/>
  <c r="I169" i="1"/>
  <c r="F175" i="1"/>
  <c r="G175" i="1"/>
  <c r="G184" i="1" s="1"/>
  <c r="H175" i="1"/>
  <c r="I175" i="1"/>
  <c r="I184" i="1" s="1"/>
  <c r="J175" i="1"/>
  <c r="J184" i="1" s="1"/>
  <c r="F180" i="1"/>
  <c r="G180" i="1"/>
  <c r="H180" i="1"/>
  <c r="H184" i="1"/>
  <c r="I180" i="1"/>
  <c r="L189" i="1"/>
  <c r="L191" i="1"/>
  <c r="C103" i="2" s="1"/>
  <c r="L192" i="1"/>
  <c r="C104" i="2" s="1"/>
  <c r="L194" i="1"/>
  <c r="L196" i="1"/>
  <c r="L197" i="1"/>
  <c r="L198" i="1"/>
  <c r="L200" i="1"/>
  <c r="H637" i="1" s="1"/>
  <c r="L201" i="1"/>
  <c r="C117" i="2" s="1"/>
  <c r="I203" i="1"/>
  <c r="I249" i="1" s="1"/>
  <c r="I263" i="1" s="1"/>
  <c r="J203" i="1"/>
  <c r="K203" i="1"/>
  <c r="L208" i="1"/>
  <c r="L209" i="1"/>
  <c r="L210" i="1"/>
  <c r="L212" i="1"/>
  <c r="L215" i="1"/>
  <c r="L216" i="1"/>
  <c r="C114" i="2" s="1"/>
  <c r="L217" i="1"/>
  <c r="L218" i="1"/>
  <c r="L219" i="1"/>
  <c r="I221" i="1"/>
  <c r="J221" i="1"/>
  <c r="L225" i="1"/>
  <c r="L227" i="1"/>
  <c r="L228" i="1"/>
  <c r="L231" i="1"/>
  <c r="L233" i="1"/>
  <c r="L234" i="1"/>
  <c r="L236" i="1"/>
  <c r="L237" i="1"/>
  <c r="F239" i="1"/>
  <c r="G239" i="1"/>
  <c r="I239" i="1"/>
  <c r="K239" i="1"/>
  <c r="L242" i="1"/>
  <c r="L243" i="1"/>
  <c r="C106" i="2" s="1"/>
  <c r="L244" i="1"/>
  <c r="D18" i="13" s="1"/>
  <c r="C18" i="13" s="1"/>
  <c r="L245" i="1"/>
  <c r="D19" i="13"/>
  <c r="C19" i="13"/>
  <c r="L246" i="1"/>
  <c r="L247" i="1"/>
  <c r="F248" i="1"/>
  <c r="G248" i="1"/>
  <c r="H248" i="1"/>
  <c r="L248" i="1" s="1"/>
  <c r="I248" i="1"/>
  <c r="J248" i="1"/>
  <c r="K248" i="1"/>
  <c r="L252" i="1"/>
  <c r="L253" i="1"/>
  <c r="C25" i="10" s="1"/>
  <c r="L255" i="1"/>
  <c r="C127" i="2" s="1"/>
  <c r="L256" i="1"/>
  <c r="C128" i="2"/>
  <c r="L257" i="1"/>
  <c r="C129" i="2"/>
  <c r="L258" i="1"/>
  <c r="L260" i="1"/>
  <c r="L261" i="1"/>
  <c r="C135" i="2" s="1"/>
  <c r="F262" i="1"/>
  <c r="G262" i="1"/>
  <c r="L262" i="1" s="1"/>
  <c r="H262" i="1"/>
  <c r="I262" i="1"/>
  <c r="J262" i="1"/>
  <c r="K262" i="1"/>
  <c r="L268" i="1"/>
  <c r="L269" i="1"/>
  <c r="L270" i="1"/>
  <c r="L271" i="1"/>
  <c r="L273" i="1"/>
  <c r="L274" i="1"/>
  <c r="L275" i="1"/>
  <c r="L282" i="1" s="1"/>
  <c r="L276" i="1"/>
  <c r="C18" i="10" s="1"/>
  <c r="L277" i="1"/>
  <c r="L278" i="1"/>
  <c r="L279" i="1"/>
  <c r="L280" i="1"/>
  <c r="F282" i="1"/>
  <c r="G282" i="1"/>
  <c r="G330" i="1" s="1"/>
  <c r="G344" i="1" s="1"/>
  <c r="H282" i="1"/>
  <c r="I282" i="1"/>
  <c r="J282" i="1"/>
  <c r="K282" i="1"/>
  <c r="K330" i="1" s="1"/>
  <c r="K344" i="1" s="1"/>
  <c r="L287" i="1"/>
  <c r="L301" i="1" s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E117" i="2" s="1"/>
  <c r="F301" i="1"/>
  <c r="F330" i="1" s="1"/>
  <c r="F344" i="1" s="1"/>
  <c r="G301" i="1"/>
  <c r="H301" i="1"/>
  <c r="I301" i="1"/>
  <c r="J301" i="1"/>
  <c r="K301" i="1"/>
  <c r="L306" i="1"/>
  <c r="L307" i="1"/>
  <c r="L308" i="1"/>
  <c r="L309" i="1"/>
  <c r="L311" i="1"/>
  <c r="L320" i="1" s="1"/>
  <c r="L312" i="1"/>
  <c r="E111" i="2" s="1"/>
  <c r="L313" i="1"/>
  <c r="L314" i="1"/>
  <c r="L315" i="1"/>
  <c r="L316" i="1"/>
  <c r="L317" i="1"/>
  <c r="L318" i="1"/>
  <c r="F320" i="1"/>
  <c r="G320" i="1"/>
  <c r="H320" i="1"/>
  <c r="H330" i="1" s="1"/>
  <c r="H344" i="1" s="1"/>
  <c r="I320" i="1"/>
  <c r="I330" i="1" s="1"/>
  <c r="I344" i="1" s="1"/>
  <c r="J320" i="1"/>
  <c r="J330" i="1" s="1"/>
  <c r="J344" i="1" s="1"/>
  <c r="K320" i="1"/>
  <c r="L324" i="1"/>
  <c r="E105" i="2"/>
  <c r="L325" i="1"/>
  <c r="L326" i="1"/>
  <c r="L327" i="1"/>
  <c r="L328" i="1"/>
  <c r="E122" i="2" s="1"/>
  <c r="F329" i="1"/>
  <c r="L329" i="1" s="1"/>
  <c r="G329" i="1"/>
  <c r="H329" i="1"/>
  <c r="I329" i="1"/>
  <c r="J329" i="1"/>
  <c r="K329" i="1"/>
  <c r="L333" i="1"/>
  <c r="E123" i="2"/>
  <c r="L334" i="1"/>
  <c r="E124" i="2"/>
  <c r="L336" i="1"/>
  <c r="L343" i="1" s="1"/>
  <c r="L337" i="1"/>
  <c r="E127" i="2" s="1"/>
  <c r="L338" i="1"/>
  <c r="E129" i="2"/>
  <c r="L339" i="1"/>
  <c r="L341" i="1"/>
  <c r="E134" i="2"/>
  <c r="L342" i="1"/>
  <c r="E135" i="2"/>
  <c r="K343" i="1"/>
  <c r="L350" i="1"/>
  <c r="D29" i="13" s="1"/>
  <c r="C29" i="13" s="1"/>
  <c r="L351" i="1"/>
  <c r="G651" i="1" s="1"/>
  <c r="L352" i="1"/>
  <c r="H651" i="1" s="1"/>
  <c r="L353" i="1"/>
  <c r="F354" i="1"/>
  <c r="G354" i="1"/>
  <c r="H354" i="1"/>
  <c r="I354" i="1"/>
  <c r="J354" i="1"/>
  <c r="K354" i="1"/>
  <c r="F359" i="1"/>
  <c r="I359" i="1" s="1"/>
  <c r="I361" i="1" s="1"/>
  <c r="H624" i="1" s="1"/>
  <c r="G359" i="1"/>
  <c r="G361" i="1" s="1"/>
  <c r="H359" i="1"/>
  <c r="H361" i="1" s="1"/>
  <c r="F360" i="1"/>
  <c r="G360" i="1"/>
  <c r="H360" i="1"/>
  <c r="I360" i="1"/>
  <c r="L366" i="1"/>
  <c r="L374" i="1" s="1"/>
  <c r="G626" i="1" s="1"/>
  <c r="J626" i="1" s="1"/>
  <c r="L367" i="1"/>
  <c r="L368" i="1"/>
  <c r="L369" i="1"/>
  <c r="L370" i="1"/>
  <c r="L371" i="1"/>
  <c r="L372" i="1"/>
  <c r="L373" i="1"/>
  <c r="F374" i="1"/>
  <c r="G374" i="1"/>
  <c r="H374" i="1"/>
  <c r="I374" i="1"/>
  <c r="J374" i="1"/>
  <c r="K374" i="1"/>
  <c r="L379" i="1"/>
  <c r="L385" i="1" s="1"/>
  <c r="L380" i="1"/>
  <c r="L381" i="1"/>
  <c r="L382" i="1"/>
  <c r="L383" i="1"/>
  <c r="L384" i="1"/>
  <c r="F385" i="1"/>
  <c r="F400" i="1"/>
  <c r="H633" i="1"/>
  <c r="J633" i="1" s="1"/>
  <c r="G385" i="1"/>
  <c r="G400" i="1" s="1"/>
  <c r="H635" i="1" s="1"/>
  <c r="H385" i="1"/>
  <c r="I385" i="1"/>
  <c r="I400" i="1" s="1"/>
  <c r="L387" i="1"/>
  <c r="L388" i="1"/>
  <c r="L393" i="1"/>
  <c r="C131" i="2" s="1"/>
  <c r="L389" i="1"/>
  <c r="L390" i="1"/>
  <c r="L391" i="1"/>
  <c r="L392" i="1"/>
  <c r="F393" i="1"/>
  <c r="G393" i="1"/>
  <c r="H393" i="1"/>
  <c r="I393" i="1"/>
  <c r="L395" i="1"/>
  <c r="L396" i="1"/>
  <c r="L399" i="1" s="1"/>
  <c r="C132" i="2" s="1"/>
  <c r="L397" i="1"/>
  <c r="L398" i="1"/>
  <c r="F399" i="1"/>
  <c r="G399" i="1"/>
  <c r="H399" i="1"/>
  <c r="H400" i="1" s="1"/>
  <c r="H634" i="1" s="1"/>
  <c r="J634" i="1" s="1"/>
  <c r="I399" i="1"/>
  <c r="L405" i="1"/>
  <c r="L406" i="1"/>
  <c r="L411" i="1" s="1"/>
  <c r="L407" i="1"/>
  <c r="L408" i="1"/>
  <c r="L409" i="1"/>
  <c r="L410" i="1"/>
  <c r="F411" i="1"/>
  <c r="G411" i="1"/>
  <c r="G426" i="1" s="1"/>
  <c r="H411" i="1"/>
  <c r="H426" i="1" s="1"/>
  <c r="I411" i="1"/>
  <c r="J411" i="1"/>
  <c r="K411" i="1"/>
  <c r="K426" i="1" s="1"/>
  <c r="G126" i="2" s="1"/>
  <c r="G136" i="2" s="1"/>
  <c r="G137" i="2" s="1"/>
  <c r="L413" i="1"/>
  <c r="L414" i="1"/>
  <c r="L415" i="1"/>
  <c r="L419" i="1" s="1"/>
  <c r="L416" i="1"/>
  <c r="L417" i="1"/>
  <c r="L418" i="1"/>
  <c r="F419" i="1"/>
  <c r="G419" i="1"/>
  <c r="H419" i="1"/>
  <c r="I419" i="1"/>
  <c r="I426" i="1" s="1"/>
  <c r="J419" i="1"/>
  <c r="K419" i="1"/>
  <c r="L421" i="1"/>
  <c r="L422" i="1"/>
  <c r="L423" i="1"/>
  <c r="L424" i="1"/>
  <c r="F425" i="1"/>
  <c r="F426" i="1" s="1"/>
  <c r="G425" i="1"/>
  <c r="H425" i="1"/>
  <c r="I425" i="1"/>
  <c r="J425" i="1"/>
  <c r="J426" i="1" s="1"/>
  <c r="K425" i="1"/>
  <c r="L425" i="1"/>
  <c r="I431" i="1"/>
  <c r="I438" i="1" s="1"/>
  <c r="G632" i="1" s="1"/>
  <c r="I432" i="1"/>
  <c r="J10" i="1" s="1"/>
  <c r="G10" i="2" s="1"/>
  <c r="I433" i="1"/>
  <c r="J12" i="1" s="1"/>
  <c r="G12" i="2" s="1"/>
  <c r="I434" i="1"/>
  <c r="J13" i="1"/>
  <c r="G13" i="2"/>
  <c r="I435" i="1"/>
  <c r="J14" i="1"/>
  <c r="G14" i="2" s="1"/>
  <c r="I436" i="1"/>
  <c r="J17" i="1" s="1"/>
  <c r="G17" i="2" s="1"/>
  <c r="I437" i="1"/>
  <c r="J18" i="1" s="1"/>
  <c r="G18" i="2" s="1"/>
  <c r="F438" i="1"/>
  <c r="G438" i="1"/>
  <c r="H438" i="1"/>
  <c r="I440" i="1"/>
  <c r="J23" i="1" s="1"/>
  <c r="I441" i="1"/>
  <c r="J24" i="1" s="1"/>
  <c r="G23" i="2" s="1"/>
  <c r="I442" i="1"/>
  <c r="J25" i="1" s="1"/>
  <c r="G24" i="2" s="1"/>
  <c r="I443" i="1"/>
  <c r="J32" i="1"/>
  <c r="G31" i="2"/>
  <c r="F444" i="1"/>
  <c r="F451" i="1" s="1"/>
  <c r="H629" i="1" s="1"/>
  <c r="J629" i="1" s="1"/>
  <c r="G444" i="1"/>
  <c r="G451" i="1" s="1"/>
  <c r="H630" i="1" s="1"/>
  <c r="H444" i="1"/>
  <c r="I446" i="1"/>
  <c r="J37" i="1"/>
  <c r="G36" i="2"/>
  <c r="I447" i="1"/>
  <c r="J38" i="1" s="1"/>
  <c r="I448" i="1"/>
  <c r="J40" i="1"/>
  <c r="G39" i="2"/>
  <c r="I449" i="1"/>
  <c r="J41" i="1" s="1"/>
  <c r="G40" i="2" s="1"/>
  <c r="F450" i="1"/>
  <c r="G450" i="1"/>
  <c r="H450" i="1"/>
  <c r="H451" i="1" s="1"/>
  <c r="H631" i="1" s="1"/>
  <c r="J631" i="1" s="1"/>
  <c r="I450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F490" i="1"/>
  <c r="B153" i="2"/>
  <c r="G490" i="1"/>
  <c r="C153" i="2"/>
  <c r="G153" i="2" s="1"/>
  <c r="H490" i="1"/>
  <c r="D153" i="2" s="1"/>
  <c r="I490" i="1"/>
  <c r="E153" i="2"/>
  <c r="J490" i="1"/>
  <c r="K490" i="1" s="1"/>
  <c r="F153" i="2"/>
  <c r="K491" i="1"/>
  <c r="K492" i="1"/>
  <c r="F493" i="1"/>
  <c r="K493" i="1" s="1"/>
  <c r="B156" i="2"/>
  <c r="G493" i="1"/>
  <c r="C156" i="2"/>
  <c r="H493" i="1"/>
  <c r="D156" i="2"/>
  <c r="I493" i="1"/>
  <c r="E156" i="2"/>
  <c r="J493" i="1"/>
  <c r="F156" i="2" s="1"/>
  <c r="F507" i="1"/>
  <c r="G507" i="1"/>
  <c r="H507" i="1"/>
  <c r="I507" i="1"/>
  <c r="L511" i="1"/>
  <c r="L514" i="1" s="1"/>
  <c r="L512" i="1"/>
  <c r="F540" i="1"/>
  <c r="L513" i="1"/>
  <c r="F541" i="1"/>
  <c r="F514" i="1"/>
  <c r="F535" i="1" s="1"/>
  <c r="G514" i="1"/>
  <c r="G535" i="1" s="1"/>
  <c r="H514" i="1"/>
  <c r="I514" i="1"/>
  <c r="J514" i="1"/>
  <c r="K514" i="1"/>
  <c r="K535" i="1" s="1"/>
  <c r="L516" i="1"/>
  <c r="G539" i="1" s="1"/>
  <c r="G542" i="1" s="1"/>
  <c r="L517" i="1"/>
  <c r="L518" i="1"/>
  <c r="L519" i="1"/>
  <c r="F519" i="1"/>
  <c r="G519" i="1"/>
  <c r="H519" i="1"/>
  <c r="I519" i="1"/>
  <c r="J519" i="1"/>
  <c r="J535" i="1" s="1"/>
  <c r="K519" i="1"/>
  <c r="L521" i="1"/>
  <c r="L524" i="1" s="1"/>
  <c r="L522" i="1"/>
  <c r="H540" i="1"/>
  <c r="L523" i="1"/>
  <c r="F524" i="1"/>
  <c r="G524" i="1"/>
  <c r="H524" i="1"/>
  <c r="I524" i="1"/>
  <c r="J524" i="1"/>
  <c r="K524" i="1"/>
  <c r="L526" i="1"/>
  <c r="L529" i="1" s="1"/>
  <c r="L527" i="1"/>
  <c r="I540" i="1" s="1"/>
  <c r="K540" i="1" s="1"/>
  <c r="L528" i="1"/>
  <c r="F529" i="1"/>
  <c r="G529" i="1"/>
  <c r="H529" i="1"/>
  <c r="I529" i="1"/>
  <c r="I535" i="1" s="1"/>
  <c r="J529" i="1"/>
  <c r="K529" i="1"/>
  <c r="L531" i="1"/>
  <c r="L534" i="1" s="1"/>
  <c r="L532" i="1"/>
  <c r="J540" i="1"/>
  <c r="L533" i="1"/>
  <c r="J541" i="1" s="1"/>
  <c r="K541" i="1" s="1"/>
  <c r="F534" i="1"/>
  <c r="G534" i="1"/>
  <c r="H534" i="1"/>
  <c r="I534" i="1"/>
  <c r="J534" i="1"/>
  <c r="K534" i="1"/>
  <c r="I539" i="1"/>
  <c r="I542" i="1" s="1"/>
  <c r="J539" i="1"/>
  <c r="J542" i="1" s="1"/>
  <c r="G540" i="1"/>
  <c r="G541" i="1"/>
  <c r="H541" i="1"/>
  <c r="I541" i="1"/>
  <c r="L547" i="1"/>
  <c r="L548" i="1"/>
  <c r="L550" i="1" s="1"/>
  <c r="L549" i="1"/>
  <c r="F550" i="1"/>
  <c r="G550" i="1"/>
  <c r="H550" i="1"/>
  <c r="H561" i="1" s="1"/>
  <c r="I550" i="1"/>
  <c r="I561" i="1" s="1"/>
  <c r="J550" i="1"/>
  <c r="K550" i="1"/>
  <c r="L552" i="1"/>
  <c r="L553" i="1"/>
  <c r="L555" i="1" s="1"/>
  <c r="L554" i="1"/>
  <c r="F555" i="1"/>
  <c r="G555" i="1"/>
  <c r="G561" i="1" s="1"/>
  <c r="H555" i="1"/>
  <c r="I555" i="1"/>
  <c r="J555" i="1"/>
  <c r="J561" i="1" s="1"/>
  <c r="K555" i="1"/>
  <c r="L557" i="1"/>
  <c r="L558" i="1"/>
  <c r="L560" i="1" s="1"/>
  <c r="L559" i="1"/>
  <c r="F560" i="1"/>
  <c r="G560" i="1"/>
  <c r="H560" i="1"/>
  <c r="I560" i="1"/>
  <c r="J560" i="1"/>
  <c r="K560" i="1"/>
  <c r="K561" i="1" s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K592" i="1"/>
  <c r="K593" i="1"/>
  <c r="K595" i="1"/>
  <c r="G638" i="1"/>
  <c r="K594" i="1"/>
  <c r="H595" i="1"/>
  <c r="I595" i="1"/>
  <c r="J595" i="1"/>
  <c r="L601" i="1"/>
  <c r="L604" i="1" s="1"/>
  <c r="L602" i="1"/>
  <c r="G653" i="1" s="1"/>
  <c r="L603" i="1"/>
  <c r="F604" i="1"/>
  <c r="G604" i="1"/>
  <c r="H604" i="1"/>
  <c r="I604" i="1"/>
  <c r="J604" i="1"/>
  <c r="K604" i="1"/>
  <c r="G607" i="1"/>
  <c r="G608" i="1"/>
  <c r="J608" i="1" s="1"/>
  <c r="G609" i="1"/>
  <c r="G610" i="1"/>
  <c r="G613" i="1"/>
  <c r="G614" i="1"/>
  <c r="G615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G630" i="1"/>
  <c r="J630" i="1" s="1"/>
  <c r="G631" i="1"/>
  <c r="G633" i="1"/>
  <c r="G634" i="1"/>
  <c r="G640" i="1"/>
  <c r="J640" i="1" s="1"/>
  <c r="G641" i="1"/>
  <c r="H641" i="1"/>
  <c r="J641" i="1" s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/>
  <c r="F651" i="1"/>
  <c r="I651" i="1" s="1"/>
  <c r="G652" i="1"/>
  <c r="H652" i="1"/>
  <c r="H653" i="1"/>
  <c r="I655" i="1"/>
  <c r="I659" i="1"/>
  <c r="I660" i="1"/>
  <c r="C62" i="2"/>
  <c r="E106" i="2"/>
  <c r="E115" i="2"/>
  <c r="E104" i="2"/>
  <c r="C134" i="2"/>
  <c r="C26" i="10"/>
  <c r="C32" i="10"/>
  <c r="C123" i="2"/>
  <c r="C122" i="2"/>
  <c r="F22" i="13"/>
  <c r="C22" i="13" s="1"/>
  <c r="E116" i="2"/>
  <c r="E114" i="2"/>
  <c r="E103" i="2"/>
  <c r="C23" i="10"/>
  <c r="C105" i="2"/>
  <c r="C95" i="2"/>
  <c r="C48" i="2"/>
  <c r="H535" i="1"/>
  <c r="G31" i="13"/>
  <c r="E110" i="2"/>
  <c r="H44" i="1"/>
  <c r="H609" i="1"/>
  <c r="J609" i="1"/>
  <c r="E16" i="13"/>
  <c r="C16" i="13"/>
  <c r="A31" i="12"/>
  <c r="C116" i="2"/>
  <c r="C21" i="10"/>
  <c r="C113" i="2"/>
  <c r="F184" i="1"/>
  <c r="C19" i="2"/>
  <c r="G636" i="1" l="1"/>
  <c r="G621" i="1"/>
  <c r="J621" i="1" s="1"/>
  <c r="L561" i="1"/>
  <c r="E8" i="13"/>
  <c r="C17" i="10"/>
  <c r="C112" i="2"/>
  <c r="C10" i="10"/>
  <c r="C101" i="2"/>
  <c r="J613" i="1"/>
  <c r="L330" i="1"/>
  <c r="L344" i="1" s="1"/>
  <c r="G623" i="1" s="1"/>
  <c r="J623" i="1" s="1"/>
  <c r="F55" i="2"/>
  <c r="I185" i="1"/>
  <c r="G620" i="1" s="1"/>
  <c r="J620" i="1" s="1"/>
  <c r="C115" i="2"/>
  <c r="C20" i="10"/>
  <c r="C111" i="2"/>
  <c r="L400" i="1"/>
  <c r="C130" i="2"/>
  <c r="C133" i="2" s="1"/>
  <c r="D6" i="13"/>
  <c r="C6" i="13" s="1"/>
  <c r="C15" i="10"/>
  <c r="H638" i="1"/>
  <c r="J638" i="1" s="1"/>
  <c r="J263" i="1"/>
  <c r="A22" i="12"/>
  <c r="C55" i="2"/>
  <c r="C96" i="2" s="1"/>
  <c r="E43" i="2"/>
  <c r="L426" i="1"/>
  <c r="G628" i="1" s="1"/>
  <c r="J628" i="1" s="1"/>
  <c r="L535" i="1"/>
  <c r="G156" i="2"/>
  <c r="G37" i="2"/>
  <c r="G42" i="2" s="1"/>
  <c r="G43" i="2" s="1"/>
  <c r="J43" i="1"/>
  <c r="J33" i="1"/>
  <c r="G22" i="2"/>
  <c r="G32" i="2" s="1"/>
  <c r="C110" i="2"/>
  <c r="C38" i="10"/>
  <c r="F185" i="1"/>
  <c r="G617" i="1" s="1"/>
  <c r="J617" i="1" s="1"/>
  <c r="G185" i="1"/>
  <c r="G618" i="1" s="1"/>
  <c r="J618" i="1" s="1"/>
  <c r="F73" i="2"/>
  <c r="E112" i="2"/>
  <c r="E120" i="2" s="1"/>
  <c r="C24" i="10"/>
  <c r="E113" i="2"/>
  <c r="G635" i="1"/>
  <c r="J635" i="1" s="1"/>
  <c r="L226" i="1"/>
  <c r="L239" i="1" s="1"/>
  <c r="H650" i="1" s="1"/>
  <c r="H654" i="1" s="1"/>
  <c r="L190" i="1"/>
  <c r="C9" i="12"/>
  <c r="D15" i="13"/>
  <c r="C15" i="13" s="1"/>
  <c r="E126" i="2"/>
  <c r="E136" i="2" s="1"/>
  <c r="I444" i="1"/>
  <c r="I451" i="1" s="1"/>
  <c r="H632" i="1" s="1"/>
  <c r="J632" i="1" s="1"/>
  <c r="L354" i="1"/>
  <c r="F203" i="1"/>
  <c r="B9" i="12"/>
  <c r="A13" i="12" s="1"/>
  <c r="F31" i="13"/>
  <c r="D31" i="13" s="1"/>
  <c r="C31" i="13" s="1"/>
  <c r="J9" i="1"/>
  <c r="K221" i="1"/>
  <c r="K249" i="1" s="1"/>
  <c r="K263" i="1" s="1"/>
  <c r="L213" i="1"/>
  <c r="C16" i="10" s="1"/>
  <c r="C49" i="2"/>
  <c r="C54" i="2" s="1"/>
  <c r="C12" i="10"/>
  <c r="F653" i="1"/>
  <c r="I653" i="1" s="1"/>
  <c r="F361" i="1"/>
  <c r="H203" i="1"/>
  <c r="H249" i="1" s="1"/>
  <c r="H263" i="1" s="1"/>
  <c r="E101" i="2"/>
  <c r="E107" i="2" s="1"/>
  <c r="C29" i="10"/>
  <c r="F539" i="1"/>
  <c r="H539" i="1"/>
  <c r="H542" i="1" s="1"/>
  <c r="C13" i="10"/>
  <c r="E13" i="13"/>
  <c r="C13" i="13" s="1"/>
  <c r="C35" i="10"/>
  <c r="H25" i="13"/>
  <c r="F652" i="1"/>
  <c r="I652" i="1" s="1"/>
  <c r="G639" i="1"/>
  <c r="J639" i="1" s="1"/>
  <c r="F14" i="13"/>
  <c r="F33" i="13" s="1"/>
  <c r="D119" i="2"/>
  <c r="D120" i="2" s="1"/>
  <c r="D137" i="2" s="1"/>
  <c r="C19" i="10"/>
  <c r="F122" i="2"/>
  <c r="F136" i="2" s="1"/>
  <c r="F137" i="2" s="1"/>
  <c r="F221" i="1"/>
  <c r="H161" i="1"/>
  <c r="H185" i="1" s="1"/>
  <c r="G619" i="1" s="1"/>
  <c r="J619" i="1" s="1"/>
  <c r="C124" i="2"/>
  <c r="C136" i="2" s="1"/>
  <c r="D7" i="13" l="1"/>
  <c r="C7" i="13" s="1"/>
  <c r="L221" i="1"/>
  <c r="G650" i="1" s="1"/>
  <c r="G654" i="1" s="1"/>
  <c r="F542" i="1"/>
  <c r="K539" i="1"/>
  <c r="K542" i="1" s="1"/>
  <c r="C120" i="2"/>
  <c r="D14" i="13"/>
  <c r="C14" i="13" s="1"/>
  <c r="F249" i="1"/>
  <c r="F263" i="1" s="1"/>
  <c r="C8" i="13"/>
  <c r="E33" i="13"/>
  <c r="D35" i="13" s="1"/>
  <c r="G9" i="2"/>
  <c r="G19" i="2" s="1"/>
  <c r="J19" i="1"/>
  <c r="G611" i="1" s="1"/>
  <c r="G625" i="1"/>
  <c r="J625" i="1" s="1"/>
  <c r="C27" i="10"/>
  <c r="J44" i="1"/>
  <c r="H611" i="1" s="1"/>
  <c r="G616" i="1"/>
  <c r="J616" i="1" s="1"/>
  <c r="C39" i="10"/>
  <c r="F96" i="2"/>
  <c r="C25" i="13"/>
  <c r="H33" i="13"/>
  <c r="C36" i="10"/>
  <c r="C41" i="10" s="1"/>
  <c r="C11" i="10"/>
  <c r="L203" i="1"/>
  <c r="C102" i="2"/>
  <c r="C107" i="2" s="1"/>
  <c r="C137" i="2" s="1"/>
  <c r="H636" i="1"/>
  <c r="G627" i="1"/>
  <c r="J627" i="1" s="1"/>
  <c r="H662" i="1"/>
  <c r="C6" i="10" s="1"/>
  <c r="H657" i="1"/>
  <c r="E137" i="2"/>
  <c r="D5" i="13"/>
  <c r="J636" i="1"/>
  <c r="D37" i="10" l="1"/>
  <c r="D40" i="10"/>
  <c r="D38" i="10"/>
  <c r="D35" i="10"/>
  <c r="F650" i="1"/>
  <c r="L249" i="1"/>
  <c r="L263" i="1" s="1"/>
  <c r="G622" i="1" s="1"/>
  <c r="J622" i="1" s="1"/>
  <c r="D27" i="10"/>
  <c r="D11" i="10"/>
  <c r="G662" i="1"/>
  <c r="C5" i="10" s="1"/>
  <c r="G657" i="1"/>
  <c r="J611" i="1"/>
  <c r="C5" i="13"/>
  <c r="D33" i="13"/>
  <c r="D36" i="13" s="1"/>
  <c r="D36" i="10"/>
  <c r="C28" i="10"/>
  <c r="D39" i="10"/>
  <c r="F654" i="1" l="1"/>
  <c r="I650" i="1"/>
  <c r="I654" i="1" s="1"/>
  <c r="H646" i="1"/>
  <c r="C30" i="10"/>
  <c r="D21" i="10"/>
  <c r="D22" i="10"/>
  <c r="D23" i="10"/>
  <c r="D26" i="10"/>
  <c r="D18" i="10"/>
  <c r="D25" i="10"/>
  <c r="D16" i="10"/>
  <c r="D20" i="10"/>
  <c r="D24" i="10"/>
  <c r="D12" i="10"/>
  <c r="D17" i="10"/>
  <c r="D13" i="10"/>
  <c r="D10" i="10"/>
  <c r="D15" i="10"/>
  <c r="D19" i="10"/>
  <c r="D41" i="10"/>
  <c r="D28" i="10" l="1"/>
  <c r="I662" i="1"/>
  <c r="C7" i="10" s="1"/>
  <c r="I657" i="1"/>
  <c r="F657" i="1"/>
  <c r="F662" i="1"/>
  <c r="C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9BD0AE9-3DCB-45B9-83CB-B68E274E4B0B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D44B275-03FB-4CA4-98DF-E5500F75F96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05371EA-36E9-4D3A-A3A8-27C43979C6A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82EB68B-3696-4885-800D-90A86F6A842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F74F6606-71E8-444A-881A-1A68573F2B4F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EC2077B-4905-4BB8-BDA4-88495E1421F1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EACAF573-F035-4B3C-A1FB-66F908D5457C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E70A3F40-50B7-4F35-998D-B83A8108B49D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C5DC5305-02A4-4DD3-A822-C4F222ECF3FA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D94CFF35-9DBF-45E7-9FDD-11C8F9C0A7DC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7EBCAE4D-54C7-43AB-B3C1-13AC2215EEF1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240D5D9-0A2C-4D63-9853-33E4EC13BEA2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<sst xmlns="http://schemas.openxmlformats.org/spreadsheetml/2006/main" count="3861" uniqueCount="897">
  <si>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</si>
  <si>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</si>
  <si>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</si>
  <si>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</si>
  <si>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</si>
  <si>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</si>
  <si>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</si>
  <si>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</si>
  <si>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</si>
  <si>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</si>
  <si>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</si>
  <si>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</si>
  <si>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</si>
  <si>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</si>
  <si>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</si>
  <si>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</si>
  <si>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</si>
  <si>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</si>
  <si>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</si>
  <si>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</si>
  <si>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</si>
  <si>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</si>
  <si>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</si>
  <si>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</si>
  <si>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</si>
  <si>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</si>
  <si>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</si>
  <si>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</si>
  <si>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</si>
  <si>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</si>
  <si>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</si>
  <si>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</si>
  <si>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</si>
  <si>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</si>
  <si>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</si>
  <si>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</si>
  <si>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</si>
  <si>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</si>
  <si>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</si>
  <si>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</si>
  <si>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</si>
  <si>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</si>
  <si>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</si>
  <si>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</si>
  <si>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</si>
  <si>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</si>
  <si>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</si>
  <si>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</si>
  <si>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</si>
  <si>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</si>
  <si>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</si>
  <si>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</si>
  <si>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</si>
  <si>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</si>
  <si>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</si>
  <si>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</si>
  <si>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</si>
  <si>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</si>
  <si>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</si>
  <si>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</si>
  <si>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</si>
  <si>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</si>
  <si>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</si>
  <si>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</si>
  <si>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</si>
  <si>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</si>
  <si>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</si>
  <si>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</si>
  <si>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</si>
  <si>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</si>
  <si>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</si>
  <si>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</si>
  <si>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</si>
  <si>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</si>
  <si>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</si>
  <si>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</si>
  <si>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</si>
  <si>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</si>
  <si>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</si>
  <si>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</si>
  <si>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</si>
  <si>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</si>
  <si>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</si>
  <si>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</si>
  <si>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</si>
  <si>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</si>
  <si>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</si>
  <si>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</si>
  <si>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</si>
  <si>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</si>
  <si>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</si>
  <si>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</si>
  <si>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</si>
  <si>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</si>
  <si>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</si>
  <si>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</si>
  <si>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</si>
  <si>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</si>
  <si>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</si>
  <si>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</si>
  <si>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</si>
  <si>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</si>
  <si>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</si>
  <si>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</si>
  <si>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</si>
  <si>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</si>
  <si>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</si>
  <si>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</si>
  <si>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</si>
  <si>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</si>
  <si>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</si>
  <si>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</si>
  <si>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</si>
  <si>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</si>
  <si>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</si>
  <si>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</si>
  <si>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</si>
  <si>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</si>
  <si>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</si>
  <si>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</si>
  <si>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</si>
  <si>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</si>
  <si>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</si>
  <si>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</si>
  <si>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</si>
  <si>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</si>
  <si>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</si>
  <si>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</si>
  <si>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</si>
  <si>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</si>
  <si>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</si>
  <si>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</si>
  <si>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</si>
  <si>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</si>
  <si>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</si>
  <si>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</si>
  <si>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</si>
  <si>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</si>
  <si>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</si>
  <si>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</si>
  <si>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</si>
  <si>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</si>
  <si>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</si>
  <si>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</si>
  <si>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</si>
  <si>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</si>
  <si>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</si>
  <si>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</si>
  <si>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</si>
  <si>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</si>
  <si>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</si>
  <si>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</si>
  <si>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</si>
  <si>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</si>
  <si>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</si>
  <si>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</si>
  <si>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</si>
  <si>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</si>
  <si>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</si>
  <si>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</si>
  <si>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</si>
  <si>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</si>
  <si>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</si>
  <si>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</si>
  <si>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</si>
  <si>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</si>
  <si>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</si>
  <si>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</si>
  <si>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</si>
  <si>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</si>
  <si>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</si>
  <si>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</si>
  <si>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</si>
  <si>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</si>
  <si>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</si>
  <si>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</si>
  <si>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</si>
  <si>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</si>
  <si>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</si>
  <si>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</si>
  <si>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</si>
  <si>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</si>
  <si>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</si>
  <si>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</si>
  <si>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</si>
  <si>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</si>
  <si>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</si>
  <si>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</si>
  <si>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</si>
  <si>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</si>
  <si>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</si>
  <si>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</si>
  <si>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</si>
  <si>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</si>
  <si>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</si>
  <si>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</si>
  <si>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</si>
  <si>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</si>
  <si>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</si>
  <si>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</si>
  <si>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</si>
  <si>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</si>
  <si>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</si>
  <si>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</si>
  <si>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</si>
  <si>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</si>
  <si>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</si>
  <si>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</si>
  <si>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</si>
  <si>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</si>
  <si>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</si>
  <si>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</si>
  <si>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</si>
  <si>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</si>
  <si>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</si>
  <si>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</si>
  <si>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</si>
  <si>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</si>
  <si>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</si>
  <si>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</si>
  <si>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</si>
  <si>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</si>
  <si>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</si>
  <si>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</si>
  <si>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</si>
  <si>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</si>
  <si>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</si>
  <si>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</si>
  <si>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</si>
  <si>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</si>
  <si>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</si>
  <si>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</si>
  <si>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</si>
  <si>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</si>
  <si>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</si>
  <si>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</si>
  <si>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</si>
  <si>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</si>
  <si>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</si>
  <si>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</si>
  <si>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</si>
  <si>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</si>
  <si>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</si>
  <si>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</si>
  <si>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</si>
  <si>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</si>
  <si>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</si>
  <si>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</si>
  <si>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</si>
  <si>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</si>
  <si>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</si>
  <si>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</si>
  <si>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</si>
  <si>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</si>
  <si>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</si>
  <si>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</si>
  <si>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</si>
  <si>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</si>
  <si>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</si>
  <si>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</si>
  <si>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</si>
  <si>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</si>
  <si>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</si>
  <si>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</si>
  <si>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</si>
  <si>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</si>
  <si>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</si>
  <si>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</si>
  <si>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</si>
  <si>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</si>
  <si>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</si>
  <si>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</si>
  <si>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</si>
  <si>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</si>
  <si>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</si>
  <si>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</si>
  <si>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</si>
  <si>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</si>
  <si>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</si>
  <si>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</si>
  <si>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</si>
  <si>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</si>
  <si>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</si>
  <si>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</si>
  <si>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</si>
  <si>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</si>
  <si>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</si>
  <si>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</si>
  <si>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</si>
  <si>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</si>
  <si>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</si>
  <si>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</si>
  <si>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</si>
  <si>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</si>
  <si>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</si>
  <si>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</si>
  <si>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</si>
  <si>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</si>
  <si>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</si>
  <si>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</si>
  <si>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</si>
  <si>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</si>
  <si>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</si>
  <si>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</si>
  <si>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</si>
  <si>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</si>
  <si>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</si>
  <si>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</si>
  <si>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</si>
  <si>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</si>
  <si>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</si>
  <si>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</si>
  <si>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</si>
  <si>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</si>
  <si>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</si>
  <si>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</si>
  <si>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</si>
  <si>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</si>
  <si>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</si>
  <si>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</si>
  <si>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</si>
  <si>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</si>
  <si>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</si>
  <si>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</si>
  <si>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</si>
  <si>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</si>
  <si>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</si>
  <si>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</si>
  <si>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</si>
  <si>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</si>
  <si>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</si>
  <si>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</si>
  <si>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</si>
  <si>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</si>
  <si>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</si>
  <si>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</si>
  <si>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</si>
  <si>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</si>
  <si>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</si>
  <si>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</si>
  <si>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</si>
  <si>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</si>
  <si>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</si>
  <si>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</si>
  <si>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</si>
  <si>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</si>
  <si>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</si>
  <si>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</si>
  <si>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</si>
  <si>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</si>
  <si>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</si>
  <si>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</si>
  <si>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</si>
  <si>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</si>
  <si>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</si>
  <si>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</si>
  <si>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</si>
  <si>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</si>
  <si>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</si>
  <si>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</si>
  <si>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</si>
  <si>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</si>
  <si>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</si>
  <si>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</si>
  <si>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</si>
  <si>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</si>
  <si>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</si>
  <si>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</si>
  <si>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</si>
  <si>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</si>
  <si>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</si>
  <si>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</si>
  <si>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</si>
  <si>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</si>
  <si>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</si>
  <si>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</si>
  <si>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</si>
  <si>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</si>
  <si>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</si>
  <si>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</si>
  <si>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</si>
  <si>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</si>
  <si>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</si>
  <si>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</si>
  <si>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</si>
  <si>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</si>
  <si>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</si>
  <si>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</si>
  <si>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</si>
  <si>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</si>
  <si>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</si>
  <si>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</si>
  <si>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</si>
  <si>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</si>
  <si>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</si>
  <si>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</si>
  <si>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</si>
  <si>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</si>
  <si>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</si>
  <si>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</si>
  <si>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</si>
  <si>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</si>
  <si>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</si>
  <si>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</si>
  <si>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</si>
  <si>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</si>
  <si>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</si>
  <si>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</si>
  <si>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</si>
  <si>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</si>
  <si>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</si>
  <si>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</si>
  <si>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</si>
  <si>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</si>
  <si>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</si>
  <si>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</si>
  <si>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</si>
  <si>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</si>
  <si>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</si>
  <si>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</si>
  <si>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</si>
  <si>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</si>
  <si>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</si>
  <si>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</si>
  <si>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</si>
  <si>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</si>
  <si>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</si>
  <si>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</si>
  <si>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</si>
  <si>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</si>
  <si>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</si>
  <si>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</si>
  <si>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</si>
  <si>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</si>
  <si>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</si>
  <si>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</si>
  <si>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</si>
  <si>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</si>
  <si>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</si>
  <si>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</si>
  <si>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</si>
  <si>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</si>
  <si>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</si>
  <si>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</si>
  <si>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</si>
  <si>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</si>
  <si>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</si>
  <si>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</si>
  <si>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</si>
  <si>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</si>
  <si>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</si>
  <si>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</si>
  <si>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</si>
  <si>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</si>
  <si>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</si>
  <si>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</si>
  <si>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</si>
  <si>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</si>
  <si>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</si>
  <si>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</si>
  <si>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</si>
  <si>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</si>
  <si>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</si>
  <si>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</si>
  <si>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</si>
  <si>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</si>
  <si>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</si>
  <si>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</si>
  <si>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</si>
  <si>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</si>
  <si>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</si>
  <si>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</si>
  <si>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</si>
  <si>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</si>
  <si>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</si>
  <si>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</si>
  <si>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</si>
  <si>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</si>
  <si>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</si>
  <si>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</si>
  <si>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</si>
  <si>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</si>
  <si>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</si>
  <si>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</si>
  <si>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</si>
  <si>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</si>
  <si>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</si>
  <si>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</si>
  <si>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</si>
  <si>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</si>
  <si>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</si>
  <si>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</si>
  <si>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</si>
  <si>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</si>
  <si>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</si>
  <si>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</si>
  <si>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</si>
  <si>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</si>
  <si>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</si>
  <si>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</si>
  <si>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</si>
  <si>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</si>
  <si>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</si>
  <si>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</si>
  <si>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</si>
  <si>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</si>
  <si>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</si>
  <si>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</si>
  <si>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</si>
  <si>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</si>
  <si>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</si>
  <si>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</si>
  <si>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</si>
  <si>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</si>
  <si>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</si>
  <si>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</si>
  <si>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</si>
  <si>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</si>
  <si>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</si>
  <si>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</si>
  <si>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</si>
  <si>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</si>
  <si>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</si>
  <si>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</si>
  <si>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</si>
  <si>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</si>
  <si>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</si>
  <si>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</si>
  <si>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</si>
  <si>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</si>
  <si>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</si>
  <si>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</si>
  <si>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</si>
  <si>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</si>
  <si>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</si>
  <si>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</si>
  <si>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</si>
  <si>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</si>
  <si>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</si>
  <si>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</si>
  <si>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</si>
  <si>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</si>
  <si>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</si>
  <si>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</si>
  <si>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</si>
  <si>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</si>
  <si>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</si>
  <si>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</si>
  <si>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</si>
  <si>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</si>
  <si>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</si>
  <si>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</si>
  <si>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</si>
  <si>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</si>
  <si>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</si>
  <si>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</si>
  <si>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</si>
  <si>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</si>
  <si>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</si>
  <si>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</si>
  <si>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</si>
  <si>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</si>
  <si>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</si>
  <si>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</si>
  <si>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</si>
  <si>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</si>
  <si>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</si>
  <si>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</si>
  <si>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</si>
  <si>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</si>
  <si>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</si>
  <si>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</si>
  <si>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</si>
  <si>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</si>
  <si>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</si>
  <si>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</si>
  <si>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</si>
  <si>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</si>
  <si>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</si>
  <si>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</si>
  <si>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</si>
  <si>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</si>
  <si>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</si>
  <si>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</si>
  <si>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</si>
  <si>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</si>
  <si>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</si>
  <si>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</si>
  <si>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</si>
  <si>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</si>
  <si>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</si>
  <si>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</si>
  <si>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</si>
  <si>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</si>
  <si>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</si>
  <si>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</si>
  <si>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</si>
  <si>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</si>
  <si>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</si>
  <si>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</si>
  <si>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</si>
  <si>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</si>
  <si>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</si>
  <si>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</si>
  <si>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</si>
  <si>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</si>
  <si>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</si>
  <si>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</si>
  <si>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</si>
  <si>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</si>
  <si>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</si>
  <si>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</si>
  <si>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</si>
  <si>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</si>
  <si>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</si>
  <si>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</si>
  <si>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</si>
  <si>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</si>
  <si>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</si>
  <si>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</si>
  <si>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</si>
  <si>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</si>
  <si>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</si>
  <si>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</si>
  <si>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</si>
  <si>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</si>
  <si>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</si>
  <si>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</si>
  <si>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</si>
  <si>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</si>
  <si>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</si>
  <si>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</si>
  <si>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</si>
  <si>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</si>
  <si>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</si>
  <si>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</si>
  <si>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</si>
  <si>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</si>
  <si>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</si>
  <si>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</si>
  <si>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</si>
  <si>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</si>
  <si>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</si>
  <si>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</si>
  <si>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</si>
  <si>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</si>
  <si>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</si>
  <si>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</si>
  <si>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</si>
  <si>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</si>
  <si>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</si>
  <si>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</si>
  <si>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</si>
  <si>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</si>
  <si>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</si>
  <si>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</si>
  <si>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</si>
  <si>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</si>
  <si>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</si>
  <si>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</si>
  <si>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</si>
  <si>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</si>
  <si>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</si>
  <si>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</si>
  <si>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</si>
  <si>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</si>
  <si>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</si>
  <si>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</si>
  <si>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</si>
  <si>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</si>
  <si>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</si>
  <si>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</si>
  <si>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</si>
  <si>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</si>
  <si>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</si>
  <si>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</si>
  <si>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</si>
  <si>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</si>
  <si>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</si>
  <si>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</si>
  <si>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</si>
  <si>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</si>
  <si>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</si>
  <si>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</si>
  <si>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</si>
  <si>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</si>
  <si>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</si>
  <si>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</si>
  <si>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</si>
  <si>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</si>
  <si>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</si>
  <si>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</si>
  <si>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</si>
  <si>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</si>
  <si>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</si>
  <si>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</si>
  <si>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</si>
  <si>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</si>
  <si>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</si>
  <si>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</si>
  <si>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</si>
  <si>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</si>
  <si>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</si>
  <si>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</si>
  <si>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</si>
  <si>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</si>
  <si>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</si>
  <si>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</si>
  <si>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</si>
  <si>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</si>
  <si>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</si>
  <si>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</si>
  <si>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</si>
  <si>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</si>
  <si>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</si>
  <si>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</si>
  <si>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</si>
  <si>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</si>
  <si>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</si>
  <si>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</si>
  <si>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</si>
  <si>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</si>
  <si>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</si>
  <si>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</si>
  <si>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</si>
  <si>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</si>
  <si>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</si>
  <si>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</si>
  <si>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</si>
  <si>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</si>
  <si>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</si>
  <si>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</si>
  <si>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</si>
  <si>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</si>
  <si>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</si>
  <si>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</si>
  <si>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</si>
  <si>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</si>
  <si>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</si>
  <si>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</si>
  <si>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</si>
  <si>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</si>
  <si>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</si>
  <si>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</si>
  <si>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</si>
  <si>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</si>
  <si>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</si>
  <si>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</si>
  <si>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</si>
  <si>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</si>
  <si>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</si>
  <si>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</si>
  <si>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</si>
  <si>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</si>
  <si>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</si>
  <si>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</si>
  <si>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</si>
  <si>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</si>
  <si>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</si>
  <si>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</si>
  <si>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</si>
  <si>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</si>
  <si>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</si>
  <si>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</si>
  <si>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</si>
  <si>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</si>
  <si>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</si>
  <si>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</si>
  <si>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</si>
  <si>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</si>
  <si>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</si>
  <si>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</si>
  <si>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</si>
  <si>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</si>
  <si>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</si>
  <si>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</si>
  <si>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</si>
  <si>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</si>
  <si>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</si>
  <si>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</si>
  <si>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</si>
  <si>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</si>
  <si>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</si>
  <si>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</si>
  <si>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</si>
  <si>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</si>
  <si>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</si>
  <si>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</si>
  <si>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</si>
  <si>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</si>
  <si>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</si>
  <si>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</si>
  <si>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</si>
  <si>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</si>
  <si>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</si>
  <si>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</si>
  <si>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</si>
  <si>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</si>
  <si>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</si>
  <si>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</si>
  <si>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</si>
  <si>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</si>
  <si>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</si>
  <si>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</si>
  <si>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</si>
  <si>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</si>
  <si>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</si>
  <si>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</si>
  <si>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</si>
  <si>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</si>
  <si>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</si>
  <si>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</si>
  <si>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</si>
  <si>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</si>
  <si>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</si>
  <si>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</si>
  <si>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</si>
  <si>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</si>
  <si>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</si>
  <si>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</si>
  <si>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</si>
  <si>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</si>
  <si>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</si>
  <si>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</si>
  <si>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</si>
  <si>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</si>
  <si>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</si>
  <si>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</si>
  <si>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</si>
  <si>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</si>
  <si>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</si>
  <si>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</si>
  <si>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</si>
  <si>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</si>
  <si>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</si>
  <si>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</si>
  <si>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</si>
  <si>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</si>
  <si>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</si>
  <si>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</si>
  <si>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</si>
  <si>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</si>
  <si>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</si>
  <si>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</si>
  <si>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</si>
  <si>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</si>
  <si>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</si>
  <si>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</si>
  <si>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</si>
  <si>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</si>
  <si>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</si>
  <si>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</si>
  <si>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</si>
  <si>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</si>
  <si>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</si>
  <si>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</si>
  <si>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</si>
  <si>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</si>
  <si>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</si>
  <si>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</si>
  <si>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</si>
  <si>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</si>
  <si>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</si>
  <si>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</si>
  <si>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</si>
  <si>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</si>
  <si>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</si>
  <si>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</si>
  <si>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</si>
  <si>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</si>
  <si>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</si>
  <si>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</si>
  <si>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</si>
  <si>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</si>
  <si>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</si>
  <si>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</si>
  <si>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</si>
  <si>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</si>
  <si>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</si>
  <si>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</si>
  <si>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</si>
  <si>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</si>
  <si>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</si>
  <si>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</si>
  <si>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</si>
  <si>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</si>
  <si>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</si>
  <si>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</si>
  <si>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</si>
  <si>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</si>
  <si>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</si>
  <si>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</si>
  <si>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</si>
  <si>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</si>
  <si>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adjustment to beginning bal. per auditors</t>
  </si>
  <si>
    <t>adjustment to beginning balance per auditors</t>
  </si>
  <si>
    <t xml:space="preserve">Monadnock Regional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</si>
</sst>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D62D-BED2-49C4-83FF-B66F29D77208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363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998919</v>
      </c>
      <c r="G9" s="18">
        <v>595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685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1041436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16767</v>
      </c>
      <c r="G13" s="18">
        <v>39455</v>
      </c>
      <c r="H13" s="18">
        <v>-93824</v>
      </c>
      <c r="I13" s="18">
        <v>593682</v>
      </c>
      <c r="J13" s="67">
        <f>SUM(I434)</f>
        <v>1185728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10106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2067913</v>
      </c>
      <c r="G19" s="41">
        <f>SUM(G9:G18)</f>
        <v>40050</v>
      </c>
      <c r="H19" s="41">
        <f>SUM(H9:H18)</f>
        <v>-93824</v>
      </c>
      <c r="I19" s="41">
        <f>SUM(I9:I18)</f>
        <v>593682</v>
      </c>
      <c r="J19" s="41">
        <f>SUM(J9:J18)</f>
        <v>1185728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569759</v>
      </c>
      <c r="G23" s="18"/>
      <c r="H23" s="18">
        <v>30475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39925</v>
      </c>
      <c r="G24" s="18">
        <v>-39925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243161</v>
      </c>
      <c r="G25" s="18"/>
      <c r="H25" s="18">
        <v>45541</v>
      </c>
      <c r="I25" s="18">
        <v>144210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>
        <v>21961</v>
      </c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449273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>
        <v>643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1302118</v>
      </c>
      <c r="G33" s="41">
        <f>SUM(G23:G32)</f>
        <v>-17964</v>
      </c>
      <c r="H33" s="41">
        <f>SUM(H23:H32)</f>
        <v>76659</v>
      </c>
      <c r="I33" s="41">
        <f>SUM(I23:I32)</f>
        <v>144210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16386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>
        <v>942782</v>
      </c>
      <c r="J38" s="13">
        <f>SUM(I447)</f>
        <v>900245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58014</v>
      </c>
      <c r="H41" s="18">
        <v>-170483</v>
      </c>
      <c r="I41" s="18">
        <v>-493310</v>
      </c>
      <c r="J41" s="13">
        <f>SUM(I449)</f>
        <v>285483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749409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765795</v>
      </c>
      <c r="G43" s="41">
        <f>SUM(G35:G42)</f>
        <v>58014</v>
      </c>
      <c r="H43" s="41">
        <f>SUM(H35:H42)</f>
        <v>-170483</v>
      </c>
      <c r="I43" s="41">
        <f>SUM(I35:I42)</f>
        <v>449472</v>
      </c>
      <c r="J43" s="41">
        <f>SUM(J35:J42)</f>
        <v>1185728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2067913</v>
      </c>
      <c r="G44" s="41">
        <f>G43+G33</f>
        <v>40050</v>
      </c>
      <c r="H44" s="41">
        <f>H43+H33</f>
        <v>-93824</v>
      </c>
      <c r="I44" s="41">
        <f>I43+I33</f>
        <v>593682</v>
      </c>
      <c r="J44" s="41">
        <f>J43+J33</f>
        <v>1185728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18260162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18260162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27808+12846</f>
        <v>40654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2580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175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42821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123217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209447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>
        <v>38130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38130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3515</v>
      </c>
      <c r="G88" s="18">
        <v>77</v>
      </c>
      <c r="H88" s="18"/>
      <c r="I88" s="18"/>
      <c r="J88" s="18">
        <v>1796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521600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3162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1257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755</v>
      </c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13748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49031+4742</f>
        <v>53773</v>
      </c>
      <c r="G102" s="18"/>
      <c r="H102" s="18">
        <v>5000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74953</v>
      </c>
      <c r="G103" s="41">
        <f>SUM(G88:G102)</f>
        <v>521677</v>
      </c>
      <c r="H103" s="41">
        <f>SUM(H88:H102)</f>
        <v>6257</v>
      </c>
      <c r="I103" s="41">
        <f>SUM(I88:I102)</f>
        <v>0</v>
      </c>
      <c r="J103" s="41">
        <f>SUM(J88:J102)</f>
        <v>1796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18544562</v>
      </c>
      <c r="G104" s="41">
        <f>G52+G103</f>
        <v>521677</v>
      </c>
      <c r="H104" s="41">
        <f>H52+H71+H86+H103</f>
        <v>44387</v>
      </c>
      <c r="I104" s="41">
        <f>I52+I103</f>
        <v>0</v>
      </c>
      <c r="J104" s="41">
        <f>J52+J103</f>
        <v>1796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10824322-378724-3712</f>
        <v>10441886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2744737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f>378724</f>
        <v>378724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3712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13569059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143930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380289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4960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9343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529179</v>
      </c>
      <c r="G128" s="41">
        <f>SUM(G115:G127)</f>
        <v>9343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>
        <v>13400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14098238</v>
      </c>
      <c r="G132" s="41">
        <f>G113+SUM(G128:G129)</f>
        <v>9343</v>
      </c>
      <c r="H132" s="41">
        <f>H113+SUM(H128:H131)</f>
        <v>13400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500703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273569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10000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443216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20965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335541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335541</v>
      </c>
      <c r="G154" s="41">
        <f>SUM(G142:G153)</f>
        <v>443216</v>
      </c>
      <c r="H154" s="41">
        <f>SUM(H142:H153)</f>
        <v>805237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335541</v>
      </c>
      <c r="G161" s="41">
        <f>G139+G154+SUM(G155:G160)</f>
        <v>443216</v>
      </c>
      <c r="H161" s="41">
        <f>H139+H154+SUM(H155:H160)</f>
        <v>805237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809277</v>
      </c>
      <c r="J171" s="18">
        <v>32555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42468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42468</v>
      </c>
      <c r="G175" s="41">
        <f>SUM(G171:G174)</f>
        <v>0</v>
      </c>
      <c r="H175" s="41">
        <f>SUM(H171:H174)</f>
        <v>0</v>
      </c>
      <c r="I175" s="41">
        <f>SUM(I171:I174)</f>
        <v>809277</v>
      </c>
      <c r="J175" s="41">
        <f>SUM(J171:J174)</f>
        <v>32555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42468</v>
      </c>
      <c r="G184" s="41">
        <f>G175+SUM(G180:G183)</f>
        <v>0</v>
      </c>
      <c r="H184" s="41">
        <f>+H175+SUM(H180:H183)</f>
        <v>0</v>
      </c>
      <c r="I184" s="41">
        <f>I169+I175+SUM(I180:I183)</f>
        <v>809277</v>
      </c>
      <c r="J184" s="41">
        <f>J175</f>
        <v>32555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33020809</v>
      </c>
      <c r="G185" s="47">
        <f>G104+G132+G161+G184</f>
        <v>974236</v>
      </c>
      <c r="H185" s="47">
        <f>H104+H132+H161+H184</f>
        <v>863024</v>
      </c>
      <c r="I185" s="47">
        <f>I104+I132+I161+I184</f>
        <v>809277</v>
      </c>
      <c r="J185" s="47">
        <f>J104+J132+J184</f>
        <v>34351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136598+3489727</f>
        <v>3626325</v>
      </c>
      <c r="G189" s="18">
        <f>1386790+34240</f>
        <v>1421030</v>
      </c>
      <c r="H189" s="18">
        <f>92658+9729</f>
        <v>102387</v>
      </c>
      <c r="I189" s="18">
        <f>145027+37238</f>
        <v>182265</v>
      </c>
      <c r="J189" s="18">
        <f>48455+10352</f>
        <v>58807</v>
      </c>
      <c r="K189" s="18">
        <f>6125</f>
        <v>6125</v>
      </c>
      <c r="L189" s="19">
        <f>SUM(F189:K189)</f>
        <v>5396939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51423+2548839</f>
        <v>2600262</v>
      </c>
      <c r="G190" s="18">
        <f>1763191+18550</f>
        <v>1781741</v>
      </c>
      <c r="H190" s="18">
        <f>746533+3490</f>
        <v>750023</v>
      </c>
      <c r="I190" s="18">
        <f>22247+559</f>
        <v>22806</v>
      </c>
      <c r="J190" s="18">
        <f>1505+3051</f>
        <v>4556</v>
      </c>
      <c r="K190" s="18">
        <v>0</v>
      </c>
      <c r="L190" s="19">
        <f>SUM(F190:K190)</f>
        <v>5159388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3980</v>
      </c>
      <c r="G192" s="18">
        <v>556</v>
      </c>
      <c r="H192" s="18">
        <v>1593</v>
      </c>
      <c r="I192" s="18"/>
      <c r="J192" s="18"/>
      <c r="K192" s="18"/>
      <c r="L192" s="19">
        <f>SUM(F192:K192)</f>
        <v>6129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512879+8138</f>
        <v>521017</v>
      </c>
      <c r="G194" s="18">
        <f>171294+623</f>
        <v>171917</v>
      </c>
      <c r="H194" s="18">
        <f>1087+303862</f>
        <v>304949</v>
      </c>
      <c r="I194" s="18">
        <v>7033</v>
      </c>
      <c r="J194" s="18">
        <v>0</v>
      </c>
      <c r="K194" s="18">
        <v>40</v>
      </c>
      <c r="L194" s="19">
        <f t="shared" ref="L194:L200" si="0">SUM(F194:K194)</f>
        <v>1004956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37244+80473</f>
        <v>117717</v>
      </c>
      <c r="G195" s="18">
        <f>15908+70845</f>
        <v>86753</v>
      </c>
      <c r="H195" s="18">
        <f>25245+3595</f>
        <v>28840</v>
      </c>
      <c r="I195" s="18">
        <f>10440+7069</f>
        <v>17509</v>
      </c>
      <c r="J195" s="18">
        <v>1143</v>
      </c>
      <c r="K195" s="18">
        <v>96</v>
      </c>
      <c r="L195" s="19">
        <f t="shared" si="0"/>
        <v>252058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15227</v>
      </c>
      <c r="G196" s="18">
        <v>1056</v>
      </c>
      <c r="H196" s="18">
        <f>55474+562448</f>
        <v>617922</v>
      </c>
      <c r="I196" s="18">
        <v>1533</v>
      </c>
      <c r="J196" s="18">
        <v>0</v>
      </c>
      <c r="K196" s="18">
        <v>3413</v>
      </c>
      <c r="L196" s="19">
        <f t="shared" si="0"/>
        <v>639151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624694</v>
      </c>
      <c r="G197" s="18">
        <v>279932</v>
      </c>
      <c r="H197" s="18">
        <v>50367</v>
      </c>
      <c r="I197" s="18">
        <v>6214</v>
      </c>
      <c r="J197" s="18">
        <v>697</v>
      </c>
      <c r="K197" s="18">
        <v>1082</v>
      </c>
      <c r="L197" s="19">
        <f t="shared" si="0"/>
        <v>962986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46142</v>
      </c>
      <c r="H198" s="18">
        <v>102314</v>
      </c>
      <c r="I198" s="18">
        <v>0</v>
      </c>
      <c r="J198" s="18">
        <v>3484</v>
      </c>
      <c r="K198" s="18">
        <v>0</v>
      </c>
      <c r="L198" s="19">
        <f t="shared" si="0"/>
        <v>151940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225024+312444</f>
        <v>537468</v>
      </c>
      <c r="G199" s="18">
        <f>179876+84489</f>
        <v>264365</v>
      </c>
      <c r="H199" s="18">
        <f>53075+159017</f>
        <v>212092</v>
      </c>
      <c r="I199" s="18">
        <f>404692+26905</f>
        <v>431597</v>
      </c>
      <c r="J199" s="18">
        <f>3645+14482</f>
        <v>18127</v>
      </c>
      <c r="K199" s="18">
        <v>439</v>
      </c>
      <c r="L199" s="19">
        <f t="shared" si="0"/>
        <v>1464088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1012464</v>
      </c>
      <c r="I200" s="18">
        <v>0</v>
      </c>
      <c r="J200" s="18">
        <v>0</v>
      </c>
      <c r="K200" s="18">
        <v>0</v>
      </c>
      <c r="L200" s="19">
        <f t="shared" si="0"/>
        <v>1012464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171957</v>
      </c>
      <c r="G201" s="18">
        <v>13155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185112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8218647</v>
      </c>
      <c r="G203" s="41">
        <f t="shared" si="1"/>
        <v>4066647</v>
      </c>
      <c r="H203" s="41">
        <f t="shared" si="1"/>
        <v>3182951</v>
      </c>
      <c r="I203" s="41">
        <f t="shared" si="1"/>
        <v>668957</v>
      </c>
      <c r="J203" s="41">
        <f t="shared" si="1"/>
        <v>86814</v>
      </c>
      <c r="K203" s="41">
        <f t="shared" si="1"/>
        <v>11195</v>
      </c>
      <c r="L203" s="41">
        <f t="shared" si="1"/>
        <v>16235211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44603+1253600</f>
        <v>1298203</v>
      </c>
      <c r="G207" s="18">
        <f>461444+11180</f>
        <v>472624</v>
      </c>
      <c r="H207" s="18">
        <f>30256+1600</f>
        <v>31856</v>
      </c>
      <c r="I207" s="18">
        <f>38275+12159</f>
        <v>50434</v>
      </c>
      <c r="J207" s="18">
        <f>15822+14128</f>
        <v>29950</v>
      </c>
      <c r="K207" s="18">
        <f>425+2000</f>
        <v>2425</v>
      </c>
      <c r="L207" s="19">
        <f>SUM(F207:K207)</f>
        <v>1885492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16791+492217</f>
        <v>509008</v>
      </c>
      <c r="G208" s="18">
        <f>267653+6057</f>
        <v>273710</v>
      </c>
      <c r="H208" s="18">
        <f>243766+196</f>
        <v>243962</v>
      </c>
      <c r="I208" s="18">
        <f>3429+183</f>
        <v>3612</v>
      </c>
      <c r="J208" s="18">
        <v>492</v>
      </c>
      <c r="K208" s="18">
        <v>0</v>
      </c>
      <c r="L208" s="19">
        <f>SUM(F208:K208)</f>
        <v>1030784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53816</v>
      </c>
      <c r="G210" s="18">
        <v>8759</v>
      </c>
      <c r="H210" s="18">
        <v>3662</v>
      </c>
      <c r="I210" s="18">
        <v>11810</v>
      </c>
      <c r="J210" s="18">
        <v>1940</v>
      </c>
      <c r="K210" s="18">
        <v>740</v>
      </c>
      <c r="L210" s="19">
        <f>SUM(F210:K210)</f>
        <v>80727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148754+2657</f>
        <v>151411</v>
      </c>
      <c r="G212" s="18">
        <f>51432+203</f>
        <v>51635</v>
      </c>
      <c r="H212" s="18">
        <v>99220</v>
      </c>
      <c r="I212" s="18">
        <v>6866</v>
      </c>
      <c r="J212" s="18">
        <v>291</v>
      </c>
      <c r="K212" s="18">
        <v>0</v>
      </c>
      <c r="L212" s="19">
        <f t="shared" ref="L212:L218" si="2">SUM(F212:K212)</f>
        <v>309423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42127+12161</f>
        <v>54288</v>
      </c>
      <c r="G213" s="18">
        <f>17739+5195</f>
        <v>22934</v>
      </c>
      <c r="H213" s="18">
        <f>248+8243</f>
        <v>8491</v>
      </c>
      <c r="I213" s="18">
        <f>2308+5508</f>
        <v>7816</v>
      </c>
      <c r="J213" s="18">
        <v>0</v>
      </c>
      <c r="K213" s="18">
        <v>31</v>
      </c>
      <c r="L213" s="19">
        <f t="shared" si="2"/>
        <v>93560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4972</v>
      </c>
      <c r="G214" s="18">
        <v>345</v>
      </c>
      <c r="H214" s="18">
        <f>18114+183657</f>
        <v>201771</v>
      </c>
      <c r="I214" s="18">
        <v>501</v>
      </c>
      <c r="J214" s="18">
        <v>0</v>
      </c>
      <c r="K214" s="18">
        <v>1115</v>
      </c>
      <c r="L214" s="19">
        <f t="shared" si="2"/>
        <v>208704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118323</v>
      </c>
      <c r="G215" s="18">
        <v>34521</v>
      </c>
      <c r="H215" s="18">
        <v>44599</v>
      </c>
      <c r="I215" s="18">
        <v>839</v>
      </c>
      <c r="J215" s="18">
        <v>1195</v>
      </c>
      <c r="K215" s="18">
        <v>1254</v>
      </c>
      <c r="L215" s="19">
        <f t="shared" si="2"/>
        <v>200731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15067</v>
      </c>
      <c r="H216" s="18">
        <v>33409</v>
      </c>
      <c r="I216" s="18">
        <v>0</v>
      </c>
      <c r="J216" s="18">
        <v>1138</v>
      </c>
      <c r="K216" s="18">
        <v>0</v>
      </c>
      <c r="L216" s="19">
        <f t="shared" si="2"/>
        <v>49614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73477+101622</f>
        <v>175099</v>
      </c>
      <c r="G217" s="18">
        <f>27588+53992</f>
        <v>81580</v>
      </c>
      <c r="H217" s="18">
        <f>29658+17331</f>
        <v>46989</v>
      </c>
      <c r="I217" s="18">
        <f>8785+109159</f>
        <v>117944</v>
      </c>
      <c r="J217" s="18">
        <f>2935+1190</f>
        <v>4125</v>
      </c>
      <c r="K217" s="18">
        <v>143</v>
      </c>
      <c r="L217" s="19">
        <f t="shared" si="2"/>
        <v>425880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353532</v>
      </c>
      <c r="I218" s="18">
        <v>0</v>
      </c>
      <c r="J218" s="18">
        <v>0</v>
      </c>
      <c r="K218" s="18">
        <v>0</v>
      </c>
      <c r="L218" s="19">
        <f t="shared" si="2"/>
        <v>353532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56149</v>
      </c>
      <c r="G219" s="18">
        <v>4296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60445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2421269</v>
      </c>
      <c r="G221" s="41">
        <f>SUM(G207:G220)</f>
        <v>965471</v>
      </c>
      <c r="H221" s="41">
        <f>SUM(H207:H220)</f>
        <v>1067491</v>
      </c>
      <c r="I221" s="41">
        <f>SUM(I207:I220)</f>
        <v>199822</v>
      </c>
      <c r="J221" s="41">
        <f>SUM(J207:J220)</f>
        <v>39131</v>
      </c>
      <c r="K221" s="41">
        <f t="shared" si="3"/>
        <v>5708</v>
      </c>
      <c r="L221" s="41">
        <f t="shared" si="3"/>
        <v>4698892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97570+2658671</f>
        <v>2756241</v>
      </c>
      <c r="G225" s="18">
        <f>1061682+24457</f>
        <v>1086139</v>
      </c>
      <c r="H225" s="18">
        <f>66184+26224</f>
        <v>92408</v>
      </c>
      <c r="I225" s="18">
        <f>135168+26598</f>
        <v>161766</v>
      </c>
      <c r="J225" s="18">
        <f>34611+17262</f>
        <v>51873</v>
      </c>
      <c r="K225" s="18">
        <f>4263+4376</f>
        <v>8639</v>
      </c>
      <c r="L225" s="19">
        <f>SUM(F225:K225)</f>
        <v>4157066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36730+812439</f>
        <v>849169</v>
      </c>
      <c r="G226" s="18">
        <f>514586+13250</f>
        <v>527836</v>
      </c>
      <c r="H226" s="18">
        <f>533238+4142</f>
        <v>537380</v>
      </c>
      <c r="I226" s="18">
        <f>7080+400</f>
        <v>7480</v>
      </c>
      <c r="J226" s="18">
        <f>1075</f>
        <v>1075</v>
      </c>
      <c r="K226" s="18">
        <v>530</v>
      </c>
      <c r="L226" s="19">
        <f>SUM(F226:K226)</f>
        <v>1923470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48485</v>
      </c>
      <c r="I227" s="18">
        <v>0</v>
      </c>
      <c r="J227" s="18">
        <v>0</v>
      </c>
      <c r="K227" s="18">
        <v>0</v>
      </c>
      <c r="L227" s="19">
        <f>SUM(F227:K227)</f>
        <v>48485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122439</v>
      </c>
      <c r="G228" s="18">
        <v>15673</v>
      </c>
      <c r="H228" s="18">
        <v>51904</v>
      </c>
      <c r="I228" s="18">
        <v>35851</v>
      </c>
      <c r="J228" s="18">
        <v>4618</v>
      </c>
      <c r="K228" s="18">
        <v>7409</v>
      </c>
      <c r="L228" s="19">
        <f>SUM(F228:K228)</f>
        <v>237894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257236+5813</f>
        <v>263049</v>
      </c>
      <c r="G230" s="18">
        <f>128217+445</f>
        <v>128662</v>
      </c>
      <c r="H230" s="18">
        <f>6232+217044</f>
        <v>223276</v>
      </c>
      <c r="I230" s="18">
        <v>18063</v>
      </c>
      <c r="J230" s="18"/>
      <c r="K230" s="18">
        <v>7623</v>
      </c>
      <c r="L230" s="19">
        <f t="shared" ref="L230:L236" si="4">SUM(F230:K230)</f>
        <v>640673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127739+26603</f>
        <v>154342</v>
      </c>
      <c r="G231" s="18">
        <f>41656+11363</f>
        <v>53019</v>
      </c>
      <c r="H231" s="18">
        <f>562+18032</f>
        <v>18594</v>
      </c>
      <c r="I231" s="18">
        <f>13771+5049</f>
        <v>18820</v>
      </c>
      <c r="J231" s="18">
        <f>4464</f>
        <v>4464</v>
      </c>
      <c r="K231" s="18">
        <v>68</v>
      </c>
      <c r="L231" s="19">
        <f t="shared" si="4"/>
        <v>249307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10876</v>
      </c>
      <c r="G232" s="18">
        <v>755</v>
      </c>
      <c r="H232" s="18">
        <f>39624+401749</f>
        <v>441373</v>
      </c>
      <c r="I232" s="18">
        <v>1095</v>
      </c>
      <c r="J232" s="18">
        <v>0</v>
      </c>
      <c r="K232" s="18">
        <v>2438</v>
      </c>
      <c r="L232" s="19">
        <f t="shared" si="4"/>
        <v>456537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341527</v>
      </c>
      <c r="G233" s="18">
        <v>151727</v>
      </c>
      <c r="H233" s="18">
        <v>92038</v>
      </c>
      <c r="I233" s="18">
        <v>2272</v>
      </c>
      <c r="J233" s="18">
        <v>3907</v>
      </c>
      <c r="K233" s="18">
        <v>6994</v>
      </c>
      <c r="L233" s="19">
        <f t="shared" si="4"/>
        <v>598465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32958</v>
      </c>
      <c r="H234" s="18">
        <v>73082</v>
      </c>
      <c r="I234" s="18">
        <v>0</v>
      </c>
      <c r="J234" s="18">
        <v>2489</v>
      </c>
      <c r="K234" s="18">
        <v>0</v>
      </c>
      <c r="L234" s="19">
        <f t="shared" si="4"/>
        <v>108529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160731+246667</f>
        <v>407398</v>
      </c>
      <c r="G235" s="18">
        <f>125336+60349</f>
        <v>185685</v>
      </c>
      <c r="H235" s="18">
        <f>55958+37911</f>
        <v>93869</v>
      </c>
      <c r="I235" s="18">
        <f>19218+245316</f>
        <v>264534</v>
      </c>
      <c r="J235" s="18">
        <f>9742+2604</f>
        <v>12346</v>
      </c>
      <c r="K235" s="18">
        <v>313</v>
      </c>
      <c r="L235" s="19">
        <f t="shared" si="4"/>
        <v>964145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805340</v>
      </c>
      <c r="I236" s="18">
        <v>0</v>
      </c>
      <c r="J236" s="18">
        <v>0</v>
      </c>
      <c r="K236" s="18">
        <v>0</v>
      </c>
      <c r="L236" s="19">
        <f t="shared" si="4"/>
        <v>805340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122827</v>
      </c>
      <c r="G237" s="18">
        <v>9396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132223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5027868</v>
      </c>
      <c r="G239" s="41">
        <f t="shared" si="5"/>
        <v>2191850</v>
      </c>
      <c r="H239" s="41">
        <f t="shared" si="5"/>
        <v>2477749</v>
      </c>
      <c r="I239" s="41">
        <f t="shared" si="5"/>
        <v>509881</v>
      </c>
      <c r="J239" s="41">
        <f t="shared" si="5"/>
        <v>80772</v>
      </c>
      <c r="K239" s="41">
        <f t="shared" si="5"/>
        <v>34014</v>
      </c>
      <c r="L239" s="41">
        <f t="shared" si="5"/>
        <v>10322134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15667784</v>
      </c>
      <c r="G249" s="41">
        <f t="shared" si="8"/>
        <v>7223968</v>
      </c>
      <c r="H249" s="41">
        <f t="shared" si="8"/>
        <v>6728191</v>
      </c>
      <c r="I249" s="41">
        <f t="shared" si="8"/>
        <v>1378660</v>
      </c>
      <c r="J249" s="41">
        <f t="shared" si="8"/>
        <v>206717</v>
      </c>
      <c r="K249" s="41">
        <f t="shared" si="8"/>
        <v>50917</v>
      </c>
      <c r="L249" s="41">
        <f t="shared" si="8"/>
        <v>31256237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809277</v>
      </c>
      <c r="L257" s="19">
        <f t="shared" si="9"/>
        <v>809277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32555</v>
      </c>
      <c r="L258" s="19">
        <f t="shared" si="9"/>
        <v>32555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841832</v>
      </c>
      <c r="L262" s="41">
        <f t="shared" si="9"/>
        <v>841832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15667784</v>
      </c>
      <c r="G263" s="42">
        <f t="shared" si="11"/>
        <v>7223968</v>
      </c>
      <c r="H263" s="42">
        <f t="shared" si="11"/>
        <v>6728191</v>
      </c>
      <c r="I263" s="42">
        <f t="shared" si="11"/>
        <v>1378660</v>
      </c>
      <c r="J263" s="42">
        <f t="shared" si="11"/>
        <v>206717</v>
      </c>
      <c r="K263" s="42">
        <f t="shared" si="11"/>
        <v>892749</v>
      </c>
      <c r="L263" s="42">
        <f t="shared" si="11"/>
        <v>32098069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86579</v>
      </c>
      <c r="G268" s="18">
        <v>20921</v>
      </c>
      <c r="H268" s="18">
        <v>8429</v>
      </c>
      <c r="I268" s="18">
        <v>10369</v>
      </c>
      <c r="J268" s="18">
        <v>437</v>
      </c>
      <c r="K268" s="18">
        <v>0</v>
      </c>
      <c r="L268" s="19">
        <f>SUM(F268:K268)</f>
        <v>126735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10828</v>
      </c>
      <c r="I273" s="18"/>
      <c r="J273" s="18"/>
      <c r="K273" s="18"/>
      <c r="L273" s="19">
        <f t="shared" ref="L273:L279" si="12">SUM(F273:K273)</f>
        <v>10828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59479</v>
      </c>
      <c r="I274" s="18"/>
      <c r="J274" s="18"/>
      <c r="K274" s="18"/>
      <c r="L274" s="19">
        <f t="shared" si="12"/>
        <v>59479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v>1000</v>
      </c>
      <c r="L280" s="19">
        <f>SUM(F280:K280)</f>
        <v>1000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86579</v>
      </c>
      <c r="G282" s="42">
        <f t="shared" si="13"/>
        <v>20921</v>
      </c>
      <c r="H282" s="42">
        <f t="shared" si="13"/>
        <v>78736</v>
      </c>
      <c r="I282" s="42">
        <f t="shared" si="13"/>
        <v>10369</v>
      </c>
      <c r="J282" s="42">
        <f t="shared" si="13"/>
        <v>437</v>
      </c>
      <c r="K282" s="42">
        <f t="shared" si="13"/>
        <v>1000</v>
      </c>
      <c r="L282" s="41">
        <f t="shared" si="13"/>
        <v>198042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344278</v>
      </c>
      <c r="G306" s="18">
        <v>120216</v>
      </c>
      <c r="H306" s="18">
        <v>52208</v>
      </c>
      <c r="I306" s="18">
        <v>57203</v>
      </c>
      <c r="J306" s="18">
        <v>9721</v>
      </c>
      <c r="K306" s="18"/>
      <c r="L306" s="19">
        <f>SUM(F306:K306)</f>
        <v>583626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>
        <v>2149</v>
      </c>
      <c r="H307" s="18"/>
      <c r="I307" s="18"/>
      <c r="J307" s="18"/>
      <c r="K307" s="18"/>
      <c r="L307" s="19">
        <f>SUM(F307:K307)</f>
        <v>2149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>
        <v>175</v>
      </c>
      <c r="J311" s="18"/>
      <c r="K311" s="18"/>
      <c r="L311" s="19">
        <f t="shared" ref="L311:L317" si="16">SUM(F311:K311)</f>
        <v>175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47924</v>
      </c>
      <c r="G312" s="18">
        <v>6712</v>
      </c>
      <c r="H312" s="18">
        <v>125216</v>
      </c>
      <c r="I312" s="18">
        <v>16280</v>
      </c>
      <c r="J312" s="18">
        <v>7125</v>
      </c>
      <c r="K312" s="18">
        <v>475</v>
      </c>
      <c r="L312" s="19">
        <f t="shared" si="16"/>
        <v>203732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392202</v>
      </c>
      <c r="G320" s="42">
        <f t="shared" si="17"/>
        <v>129077</v>
      </c>
      <c r="H320" s="42">
        <f t="shared" si="17"/>
        <v>177424</v>
      </c>
      <c r="I320" s="42">
        <f t="shared" si="17"/>
        <v>73658</v>
      </c>
      <c r="J320" s="42">
        <f t="shared" si="17"/>
        <v>16846</v>
      </c>
      <c r="K320" s="42">
        <f t="shared" si="17"/>
        <v>475</v>
      </c>
      <c r="L320" s="41">
        <f t="shared" si="17"/>
        <v>789682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478781</v>
      </c>
      <c r="G330" s="41">
        <f t="shared" si="20"/>
        <v>149998</v>
      </c>
      <c r="H330" s="41">
        <f t="shared" si="20"/>
        <v>256160</v>
      </c>
      <c r="I330" s="41">
        <f t="shared" si="20"/>
        <v>84027</v>
      </c>
      <c r="J330" s="41">
        <f t="shared" si="20"/>
        <v>17283</v>
      </c>
      <c r="K330" s="41">
        <f t="shared" si="20"/>
        <v>1475</v>
      </c>
      <c r="L330" s="41">
        <f t="shared" si="20"/>
        <v>987724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45783</v>
      </c>
      <c r="L336" s="19">
        <f t="shared" ref="L336:L342" si="21">SUM(F336:K336)</f>
        <v>45783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45783</v>
      </c>
      <c r="L343" s="41">
        <f>SUM(L333:L342)</f>
        <v>45783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478781</v>
      </c>
      <c r="G344" s="41">
        <f>G330</f>
        <v>149998</v>
      </c>
      <c r="H344" s="41">
        <f>H330</f>
        <v>256160</v>
      </c>
      <c r="I344" s="41">
        <f>I330</f>
        <v>84027</v>
      </c>
      <c r="J344" s="41">
        <f>J330</f>
        <v>17283</v>
      </c>
      <c r="K344" s="47">
        <f>K330+K343</f>
        <v>47258</v>
      </c>
      <c r="L344" s="41">
        <f>L330+L343</f>
        <v>1033507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175009</v>
      </c>
      <c r="G350" s="18">
        <v>71558</v>
      </c>
      <c r="H350" s="18">
        <v>7034</v>
      </c>
      <c r="I350" s="18">
        <v>223371</v>
      </c>
      <c r="J350" s="18">
        <v>1953</v>
      </c>
      <c r="K350" s="18">
        <v>37</v>
      </c>
      <c r="L350" s="13">
        <f>SUM(F350:K350)</f>
        <v>478962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57146</v>
      </c>
      <c r="G351" s="18">
        <v>23366</v>
      </c>
      <c r="H351" s="18">
        <v>2297</v>
      </c>
      <c r="I351" s="18">
        <v>72937</v>
      </c>
      <c r="J351" s="18">
        <v>638</v>
      </c>
      <c r="K351" s="18">
        <v>12</v>
      </c>
      <c r="L351" s="19">
        <f>SUM(F351:K351)</f>
        <v>156396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125007</v>
      </c>
      <c r="G352" s="18">
        <v>51113</v>
      </c>
      <c r="H352" s="18">
        <v>5025</v>
      </c>
      <c r="I352" s="18">
        <v>159550</v>
      </c>
      <c r="J352" s="18">
        <v>1395</v>
      </c>
      <c r="K352" s="18">
        <v>26</v>
      </c>
      <c r="L352" s="19">
        <f>SUM(F352:K352)</f>
        <v>342116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357162</v>
      </c>
      <c r="G354" s="47">
        <f t="shared" si="22"/>
        <v>146037</v>
      </c>
      <c r="H354" s="47">
        <f t="shared" si="22"/>
        <v>14356</v>
      </c>
      <c r="I354" s="47">
        <f t="shared" si="22"/>
        <v>455858</v>
      </c>
      <c r="J354" s="47">
        <f t="shared" si="22"/>
        <v>3986</v>
      </c>
      <c r="K354" s="47">
        <f t="shared" si="22"/>
        <v>75</v>
      </c>
      <c r="L354" s="47">
        <f t="shared" si="22"/>
        <v>977474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413867*0.49</f>
        <v>202794.83</v>
      </c>
      <c r="G359" s="18">
        <f>413867*0.16</f>
        <v>66218.720000000001</v>
      </c>
      <c r="H359" s="18">
        <f>413867*0.35</f>
        <v>144853.44999999998</v>
      </c>
      <c r="I359" s="56">
        <f>SUM(F359:H359)</f>
        <v>413867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41991*0.49</f>
        <v>20575.59</v>
      </c>
      <c r="G360" s="63">
        <f>41991*0.16</f>
        <v>6718.56</v>
      </c>
      <c r="H360" s="63">
        <f>41991*0.35</f>
        <v>14696.849999999999</v>
      </c>
      <c r="I360" s="56">
        <f>SUM(F360:H360)</f>
        <v>41991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223370.41999999998</v>
      </c>
      <c r="G361" s="47">
        <f>SUM(G359:G360)</f>
        <v>72937.279999999999</v>
      </c>
      <c r="H361" s="47">
        <f>SUM(H359:H360)</f>
        <v>159550.29999999999</v>
      </c>
      <c r="I361" s="47">
        <f>SUM(I359:I360)</f>
        <v>455858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1302586</v>
      </c>
      <c r="K371" s="18"/>
      <c r="L371" s="13">
        <f t="shared" si="23"/>
        <v>1302586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1302586</v>
      </c>
      <c r="K374" s="47">
        <f t="shared" si="24"/>
        <v>0</v>
      </c>
      <c r="L374" s="47">
        <f t="shared" si="24"/>
        <v>1302586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1409</v>
      </c>
      <c r="I381" s="18"/>
      <c r="J381" s="24" t="s">
        <v>312</v>
      </c>
      <c r="K381" s="24" t="s">
        <v>312</v>
      </c>
      <c r="L381" s="56">
        <f t="shared" si="25"/>
        <v>1409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1409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1409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>
        <v>10000</v>
      </c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10000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22555</v>
      </c>
      <c r="H388" s="18">
        <v>70</v>
      </c>
      <c r="I388" s="18"/>
      <c r="J388" s="24" t="s">
        <v>312</v>
      </c>
      <c r="K388" s="24" t="s">
        <v>312</v>
      </c>
      <c r="L388" s="56">
        <f t="shared" si="26"/>
        <v>22625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 t="s">
        <v>310</v>
      </c>
      <c r="H389" s="18">
        <v>317</v>
      </c>
      <c r="I389" s="18"/>
      <c r="J389" s="24" t="s">
        <v>312</v>
      </c>
      <c r="K389" s="24" t="s">
        <v>312</v>
      </c>
      <c r="L389" s="56">
        <f t="shared" si="26"/>
        <v>317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32555</v>
      </c>
      <c r="H393" s="47">
        <f>SUM(H387:H392)</f>
        <v>387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32942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32555</v>
      </c>
      <c r="H400" s="47">
        <f>H385+H393+H399</f>
        <v>1796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34351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900245</v>
      </c>
      <c r="G434" s="18">
        <v>285483</v>
      </c>
      <c r="H434" s="18"/>
      <c r="I434" s="56">
        <f t="shared" si="33"/>
        <v>1185728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900245</v>
      </c>
      <c r="G438" s="13">
        <f>SUM(G431:G437)</f>
        <v>285483</v>
      </c>
      <c r="H438" s="13">
        <f>SUM(H431:H437)</f>
        <v>0</v>
      </c>
      <c r="I438" s="13">
        <f>SUM(I431:I437)</f>
        <v>1185728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>
        <v>900245</v>
      </c>
      <c r="G447" s="18"/>
      <c r="H447" s="18"/>
      <c r="I447" s="56">
        <f>SUM(F447:H447)</f>
        <v>900245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285483</v>
      </c>
      <c r="H449" s="18"/>
      <c r="I449" s="56">
        <f>SUM(F449:H449)</f>
        <v>285483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900245</v>
      </c>
      <c r="G450" s="83">
        <f>SUM(G446:G449)</f>
        <v>285483</v>
      </c>
      <c r="H450" s="83">
        <f>SUM(H446:H449)</f>
        <v>0</v>
      </c>
      <c r="I450" s="83">
        <f>SUM(I446:I449)</f>
        <v>1185728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900245</v>
      </c>
      <c r="G451" s="42">
        <f>G444+G450</f>
        <v>285483</v>
      </c>
      <c r="H451" s="42">
        <f>H444+H450</f>
        <v>0</v>
      </c>
      <c r="I451" s="42">
        <f>I444+I450</f>
        <v>1185728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-184845</v>
      </c>
      <c r="G455" s="18">
        <v>61261</v>
      </c>
      <c r="H455" s="18">
        <v>0</v>
      </c>
      <c r="I455" s="18">
        <v>1040116</v>
      </c>
      <c r="J455" s="18">
        <v>424977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33020809</v>
      </c>
      <c r="G458" s="18">
        <v>974236</v>
      </c>
      <c r="H458" s="18">
        <v>863024</v>
      </c>
      <c r="I458" s="18">
        <v>809277</v>
      </c>
      <c r="J458" s="18">
        <v>34351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27900</v>
      </c>
      <c r="G459" s="18"/>
      <c r="H459" s="18"/>
      <c r="I459" s="18"/>
      <c r="J459" s="18">
        <v>726400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33048709</v>
      </c>
      <c r="G460" s="53">
        <f>SUM(G458:G459)</f>
        <v>974236</v>
      </c>
      <c r="H460" s="53">
        <f>SUM(H458:H459)</f>
        <v>863024</v>
      </c>
      <c r="I460" s="53">
        <f>SUM(I458:I459)</f>
        <v>809277</v>
      </c>
      <c r="J460" s="53">
        <f>SUM(J458:J459)</f>
        <v>760751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32098069</v>
      </c>
      <c r="G462" s="18">
        <v>977474</v>
      </c>
      <c r="H462" s="18">
        <v>1033507</v>
      </c>
      <c r="I462" s="18">
        <v>1302586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9</v>
      </c>
      <c r="H463" s="18"/>
      <c r="I463" s="18">
        <v>97335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32098069</v>
      </c>
      <c r="G464" s="53">
        <f>SUM(G462:G463)</f>
        <v>977483</v>
      </c>
      <c r="H464" s="53">
        <f>SUM(H462:H463)</f>
        <v>1033507</v>
      </c>
      <c r="I464" s="53">
        <f>SUM(I462:I463)</f>
        <v>1399921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765795</v>
      </c>
      <c r="G466" s="53">
        <f>(G455+G460)- G464</f>
        <v>58014</v>
      </c>
      <c r="H466" s="53">
        <f>(H455+H460)- H464</f>
        <v>-170483</v>
      </c>
      <c r="I466" s="53">
        <f>(I455+I460)- I464</f>
        <v>449472</v>
      </c>
      <c r="J466" s="53">
        <f>(J455+J460)- J464</f>
        <v>1185728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2600262</v>
      </c>
      <c r="G511" s="18">
        <v>1781741</v>
      </c>
      <c r="H511" s="18">
        <v>750023</v>
      </c>
      <c r="I511" s="18">
        <v>22806</v>
      </c>
      <c r="J511" s="18">
        <v>4556</v>
      </c>
      <c r="K511" s="18">
        <v>0</v>
      </c>
      <c r="L511" s="88">
        <f>SUM(F511:K511)</f>
        <v>5159388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509008</v>
      </c>
      <c r="G512" s="18">
        <v>273710</v>
      </c>
      <c r="H512" s="18">
        <v>243962</v>
      </c>
      <c r="I512" s="18">
        <v>3612</v>
      </c>
      <c r="J512" s="18">
        <v>492</v>
      </c>
      <c r="K512" s="18">
        <v>0</v>
      </c>
      <c r="L512" s="88">
        <f>SUM(F512:K512)</f>
        <v>1030784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849169</v>
      </c>
      <c r="G513" s="18">
        <v>527836</v>
      </c>
      <c r="H513" s="18">
        <v>537380</v>
      </c>
      <c r="I513" s="18">
        <v>7480</v>
      </c>
      <c r="J513" s="18">
        <v>1075</v>
      </c>
      <c r="K513" s="18">
        <v>530</v>
      </c>
      <c r="L513" s="88">
        <f>SUM(F513:K513)</f>
        <v>1923470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3958439</v>
      </c>
      <c r="G514" s="108">
        <f t="shared" ref="G514:L514" si="35">SUM(G511:G513)</f>
        <v>2583287</v>
      </c>
      <c r="H514" s="108">
        <f t="shared" si="35"/>
        <v>1531365</v>
      </c>
      <c r="I514" s="108">
        <f t="shared" si="35"/>
        <v>33898</v>
      </c>
      <c r="J514" s="108">
        <f t="shared" si="35"/>
        <v>6123</v>
      </c>
      <c r="K514" s="108">
        <f t="shared" si="35"/>
        <v>530</v>
      </c>
      <c r="L514" s="89">
        <f t="shared" si="35"/>
        <v>8113642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303176</v>
      </c>
      <c r="I516" s="18"/>
      <c r="J516" s="18"/>
      <c r="K516" s="18"/>
      <c r="L516" s="88">
        <f>SUM(F516:K516)</f>
        <v>303176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48205</v>
      </c>
      <c r="G517" s="18">
        <v>15164</v>
      </c>
      <c r="H517" s="18">
        <v>98996</v>
      </c>
      <c r="I517" s="18"/>
      <c r="J517" s="18"/>
      <c r="K517" s="18"/>
      <c r="L517" s="88">
        <f>SUM(F517:K517)</f>
        <v>162365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60865</v>
      </c>
      <c r="G518" s="18">
        <v>20280</v>
      </c>
      <c r="H518" s="18">
        <v>216554</v>
      </c>
      <c r="I518" s="18"/>
      <c r="J518" s="18"/>
      <c r="K518" s="18"/>
      <c r="L518" s="88">
        <f>SUM(F518:K518)</f>
        <v>297699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109070</v>
      </c>
      <c r="G519" s="89">
        <f t="shared" ref="G519:L519" si="36">SUM(G516:G518)</f>
        <v>35444</v>
      </c>
      <c r="H519" s="89">
        <f t="shared" si="36"/>
        <v>618726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763240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139561</f>
        <v>139561</v>
      </c>
      <c r="I521" s="18"/>
      <c r="J521" s="18"/>
      <c r="K521" s="18"/>
      <c r="L521" s="88">
        <f>SUM(F521:K521)</f>
        <v>139561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f>45571</f>
        <v>45571</v>
      </c>
      <c r="I522" s="18"/>
      <c r="J522" s="18"/>
      <c r="K522" s="18"/>
      <c r="L522" s="88">
        <f>SUM(F522:K522)</f>
        <v>45571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284818</f>
        <v>284818</v>
      </c>
      <c r="I523" s="18"/>
      <c r="J523" s="18"/>
      <c r="K523" s="18"/>
      <c r="L523" s="88">
        <f>SUM(F523:K523)</f>
        <v>284818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469950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469950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2254</v>
      </c>
      <c r="I526" s="18"/>
      <c r="J526" s="18"/>
      <c r="K526" s="18"/>
      <c r="L526" s="88">
        <f>SUM(F526:K526)</f>
        <v>2254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736</v>
      </c>
      <c r="I527" s="18"/>
      <c r="J527" s="18"/>
      <c r="K527" s="18"/>
      <c r="L527" s="88">
        <f>SUM(F527:K527)</f>
        <v>736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1611</v>
      </c>
      <c r="I528" s="18"/>
      <c r="J528" s="18"/>
      <c r="K528" s="18"/>
      <c r="L528" s="88">
        <f>SUM(F528:K528)</f>
        <v>1611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4601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4601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406106</v>
      </c>
      <c r="I531" s="18"/>
      <c r="J531" s="18"/>
      <c r="K531" s="18"/>
      <c r="L531" s="88">
        <f>SUM(F531:K531)</f>
        <v>406106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132606</v>
      </c>
      <c r="I532" s="18"/>
      <c r="J532" s="18"/>
      <c r="K532" s="18"/>
      <c r="L532" s="88">
        <f>SUM(F532:K532)</f>
        <v>132606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291440</v>
      </c>
      <c r="I533" s="18"/>
      <c r="J533" s="18"/>
      <c r="K533" s="18"/>
      <c r="L533" s="88">
        <f>SUM(F533:K533)</f>
        <v>291440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830152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830152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4067509</v>
      </c>
      <c r="G535" s="89">
        <f t="shared" ref="G535:L535" si="40">G514+G519+G524+G529+G534</f>
        <v>2618731</v>
      </c>
      <c r="H535" s="89">
        <f t="shared" si="40"/>
        <v>3454794</v>
      </c>
      <c r="I535" s="89">
        <f t="shared" si="40"/>
        <v>33898</v>
      </c>
      <c r="J535" s="89">
        <f t="shared" si="40"/>
        <v>6123</v>
      </c>
      <c r="K535" s="89">
        <f t="shared" si="40"/>
        <v>530</v>
      </c>
      <c r="L535" s="89">
        <f t="shared" si="40"/>
        <v>10181585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5159388</v>
      </c>
      <c r="G539" s="87">
        <f>L516</f>
        <v>303176</v>
      </c>
      <c r="H539" s="87">
        <f>L521</f>
        <v>139561</v>
      </c>
      <c r="I539" s="87">
        <f>L526</f>
        <v>2254</v>
      </c>
      <c r="J539" s="87">
        <f>L531</f>
        <v>406106</v>
      </c>
      <c r="K539" s="87">
        <f>SUM(F539:J539)</f>
        <v>6010485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1030784</v>
      </c>
      <c r="G540" s="87">
        <f>L517</f>
        <v>162365</v>
      </c>
      <c r="H540" s="87">
        <f>L522</f>
        <v>45571</v>
      </c>
      <c r="I540" s="87">
        <f>L527</f>
        <v>736</v>
      </c>
      <c r="J540" s="87">
        <f>L532</f>
        <v>132606</v>
      </c>
      <c r="K540" s="87">
        <f>SUM(F540:J540)</f>
        <v>1372062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1923470</v>
      </c>
      <c r="G541" s="87">
        <f>L518</f>
        <v>297699</v>
      </c>
      <c r="H541" s="87">
        <f>L523</f>
        <v>284818</v>
      </c>
      <c r="I541" s="87">
        <f>L528</f>
        <v>1611</v>
      </c>
      <c r="J541" s="87">
        <f>L533</f>
        <v>291440</v>
      </c>
      <c r="K541" s="87">
        <f>SUM(F541:J541)</f>
        <v>2799038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8113642</v>
      </c>
      <c r="G542" s="89">
        <f t="shared" si="41"/>
        <v>763240</v>
      </c>
      <c r="H542" s="89">
        <f t="shared" si="41"/>
        <v>469950</v>
      </c>
      <c r="I542" s="89">
        <f t="shared" si="41"/>
        <v>4601</v>
      </c>
      <c r="J542" s="89">
        <f t="shared" si="41"/>
        <v>830152</v>
      </c>
      <c r="K542" s="89">
        <f t="shared" si="41"/>
        <v>10181585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22099</v>
      </c>
      <c r="G552" s="18">
        <v>13050</v>
      </c>
      <c r="H552" s="18"/>
      <c r="I552" s="18"/>
      <c r="J552" s="18"/>
      <c r="K552" s="18"/>
      <c r="L552" s="88">
        <f>SUM(F552:K552)</f>
        <v>35149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7216</v>
      </c>
      <c r="G553" s="18">
        <v>4261</v>
      </c>
      <c r="H553" s="18"/>
      <c r="I553" s="18"/>
      <c r="J553" s="18"/>
      <c r="K553" s="18"/>
      <c r="L553" s="88">
        <f>SUM(F553:K553)</f>
        <v>11477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15785</v>
      </c>
      <c r="G554" s="18">
        <v>9322</v>
      </c>
      <c r="H554" s="18"/>
      <c r="I554" s="18"/>
      <c r="J554" s="18"/>
      <c r="K554" s="18"/>
      <c r="L554" s="88">
        <f>SUM(F554:K554)</f>
        <v>25107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45100</v>
      </c>
      <c r="G555" s="89">
        <f t="shared" si="43"/>
        <v>26633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71733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45100</v>
      </c>
      <c r="G561" s="89">
        <f t="shared" ref="G561:L561" si="45">G550+G555+G560</f>
        <v>26633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71733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6856</v>
      </c>
      <c r="I565" s="87">
        <f>SUM(F565:H565)</f>
        <v>6856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21262</v>
      </c>
      <c r="G569" s="18">
        <v>6943</v>
      </c>
      <c r="H569" s="18">
        <v>15187</v>
      </c>
      <c r="I569" s="87">
        <f t="shared" si="46"/>
        <v>43392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500292</v>
      </c>
      <c r="G572" s="18">
        <v>163361</v>
      </c>
      <c r="H572" s="18">
        <v>357352</v>
      </c>
      <c r="I572" s="87">
        <f t="shared" si="46"/>
        <v>1021005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48485</v>
      </c>
      <c r="I574" s="87">
        <f t="shared" si="46"/>
        <v>48485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604382</v>
      </c>
      <c r="I581" s="18">
        <v>197349</v>
      </c>
      <c r="J581" s="18">
        <v>431702</v>
      </c>
      <c r="K581" s="104">
        <f t="shared" ref="K581:K587" si="47">SUM(H581:J581)</f>
        <v>1233433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406106</v>
      </c>
      <c r="I582" s="18">
        <v>132606</v>
      </c>
      <c r="J582" s="18">
        <v>291440</v>
      </c>
      <c r="K582" s="104">
        <f t="shared" si="47"/>
        <v>830152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29420</v>
      </c>
      <c r="K583" s="104">
        <f t="shared" si="47"/>
        <v>29420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23577</v>
      </c>
      <c r="J584" s="18">
        <v>52478</v>
      </c>
      <c r="K584" s="104">
        <f t="shared" si="47"/>
        <v>76055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1976</v>
      </c>
      <c r="I585" s="18"/>
      <c r="J585" s="18">
        <v>300</v>
      </c>
      <c r="K585" s="104">
        <f t="shared" si="47"/>
        <v>2276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1012464</v>
      </c>
      <c r="I588" s="108">
        <f>SUM(I581:I587)</f>
        <v>353532</v>
      </c>
      <c r="J588" s="108">
        <f>SUM(J581:J587)</f>
        <v>805340</v>
      </c>
      <c r="K588" s="108">
        <f>SUM(K581:K587)</f>
        <v>2171336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29723+437+57090</f>
        <v>87250</v>
      </c>
      <c r="I594" s="18">
        <f>20489+18642</f>
        <v>39131</v>
      </c>
      <c r="J594" s="18">
        <f>40778+39994+16847</f>
        <v>97619</v>
      </c>
      <c r="K594" s="104">
        <f>SUM(H594:J594)</f>
        <v>224000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87250</v>
      </c>
      <c r="I595" s="108">
        <f>SUM(I592:I594)</f>
        <v>39131</v>
      </c>
      <c r="J595" s="108">
        <f>SUM(J592:J594)</f>
        <v>97619</v>
      </c>
      <c r="K595" s="108">
        <f>SUM(K592:K594)</f>
        <v>224000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19034</v>
      </c>
      <c r="G601" s="18">
        <v>10797</v>
      </c>
      <c r="H601" s="18">
        <v>2257</v>
      </c>
      <c r="I601" s="18">
        <v>2800</v>
      </c>
      <c r="J601" s="18"/>
      <c r="K601" s="18"/>
      <c r="L601" s="88">
        <f>SUM(F601:K601)</f>
        <v>34888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6215</v>
      </c>
      <c r="G602" s="18">
        <v>3526</v>
      </c>
      <c r="H602" s="18">
        <v>737</v>
      </c>
      <c r="I602" s="18">
        <v>914</v>
      </c>
      <c r="J602" s="18"/>
      <c r="K602" s="18"/>
      <c r="L602" s="88">
        <f>SUM(F602:K602)</f>
        <v>11392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13596</v>
      </c>
      <c r="G603" s="18">
        <v>7712</v>
      </c>
      <c r="H603" s="18">
        <v>1612</v>
      </c>
      <c r="I603" s="18">
        <v>2000</v>
      </c>
      <c r="J603" s="18"/>
      <c r="K603" s="18"/>
      <c r="L603" s="88">
        <f>SUM(F603:K603)</f>
        <v>24920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38845</v>
      </c>
      <c r="G604" s="108">
        <f t="shared" si="48"/>
        <v>22035</v>
      </c>
      <c r="H604" s="108">
        <f t="shared" si="48"/>
        <v>4606</v>
      </c>
      <c r="I604" s="108">
        <f t="shared" si="48"/>
        <v>5714</v>
      </c>
      <c r="J604" s="108">
        <f t="shared" si="48"/>
        <v>0</v>
      </c>
      <c r="K604" s="108">
        <f t="shared" si="48"/>
        <v>0</v>
      </c>
      <c r="L604" s="89">
        <f t="shared" si="48"/>
        <v>71200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2067913</v>
      </c>
      <c r="H607" s="109">
        <f>SUM(F44)</f>
        <v>2067913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40050</v>
      </c>
      <c r="H608" s="109">
        <f>SUM(G44)</f>
        <v>40050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-93824</v>
      </c>
      <c r="H609" s="109">
        <f>SUM(H44)</f>
        <v>-93824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593682</v>
      </c>
      <c r="H610" s="109">
        <f>SUM(I44)</f>
        <v>593682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1185728</v>
      </c>
      <c r="H611" s="109">
        <f>SUM(J44)</f>
        <v>1185728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765795</v>
      </c>
      <c r="H612" s="109">
        <f>F466</f>
        <v>765795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58014</v>
      </c>
      <c r="H613" s="109">
        <f>G466</f>
        <v>58014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-170483</v>
      </c>
      <c r="H614" s="109">
        <f>H466</f>
        <v>-170483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449472</v>
      </c>
      <c r="H615" s="109">
        <f>I466</f>
        <v>449472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1185728</v>
      </c>
      <c r="H616" s="109">
        <f>J466</f>
        <v>1185728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33020809</v>
      </c>
      <c r="H617" s="104">
        <f>SUM(F458)</f>
        <v>33020809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974236</v>
      </c>
      <c r="H618" s="104">
        <f>SUM(G458)</f>
        <v>974236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863024</v>
      </c>
      <c r="H619" s="104">
        <f>SUM(H458)</f>
        <v>863024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809277</v>
      </c>
      <c r="H620" s="104">
        <f>SUM(I458)</f>
        <v>809277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34351</v>
      </c>
      <c r="H621" s="104">
        <f>SUM(J458)</f>
        <v>34351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32098069</v>
      </c>
      <c r="H622" s="104">
        <f>SUM(F462)</f>
        <v>32098069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1033507</v>
      </c>
      <c r="H623" s="104">
        <f>SUM(H462)</f>
        <v>1033507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455858</v>
      </c>
      <c r="H624" s="104">
        <f>I361</f>
        <v>455858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977474</v>
      </c>
      <c r="H625" s="104">
        <f>SUM(G462)</f>
        <v>977474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1302586</v>
      </c>
      <c r="H626" s="104">
        <f>SUM(I462)</f>
        <v>1302586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34351</v>
      </c>
      <c r="H627" s="164">
        <f>SUM(J458)</f>
        <v>34351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900245</v>
      </c>
      <c r="H629" s="104">
        <f>SUM(F451)</f>
        <v>900245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285483</v>
      </c>
      <c r="H630" s="104">
        <f>SUM(G451)</f>
        <v>285483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1185728</v>
      </c>
      <c r="H632" s="104">
        <f>SUM(I451)</f>
        <v>1185728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1796</v>
      </c>
      <c r="H634" s="104">
        <f>H400</f>
        <v>1796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32555</v>
      </c>
      <c r="H635" s="104">
        <f>G400</f>
        <v>32555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34351</v>
      </c>
      <c r="H636" s="104">
        <f>L400</f>
        <v>34351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2171336</v>
      </c>
      <c r="H637" s="104">
        <f>L200+L218+L236</f>
        <v>2171336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224000</v>
      </c>
      <c r="H638" s="104">
        <f>(J249+J330)-(J247+J328)</f>
        <v>224000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1012464</v>
      </c>
      <c r="H639" s="104">
        <f>H588</f>
        <v>1012464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353532</v>
      </c>
      <c r="H640" s="104">
        <f>I588</f>
        <v>353532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805340</v>
      </c>
      <c r="H641" s="104">
        <f>J588</f>
        <v>805340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809277</v>
      </c>
      <c r="H644" s="104">
        <f>K257+K338</f>
        <v>809277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32555</v>
      </c>
      <c r="H645" s="104">
        <f>K258+K339</f>
        <v>32555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16912215</v>
      </c>
      <c r="G650" s="19">
        <f>(L221+L301+L351)</f>
        <v>4855288</v>
      </c>
      <c r="H650" s="19">
        <f>(L239+L320+L352)</f>
        <v>11453932</v>
      </c>
      <c r="I650" s="19">
        <f>SUM(F650:H650)</f>
        <v>33221435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255583.86125871379</v>
      </c>
      <c r="G651" s="19">
        <f>(L351/IF(SUM(L350:L352)=0,1,SUM(L350:L352))*(SUM(G89:G102)))</f>
        <v>83456.085379253054</v>
      </c>
      <c r="H651" s="19">
        <f>(L352/IF(SUM(L350:L352)=0,1,SUM(L350:L352))*(SUM(G89:G102)))</f>
        <v>182560.05336203318</v>
      </c>
      <c r="I651" s="19">
        <f>SUM(F651:H651)</f>
        <v>521600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1012464</v>
      </c>
      <c r="G652" s="19">
        <f>(L218+L298)-(J218+J298)</f>
        <v>353532</v>
      </c>
      <c r="H652" s="19">
        <f>(L236+L317)-(J236+J317)</f>
        <v>805340</v>
      </c>
      <c r="I652" s="19">
        <f>SUM(F652:H652)</f>
        <v>2171336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643692</v>
      </c>
      <c r="G653" s="200">
        <f>SUM(G565:G577)+SUM(I592:I594)+L602</f>
        <v>220827</v>
      </c>
      <c r="H653" s="200">
        <f>SUM(H565:H577)+SUM(J592:J594)+L603</f>
        <v>550419</v>
      </c>
      <c r="I653" s="19">
        <f>SUM(F653:H653)</f>
        <v>1414938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15000475.138741286</v>
      </c>
      <c r="G654" s="19">
        <f>G650-SUM(G651:G653)</f>
        <v>4197472.9146207469</v>
      </c>
      <c r="H654" s="19">
        <f>H650-SUM(H651:H653)</f>
        <v>9915612.9466379657</v>
      </c>
      <c r="I654" s="19">
        <f>I650-SUM(I651:I653)</f>
        <v>29113561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972.54</v>
      </c>
      <c r="G655" s="249">
        <v>303.43</v>
      </c>
      <c r="H655" s="249">
        <v>600.80999999999995</v>
      </c>
      <c r="I655" s="19">
        <f>SUM(F655:H655)</f>
        <v>1876.78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15424.02</v>
      </c>
      <c r="G657" s="19">
        <f>ROUND(G654/G655,2)</f>
        <v>13833.41</v>
      </c>
      <c r="H657" s="19">
        <f>ROUND(H654/H655,2)</f>
        <v>16503.740000000002</v>
      </c>
      <c r="I657" s="19">
        <f>ROUND(I654/I655,2)</f>
        <v>15512.51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-15.94</v>
      </c>
      <c r="I660" s="19">
        <f>SUM(F660:H660)</f>
        <v>-15.94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15424.02</v>
      </c>
      <c r="G662" s="19">
        <f>ROUND((G654+G659)/(G655+G660),2)</f>
        <v>13833.41</v>
      </c>
      <c r="H662" s="19">
        <f>ROUND((H654+H659)/(H655+H660),2)</f>
        <v>16953.53</v>
      </c>
      <c r="I662" s="19">
        <f>ROUND((I654+I659)/(I655+I660),2)</f>
        <v>15645.39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12A5-82A6-4F5C-9EC1-51CF0C4D73FF}">
  <sheetPr>
    <tabColor indexed="20"/>
  </sheetPr>
  <dimension ref="A1:C52"/>
  <sheetViews>
    <sheetView topLeftCell="A13"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 xml:space="preserve">Monadnock Regional 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8111626</v>
      </c>
      <c r="C9" s="230">
        <f>'DOE25'!G189+'DOE25'!G207+'DOE25'!G225+'DOE25'!G268+'DOE25'!G287+'DOE25'!G306</f>
        <v>3120930</v>
      </c>
    </row>
    <row r="10" spans="1:3" x14ac:dyDescent="0.2">
      <c r="A10" t="s">
        <v>810</v>
      </c>
      <c r="B10" s="241">
        <v>7038563</v>
      </c>
      <c r="C10" s="241">
        <v>2715209</v>
      </c>
    </row>
    <row r="11" spans="1:3" x14ac:dyDescent="0.2">
      <c r="A11" t="s">
        <v>811</v>
      </c>
      <c r="B11" s="241">
        <v>795253</v>
      </c>
      <c r="C11" s="241">
        <v>79525</v>
      </c>
    </row>
    <row r="12" spans="1:3" x14ac:dyDescent="0.2">
      <c r="A12" t="s">
        <v>812</v>
      </c>
      <c r="B12" s="241">
        <v>277810</v>
      </c>
      <c r="C12" s="241">
        <v>326196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8111626</v>
      </c>
      <c r="C13" s="232">
        <f>SUM(C10:C12)</f>
        <v>3120930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3958439</v>
      </c>
      <c r="C18" s="230">
        <f>'DOE25'!G190+'DOE25'!G208+'DOE25'!G226+'DOE25'!G269+'DOE25'!G288+'DOE25'!G307</f>
        <v>2585436</v>
      </c>
    </row>
    <row r="19" spans="1:3" x14ac:dyDescent="0.2">
      <c r="A19" t="s">
        <v>810</v>
      </c>
      <c r="B19" s="241">
        <v>1692852</v>
      </c>
      <c r="C19" s="241">
        <v>1551262</v>
      </c>
    </row>
    <row r="20" spans="1:3" x14ac:dyDescent="0.2">
      <c r="A20" t="s">
        <v>811</v>
      </c>
      <c r="B20" s="241">
        <v>2265587</v>
      </c>
      <c r="C20" s="241">
        <v>1034174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3958439</v>
      </c>
      <c r="C22" s="232">
        <f>SUM(C19:C21)</f>
        <v>2585436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180235</v>
      </c>
      <c r="C36" s="236">
        <f>'DOE25'!G192+'DOE25'!G210+'DOE25'!G228+'DOE25'!G271+'DOE25'!G290+'DOE25'!G309</f>
        <v>24988</v>
      </c>
    </row>
    <row r="37" spans="1:3" x14ac:dyDescent="0.2">
      <c r="A37" t="s">
        <v>810</v>
      </c>
      <c r="B37" s="241">
        <v>13980</v>
      </c>
      <c r="C37" s="241">
        <v>2215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166255</v>
      </c>
      <c r="C39" s="241">
        <v>22773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180235</v>
      </c>
      <c r="C40" s="232">
        <f>SUM(C37:C39)</f>
        <v>24988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846E-DD4B-4A63-A2E7-AAC2A938D36F}">
  <sheetPr>
    <tabColor indexed="11"/>
  </sheetPr>
  <dimension ref="A1:I51"/>
  <sheetViews>
    <sheetView workbookViewId="0">
      <pane ySplit="4" topLeftCell="A16" activePane="bottomLeft" state="frozen"/>
      <selection pane="bottomLeft" activeCell="B44" sqref="B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 xml:space="preserve">Monadnock Regional 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19926374</v>
      </c>
      <c r="D5" s="20">
        <f>SUM('DOE25'!L189:L192)+SUM('DOE25'!L207:L210)+SUM('DOE25'!L225:L228)-F5-G5</f>
        <v>19747195</v>
      </c>
      <c r="E5" s="244"/>
      <c r="F5" s="256">
        <f>SUM('DOE25'!J189:J192)+SUM('DOE25'!J207:J210)+SUM('DOE25'!J225:J228)</f>
        <v>153311</v>
      </c>
      <c r="G5" s="53">
        <f>SUM('DOE25'!K189:K192)+SUM('DOE25'!K207:K210)+SUM('DOE25'!K225:K228)</f>
        <v>25868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1955052</v>
      </c>
      <c r="D6" s="20">
        <f>'DOE25'!L194+'DOE25'!L212+'DOE25'!L230-F6-G6</f>
        <v>1947098</v>
      </c>
      <c r="E6" s="244"/>
      <c r="F6" s="256">
        <f>'DOE25'!J194+'DOE25'!J212+'DOE25'!J230</f>
        <v>291</v>
      </c>
      <c r="G6" s="53">
        <f>'DOE25'!K194+'DOE25'!K212+'DOE25'!K230</f>
        <v>7663</v>
      </c>
      <c r="H6" s="260"/>
    </row>
    <row r="7" spans="1:9" x14ac:dyDescent="0.2">
      <c r="A7" s="32">
        <v>2200</v>
      </c>
      <c r="B7" t="s">
        <v>865</v>
      </c>
      <c r="C7" s="246">
        <f t="shared" si="0"/>
        <v>594925</v>
      </c>
      <c r="D7" s="20">
        <f>'DOE25'!L195+'DOE25'!L213+'DOE25'!L231-F7-G7</f>
        <v>589123</v>
      </c>
      <c r="E7" s="244"/>
      <c r="F7" s="256">
        <f>'DOE25'!J195+'DOE25'!J213+'DOE25'!J231</f>
        <v>5607</v>
      </c>
      <c r="G7" s="53">
        <f>'DOE25'!K195+'DOE25'!K213+'DOE25'!K231</f>
        <v>195</v>
      </c>
      <c r="H7" s="260"/>
    </row>
    <row r="8" spans="1:9" x14ac:dyDescent="0.2">
      <c r="A8" s="32">
        <v>2300</v>
      </c>
      <c r="B8" t="s">
        <v>833</v>
      </c>
      <c r="C8" s="246">
        <f t="shared" si="0"/>
        <v>688950</v>
      </c>
      <c r="D8" s="244"/>
      <c r="E8" s="20">
        <f>'DOE25'!L196+'DOE25'!L214+'DOE25'!L232-F8-G8-D9-D11</f>
        <v>681984</v>
      </c>
      <c r="F8" s="256">
        <f>'DOE25'!J196+'DOE25'!J214+'DOE25'!J232</f>
        <v>0</v>
      </c>
      <c r="G8" s="53">
        <f>'DOE25'!K196+'DOE25'!K214+'DOE25'!K232</f>
        <v>6966</v>
      </c>
      <c r="H8" s="260"/>
    </row>
    <row r="9" spans="1:9" x14ac:dyDescent="0.2">
      <c r="A9" s="32">
        <v>2310</v>
      </c>
      <c r="B9" t="s">
        <v>849</v>
      </c>
      <c r="C9" s="246">
        <f t="shared" si="0"/>
        <v>140641</v>
      </c>
      <c r="D9" s="245">
        <v>140641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15896</v>
      </c>
      <c r="D10" s="244"/>
      <c r="E10" s="245">
        <v>15896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474801</v>
      </c>
      <c r="D11" s="245">
        <v>474801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1762182</v>
      </c>
      <c r="D12" s="20">
        <f>'DOE25'!L197+'DOE25'!L215+'DOE25'!L233-F12-G12</f>
        <v>1747053</v>
      </c>
      <c r="E12" s="244"/>
      <c r="F12" s="256">
        <f>'DOE25'!J197+'DOE25'!J215+'DOE25'!J233</f>
        <v>5799</v>
      </c>
      <c r="G12" s="53">
        <f>'DOE25'!K197+'DOE25'!K215+'DOE25'!K233</f>
        <v>9330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310083</v>
      </c>
      <c r="D13" s="244"/>
      <c r="E13" s="20">
        <f>'DOE25'!L198+'DOE25'!L216+'DOE25'!L234-F13-G13</f>
        <v>302972</v>
      </c>
      <c r="F13" s="256">
        <f>'DOE25'!J198+'DOE25'!J216+'DOE25'!J234</f>
        <v>7111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2854113</v>
      </c>
      <c r="D14" s="20">
        <f>'DOE25'!L199+'DOE25'!L217+'DOE25'!L235-F14-G14</f>
        <v>2818620</v>
      </c>
      <c r="E14" s="244"/>
      <c r="F14" s="256">
        <f>'DOE25'!J199+'DOE25'!J217+'DOE25'!J235</f>
        <v>34598</v>
      </c>
      <c r="G14" s="53">
        <f>'DOE25'!K199+'DOE25'!K217+'DOE25'!K235</f>
        <v>895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2171336</v>
      </c>
      <c r="D15" s="20">
        <f>'DOE25'!L200+'DOE25'!L218+'DOE25'!L236-F15-G15</f>
        <v>2171336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377780</v>
      </c>
      <c r="D16" s="244"/>
      <c r="E16" s="20">
        <f>'DOE25'!L201+'DOE25'!L219+'DOE25'!L237-F16-G16</f>
        <v>377780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563607</v>
      </c>
      <c r="D29" s="20">
        <f>'DOE25'!L350+'DOE25'!L351+'DOE25'!L352-'DOE25'!I359-F29-G29</f>
        <v>559546</v>
      </c>
      <c r="E29" s="244"/>
      <c r="F29" s="256">
        <f>'DOE25'!J350+'DOE25'!J351+'DOE25'!J352</f>
        <v>3986</v>
      </c>
      <c r="G29" s="53">
        <f>'DOE25'!K350+'DOE25'!K351+'DOE25'!K352</f>
        <v>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987724</v>
      </c>
      <c r="D31" s="20">
        <f>'DOE25'!L282+'DOE25'!L301+'DOE25'!L320+'DOE25'!L325+'DOE25'!L326+'DOE25'!L327-F31-G31</f>
        <v>968966</v>
      </c>
      <c r="E31" s="244"/>
      <c r="F31" s="256">
        <f>'DOE25'!J282+'DOE25'!J301+'DOE25'!J320+'DOE25'!J325+'DOE25'!J326+'DOE25'!J327</f>
        <v>17283</v>
      </c>
      <c r="G31" s="53">
        <f>'DOE25'!K282+'DOE25'!K301+'DOE25'!K320+'DOE25'!K325+'DOE25'!K326+'DOE25'!K327</f>
        <v>1475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31164379</v>
      </c>
      <c r="E33" s="247">
        <f>SUM(E5:E31)</f>
        <v>1378632</v>
      </c>
      <c r="F33" s="247">
        <f>SUM(F5:F31)</f>
        <v>227986</v>
      </c>
      <c r="G33" s="247">
        <f>SUM(G5:G31)</f>
        <v>52467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1378632</v>
      </c>
      <c r="E35" s="250"/>
    </row>
    <row r="36" spans="2:8" ht="12" thickTop="1" x14ac:dyDescent="0.2">
      <c r="B36" t="s">
        <v>846</v>
      </c>
      <c r="D36" s="20">
        <f>D33</f>
        <v>31164379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791D-11C5-46CD-B851-9B850FBE4141}">
  <sheetPr transitionEvaluation="1" codeName="Sheet2">
    <tabColor indexed="10"/>
  </sheetPr>
  <dimension ref="A1:I156"/>
  <sheetViews>
    <sheetView zoomScale="75" workbookViewId="0">
      <pane ySplit="2" topLeftCell="A6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Monadnock Regional 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998919</v>
      </c>
      <c r="D9" s="95">
        <f>'DOE25'!G9</f>
        <v>595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685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1041436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16767</v>
      </c>
      <c r="D13" s="95">
        <f>'DOE25'!G13</f>
        <v>39455</v>
      </c>
      <c r="E13" s="95">
        <f>'DOE25'!H13</f>
        <v>-93824</v>
      </c>
      <c r="F13" s="95">
        <f>'DOE25'!I13</f>
        <v>593682</v>
      </c>
      <c r="G13" s="95">
        <f>'DOE25'!J13</f>
        <v>1185728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10106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2067913</v>
      </c>
      <c r="D19" s="41">
        <f>SUM(D9:D18)</f>
        <v>40050</v>
      </c>
      <c r="E19" s="41">
        <f>SUM(E9:E18)</f>
        <v>-93824</v>
      </c>
      <c r="F19" s="41">
        <f>SUM(F9:F18)</f>
        <v>593682</v>
      </c>
      <c r="G19" s="41">
        <f>SUM(G9:G18)</f>
        <v>1185728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569759</v>
      </c>
      <c r="D22" s="95">
        <f>'DOE25'!G23</f>
        <v>0</v>
      </c>
      <c r="E22" s="95">
        <f>'DOE25'!H23</f>
        <v>30475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39925</v>
      </c>
      <c r="D23" s="95">
        <f>'DOE25'!G24</f>
        <v>-39925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243161</v>
      </c>
      <c r="D24" s="95">
        <f>'DOE25'!G25</f>
        <v>0</v>
      </c>
      <c r="E24" s="95">
        <f>'DOE25'!H25</f>
        <v>45541</v>
      </c>
      <c r="F24" s="95">
        <f>'DOE25'!I25</f>
        <v>144210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21961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449273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643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1302118</v>
      </c>
      <c r="D32" s="41">
        <f>SUM(D22:D31)</f>
        <v>-17964</v>
      </c>
      <c r="E32" s="41">
        <f>SUM(E22:E31)</f>
        <v>76659</v>
      </c>
      <c r="F32" s="41">
        <f>SUM(F22:F31)</f>
        <v>144210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16386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942782</v>
      </c>
      <c r="G37" s="95">
        <f>'DOE25'!J38</f>
        <v>900245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58014</v>
      </c>
      <c r="E40" s="95">
        <f>'DOE25'!H41</f>
        <v>-170483</v>
      </c>
      <c r="F40" s="95">
        <f>'DOE25'!I41</f>
        <v>-493310</v>
      </c>
      <c r="G40" s="95">
        <f>'DOE25'!J41</f>
        <v>285483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749409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765795</v>
      </c>
      <c r="D42" s="41">
        <f>SUM(D34:D41)</f>
        <v>58014</v>
      </c>
      <c r="E42" s="41">
        <f>SUM(E34:E41)</f>
        <v>-170483</v>
      </c>
      <c r="F42" s="41">
        <f>SUM(F34:F41)</f>
        <v>449472</v>
      </c>
      <c r="G42" s="41">
        <f>SUM(G34:G41)</f>
        <v>1185728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2067913</v>
      </c>
      <c r="D43" s="41">
        <f>D42+D32</f>
        <v>40050</v>
      </c>
      <c r="E43" s="41">
        <f>E42+E32</f>
        <v>-93824</v>
      </c>
      <c r="F43" s="41">
        <f>F42+F32</f>
        <v>593682</v>
      </c>
      <c r="G43" s="41">
        <f>G42+G32</f>
        <v>1185728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18260162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209447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38130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3515</v>
      </c>
      <c r="D51" s="95">
        <f>'DOE25'!G88</f>
        <v>77</v>
      </c>
      <c r="E51" s="95">
        <f>'DOE25'!H88</f>
        <v>0</v>
      </c>
      <c r="F51" s="95">
        <f>'DOE25'!I88</f>
        <v>0</v>
      </c>
      <c r="G51" s="95">
        <f>'DOE25'!J88</f>
        <v>1796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521600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71438</v>
      </c>
      <c r="D53" s="95">
        <f>SUM('DOE25'!G90:G102)</f>
        <v>0</v>
      </c>
      <c r="E53" s="95">
        <f>SUM('DOE25'!H90:H102)</f>
        <v>6257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284400</v>
      </c>
      <c r="D54" s="130">
        <f>SUM(D49:D53)</f>
        <v>521677</v>
      </c>
      <c r="E54" s="130">
        <f>SUM(E49:E53)</f>
        <v>44387</v>
      </c>
      <c r="F54" s="130">
        <f>SUM(F49:F53)</f>
        <v>0</v>
      </c>
      <c r="G54" s="130">
        <f>SUM(G49:G53)</f>
        <v>1796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18544562</v>
      </c>
      <c r="D55" s="22">
        <f>D48+D54</f>
        <v>521677</v>
      </c>
      <c r="E55" s="22">
        <f>E48+E54</f>
        <v>44387</v>
      </c>
      <c r="F55" s="22">
        <f>F48+F54</f>
        <v>0</v>
      </c>
      <c r="G55" s="22">
        <f>G48+G54</f>
        <v>1796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10441886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2744737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378724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3712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13569059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143930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380289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4960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9343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529179</v>
      </c>
      <c r="D70" s="130">
        <f>SUM(D64:D69)</f>
        <v>9343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13400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14098238</v>
      </c>
      <c r="D73" s="130">
        <f>SUM(D71:D72)+D70+D62</f>
        <v>9343</v>
      </c>
      <c r="E73" s="130">
        <f>SUM(E71:E72)+E70+E62</f>
        <v>13400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335541</v>
      </c>
      <c r="D80" s="95">
        <f>SUM('DOE25'!G145:G153)</f>
        <v>443216</v>
      </c>
      <c r="E80" s="95">
        <f>SUM('DOE25'!H145:H153)</f>
        <v>805237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335541</v>
      </c>
      <c r="D83" s="131">
        <f>SUM(D77:D82)</f>
        <v>443216</v>
      </c>
      <c r="E83" s="131">
        <f>SUM(E77:E82)</f>
        <v>805237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809277</v>
      </c>
      <c r="G88" s="95">
        <f>'DOE25'!J171</f>
        <v>32555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42468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42468</v>
      </c>
      <c r="D95" s="86">
        <f>SUM(D85:D94)</f>
        <v>0</v>
      </c>
      <c r="E95" s="86">
        <f>SUM(E85:E94)</f>
        <v>0</v>
      </c>
      <c r="F95" s="86">
        <f>SUM(F85:F94)</f>
        <v>809277</v>
      </c>
      <c r="G95" s="86">
        <f>SUM(G85:G94)</f>
        <v>32555</v>
      </c>
    </row>
    <row r="96" spans="1:7" ht="12.75" thickTop="1" thickBot="1" x14ac:dyDescent="0.25">
      <c r="A96" s="33" t="s">
        <v>796</v>
      </c>
      <c r="C96" s="86">
        <f>C55+C73+C83+C95</f>
        <v>33020809</v>
      </c>
      <c r="D96" s="86">
        <f>D55+D73+D83+D95</f>
        <v>974236</v>
      </c>
      <c r="E96" s="86">
        <f>E55+E73+E83+E95</f>
        <v>863024</v>
      </c>
      <c r="F96" s="86">
        <f>F55+F73+F83+F95</f>
        <v>809277</v>
      </c>
      <c r="G96" s="86">
        <f>G55+G73+G95</f>
        <v>34351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11439497</v>
      </c>
      <c r="D101" s="24" t="s">
        <v>312</v>
      </c>
      <c r="E101" s="95">
        <f>('DOE25'!L268)+('DOE25'!L287)+('DOE25'!L306)</f>
        <v>710361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8113642</v>
      </c>
      <c r="D102" s="24" t="s">
        <v>312</v>
      </c>
      <c r="E102" s="95">
        <f>('DOE25'!L269)+('DOE25'!L288)+('DOE25'!L307)</f>
        <v>2149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48485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324750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19926374</v>
      </c>
      <c r="D107" s="86">
        <f>SUM(D101:D106)</f>
        <v>0</v>
      </c>
      <c r="E107" s="86">
        <f>SUM(E101:E106)</f>
        <v>712510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1955052</v>
      </c>
      <c r="D110" s="24" t="s">
        <v>312</v>
      </c>
      <c r="E110" s="95">
        <f>+('DOE25'!L273)+('DOE25'!L292)+('DOE25'!L311)</f>
        <v>11003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594925</v>
      </c>
      <c r="D111" s="24" t="s">
        <v>312</v>
      </c>
      <c r="E111" s="95">
        <f>+('DOE25'!L274)+('DOE25'!L293)+('DOE25'!L312)</f>
        <v>263211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1304392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1762182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310083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2854113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2171336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377780</v>
      </c>
      <c r="D117" s="24" t="s">
        <v>312</v>
      </c>
      <c r="E117" s="95">
        <f>+('DOE25'!L280)+('DOE25'!L299)+('DOE25'!L318)</f>
        <v>1000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977474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11329863</v>
      </c>
      <c r="D120" s="86">
        <f>SUM(D110:D119)</f>
        <v>977474</v>
      </c>
      <c r="E120" s="86">
        <f>SUM(E110:E119)</f>
        <v>275214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1302586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45783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809277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1409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32942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841832</v>
      </c>
      <c r="D136" s="141">
        <f>SUM(D122:D135)</f>
        <v>0</v>
      </c>
      <c r="E136" s="141">
        <f>SUM(E122:E135)</f>
        <v>45783</v>
      </c>
      <c r="F136" s="141">
        <f>SUM(F122:F135)</f>
        <v>1302586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32098069</v>
      </c>
      <c r="D137" s="86">
        <f>(D107+D120+D136)</f>
        <v>977474</v>
      </c>
      <c r="E137" s="86">
        <f>(E107+E120+E136)</f>
        <v>1033507</v>
      </c>
      <c r="F137" s="86">
        <f>(F107+F120+F136)</f>
        <v>1302586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C080-9906-43DA-AFD7-011511E869BB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 xml:space="preserve">Monadnock Regional 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15424</v>
      </c>
    </row>
    <row r="5" spans="1:4" x14ac:dyDescent="0.2">
      <c r="B5" t="s">
        <v>735</v>
      </c>
      <c r="C5" s="179">
        <f>IF('DOE25'!G655+'DOE25'!G660=0,0,ROUND('DOE25'!G662,0))</f>
        <v>13833</v>
      </c>
    </row>
    <row r="6" spans="1:4" x14ac:dyDescent="0.2">
      <c r="B6" t="s">
        <v>62</v>
      </c>
      <c r="C6" s="179">
        <f>IF('DOE25'!H655+'DOE25'!H660=0,0,ROUND('DOE25'!H662,0))</f>
        <v>16954</v>
      </c>
    </row>
    <row r="7" spans="1:4" x14ac:dyDescent="0.2">
      <c r="B7" t="s">
        <v>736</v>
      </c>
      <c r="C7" s="179">
        <f>IF('DOE25'!I655+'DOE25'!I660=0,0,ROUND('DOE25'!I662,0))</f>
        <v>15645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12149858</v>
      </c>
      <c r="D10" s="182">
        <f>ROUND((C10/$C$28)*100,1)</f>
        <v>37.200000000000003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8115791</v>
      </c>
      <c r="D11" s="182">
        <f>ROUND((C11/$C$28)*100,1)</f>
        <v>24.8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48485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324750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1966055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858136</v>
      </c>
      <c r="D16" s="182">
        <f t="shared" si="0"/>
        <v>2.6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1683172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1762182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310083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2854113</v>
      </c>
      <c r="D20" s="182">
        <f t="shared" si="0"/>
        <v>8.6999999999999993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2171336</v>
      </c>
      <c r="D21" s="182">
        <f t="shared" si="0"/>
        <v>6.6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455874</v>
      </c>
      <c r="D27" s="182">
        <f t="shared" si="0"/>
        <v>1.4</v>
      </c>
    </row>
    <row r="28" spans="1:4" x14ac:dyDescent="0.2">
      <c r="B28" s="187" t="s">
        <v>754</v>
      </c>
      <c r="C28" s="180">
        <f>SUM(C10:C27)</f>
        <v>32699835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1302586</v>
      </c>
    </row>
    <row r="30" spans="1:4" x14ac:dyDescent="0.2">
      <c r="B30" s="187" t="s">
        <v>760</v>
      </c>
      <c r="C30" s="180">
        <f>SUM(C28:C29)</f>
        <v>34002421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18260162</v>
      </c>
      <c r="D35" s="182">
        <f t="shared" ref="D35:D40" si="1">ROUND((C35/$C$41)*100,1)</f>
        <v>53.2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330660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13565347</v>
      </c>
      <c r="D37" s="182">
        <f t="shared" si="1"/>
        <v>39.6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555634</v>
      </c>
      <c r="D38" s="182">
        <f t="shared" si="1"/>
        <v>1.6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1583994</v>
      </c>
      <c r="D39" s="182">
        <f t="shared" si="1"/>
        <v>4.5999999999999996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34295797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E9F2-645D-4367-9DB5-7FBE25963FE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801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798</v>
      </c>
      <c r="B2" s="293"/>
      <c r="C2" s="293"/>
      <c r="D2" s="293"/>
      <c r="E2" s="293"/>
      <c r="F2" s="290" t="str">
        <f>'DOE25'!A2</f>
        <v xml:space="preserve">Monadnock Regional 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88" t="s">
        <v>802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30A" sheet="1" objects="1" scenarios="1"/>
  <mergeCells count="223">
    <mergeCell ref="C26:M26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66:M66"/>
    <mergeCell ref="C67:M67"/>
    <mergeCell ref="C68:M68"/>
    <mergeCell ref="C69:M69"/>
    <mergeCell ref="C87:M87"/>
    <mergeCell ref="C88:M88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1:M61"/>
    <mergeCell ref="C53:M53"/>
    <mergeCell ref="C54:M54"/>
    <mergeCell ref="C55:M55"/>
    <mergeCell ref="C56:M56"/>
    <mergeCell ref="C57:M57"/>
    <mergeCell ref="C59:M59"/>
    <mergeCell ref="C60:M60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62:M62"/>
    <mergeCell ref="C63:M63"/>
    <mergeCell ref="C18:M18"/>
    <mergeCell ref="C19:M19"/>
    <mergeCell ref="C52:M52"/>
    <mergeCell ref="C50:M50"/>
    <mergeCell ref="C47:M47"/>
    <mergeCell ref="C48:M48"/>
    <mergeCell ref="C49:M49"/>
    <mergeCell ref="C51:M51"/>
    <mergeCell ref="C5:M5"/>
    <mergeCell ref="C6:M6"/>
    <mergeCell ref="C7:M7"/>
    <mergeCell ref="C8:M8"/>
    <mergeCell ref="A2:E2"/>
    <mergeCell ref="C20:M20"/>
    <mergeCell ref="C30:M30"/>
    <mergeCell ref="C31:M31"/>
    <mergeCell ref="P31:Z31"/>
    <mergeCell ref="AC31:AM31"/>
    <mergeCell ref="AC30:AM30"/>
    <mergeCell ref="C10:M10"/>
    <mergeCell ref="C11:M11"/>
    <mergeCell ref="C12:M12"/>
    <mergeCell ref="C29:M29"/>
    <mergeCell ref="C25:M25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9:M9"/>
    <mergeCell ref="P32:Z32"/>
    <mergeCell ref="P30:Z30"/>
    <mergeCell ref="CP29:CZ29"/>
    <mergeCell ref="DC29:DM29"/>
    <mergeCell ref="DP29:DZ29"/>
    <mergeCell ref="EC29:EM29"/>
    <mergeCell ref="CC30:CM30"/>
    <mergeCell ref="BC29:BM29"/>
    <mergeCell ref="BP29:BZ29"/>
    <mergeCell ref="CC29:CM29"/>
    <mergeCell ref="BC30:BM30"/>
    <mergeCell ref="BP30:BZ30"/>
    <mergeCell ref="AP30:AZ30"/>
    <mergeCell ref="C33:M33"/>
    <mergeCell ref="C37:M37"/>
    <mergeCell ref="C38:M38"/>
    <mergeCell ref="AC32:AM32"/>
    <mergeCell ref="AP32:AZ32"/>
    <mergeCell ref="AC38:AM38"/>
    <mergeCell ref="AP38:AZ38"/>
    <mergeCell ref="P38:Z38"/>
    <mergeCell ref="AP31:AZ31"/>
    <mergeCell ref="C39:M39"/>
    <mergeCell ref="C32:M32"/>
    <mergeCell ref="HC29:HM29"/>
    <mergeCell ref="HP29:HZ29"/>
    <mergeCell ref="EC31:EM31"/>
    <mergeCell ref="EP31:EZ31"/>
    <mergeCell ref="FC31:FM31"/>
    <mergeCell ref="FP31:FZ31"/>
    <mergeCell ref="CC31:CM31"/>
    <mergeCell ref="CP31:CZ31"/>
    <mergeCell ref="IC30:IM30"/>
    <mergeCell ref="IP30:IV30"/>
    <mergeCell ref="IC29:IM29"/>
    <mergeCell ref="IC31:IM31"/>
    <mergeCell ref="GP31:GZ31"/>
    <mergeCell ref="HC31:HM31"/>
    <mergeCell ref="HP31:HZ31"/>
    <mergeCell ref="FP30:FZ30"/>
    <mergeCell ref="GC31:GM31"/>
    <mergeCell ref="IP29:IV29"/>
    <mergeCell ref="GC30:GM30"/>
    <mergeCell ref="GP30:GZ30"/>
    <mergeCell ref="FP29:FZ29"/>
    <mergeCell ref="GC29:GM29"/>
    <mergeCell ref="GP29:GZ29"/>
    <mergeCell ref="HC30:HM30"/>
    <mergeCell ref="HP30:HZ30"/>
    <mergeCell ref="BC31:BM31"/>
    <mergeCell ref="BC32:BM32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GC32:GM32"/>
    <mergeCell ref="GP32:GZ32"/>
    <mergeCell ref="FC32:FM32"/>
    <mergeCell ref="BC39:BM39"/>
    <mergeCell ref="BP31:BZ31"/>
    <mergeCell ref="BP38:BZ38"/>
    <mergeCell ref="BP32:BZ32"/>
    <mergeCell ref="BC38:BM38"/>
    <mergeCell ref="DC31:DM31"/>
    <mergeCell ref="DP31:DZ31"/>
    <mergeCell ref="CC38:CM38"/>
    <mergeCell ref="CC32:CM32"/>
    <mergeCell ref="CP38:CZ38"/>
    <mergeCell ref="DC38:DM38"/>
    <mergeCell ref="HC32:HM32"/>
    <mergeCell ref="DC32:DM32"/>
    <mergeCell ref="DP32:DZ32"/>
    <mergeCell ref="EC32:EM32"/>
    <mergeCell ref="EP32:EZ32"/>
    <mergeCell ref="FP32:FZ32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P39:Z39"/>
    <mergeCell ref="AC39:AM39"/>
    <mergeCell ref="AP39:AZ39"/>
    <mergeCell ref="BP39:BZ39"/>
    <mergeCell ref="CC39:CM39"/>
    <mergeCell ref="CP39:CZ39"/>
    <mergeCell ref="DC39:DM39"/>
    <mergeCell ref="DP39:DZ39"/>
    <mergeCell ref="EC39:EM39"/>
    <mergeCell ref="GC39:GM39"/>
    <mergeCell ref="FP38:FZ38"/>
    <mergeCell ref="GC38:GM38"/>
    <mergeCell ref="DP38:DZ38"/>
    <mergeCell ref="EC38:EM38"/>
    <mergeCell ref="EP38:EZ38"/>
    <mergeCell ref="FC38:FM38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FC40:FM40"/>
    <mergeCell ref="FP40:FZ40"/>
    <mergeCell ref="CC40:CM40"/>
    <mergeCell ref="CP40:CZ40"/>
    <mergeCell ref="DC40:DM40"/>
    <mergeCell ref="EP40:EZ40"/>
    <mergeCell ref="DP40:DZ40"/>
    <mergeCell ref="C44:M44"/>
    <mergeCell ref="C43:M43"/>
    <mergeCell ref="BC40:BM40"/>
    <mergeCell ref="BP40:BZ40"/>
    <mergeCell ref="AP40:AZ40"/>
    <mergeCell ref="C42:M42"/>
    <mergeCell ref="C41:M41"/>
    <mergeCell ref="C40:M40"/>
    <mergeCell ref="P40:Z40"/>
    <mergeCell ref="AC40:AM4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2011-11-07T18:04:49Z</cp:lastPrinted>
  <dcterms:created xsi:type="dcterms:W3CDTF">1997-12-04T19:04:30Z</dcterms:created>
  <dcterms:modified xsi:type="dcterms:W3CDTF">2025-01-10T20:15:35Z</dcterms:modified>
</cp:coreProperties>
</file>