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B8FE363-9736-4FBD-A9E9-E69A947C49CA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19D11C20-BF3A-4741-A2D8-2A7933DFD20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2" l="1"/>
  <c r="B19" i="12"/>
  <c r="B10" i="12"/>
  <c r="C10" i="12"/>
  <c r="C13" i="12" s="1"/>
  <c r="J458" i="1"/>
  <c r="J460" i="1" s="1"/>
  <c r="J466" i="1" s="1"/>
  <c r="H616" i="1" s="1"/>
  <c r="F109" i="1"/>
  <c r="C37" i="10" s="1"/>
  <c r="H190" i="1"/>
  <c r="H582" i="1"/>
  <c r="K582" i="1" s="1"/>
  <c r="J581" i="1"/>
  <c r="H200" i="1"/>
  <c r="H236" i="1"/>
  <c r="L236" i="1" s="1"/>
  <c r="J49" i="1"/>
  <c r="J462" i="1"/>
  <c r="F196" i="1"/>
  <c r="G196" i="1"/>
  <c r="G89" i="1"/>
  <c r="H581" i="1"/>
  <c r="F9" i="1"/>
  <c r="C9" i="2" s="1"/>
  <c r="C19" i="2" s="1"/>
  <c r="F102" i="1"/>
  <c r="F103" i="1" s="1"/>
  <c r="G41" i="1"/>
  <c r="H151" i="1"/>
  <c r="H147" i="1"/>
  <c r="H146" i="1"/>
  <c r="E80" i="2" s="1"/>
  <c r="F360" i="1"/>
  <c r="F359" i="1"/>
  <c r="I359" i="1" s="1"/>
  <c r="I361" i="1" s="1"/>
  <c r="H624" i="1" s="1"/>
  <c r="H350" i="1"/>
  <c r="L350" i="1" s="1"/>
  <c r="H189" i="1"/>
  <c r="H194" i="1"/>
  <c r="G199" i="1"/>
  <c r="H199" i="1"/>
  <c r="K199" i="1"/>
  <c r="K203" i="1" s="1"/>
  <c r="K249" i="1" s="1"/>
  <c r="K263" i="1" s="1"/>
  <c r="F199" i="1"/>
  <c r="H196" i="1"/>
  <c r="K196" i="1"/>
  <c r="J196" i="1"/>
  <c r="F8" i="13" s="1"/>
  <c r="I196" i="1"/>
  <c r="G195" i="1"/>
  <c r="F195" i="1"/>
  <c r="H195" i="1"/>
  <c r="I194" i="1"/>
  <c r="G194" i="1"/>
  <c r="L194" i="1" s="1"/>
  <c r="F194" i="1"/>
  <c r="G150" i="1"/>
  <c r="G154" i="1" s="1"/>
  <c r="F113" i="1"/>
  <c r="F132" i="1" s="1"/>
  <c r="F128" i="1"/>
  <c r="G128" i="1"/>
  <c r="C60" i="2"/>
  <c r="B2" i="13"/>
  <c r="G8" i="13"/>
  <c r="L214" i="1"/>
  <c r="L232" i="1"/>
  <c r="D39" i="13"/>
  <c r="F13" i="13"/>
  <c r="G13" i="13"/>
  <c r="L198" i="1"/>
  <c r="C19" i="10" s="1"/>
  <c r="L216" i="1"/>
  <c r="L234" i="1"/>
  <c r="E13" i="13" s="1"/>
  <c r="C13" i="13" s="1"/>
  <c r="F16" i="13"/>
  <c r="G16" i="13"/>
  <c r="L201" i="1"/>
  <c r="C117" i="2" s="1"/>
  <c r="L219" i="1"/>
  <c r="L237" i="1"/>
  <c r="E16" i="13"/>
  <c r="F5" i="13"/>
  <c r="G5" i="13"/>
  <c r="L189" i="1"/>
  <c r="C10" i="10" s="1"/>
  <c r="L190" i="1"/>
  <c r="C11" i="10" s="1"/>
  <c r="L191" i="1"/>
  <c r="L192" i="1"/>
  <c r="C104" i="2" s="1"/>
  <c r="L207" i="1"/>
  <c r="L221" i="1" s="1"/>
  <c r="G650" i="1" s="1"/>
  <c r="L208" i="1"/>
  <c r="L209" i="1"/>
  <c r="L210" i="1"/>
  <c r="D5" i="13" s="1"/>
  <c r="L225" i="1"/>
  <c r="L226" i="1"/>
  <c r="L227" i="1"/>
  <c r="L228" i="1"/>
  <c r="F6" i="13"/>
  <c r="G6" i="13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C113" i="2" s="1"/>
  <c r="L215" i="1"/>
  <c r="L233" i="1"/>
  <c r="F14" i="13"/>
  <c r="L199" i="1"/>
  <c r="L217" i="1"/>
  <c r="L235" i="1"/>
  <c r="F15" i="13"/>
  <c r="G15" i="13"/>
  <c r="L218" i="1"/>
  <c r="G640" i="1" s="1"/>
  <c r="F17" i="13"/>
  <c r="D17" i="13" s="1"/>
  <c r="C17" i="13" s="1"/>
  <c r="G17" i="13"/>
  <c r="L243" i="1"/>
  <c r="F18" i="13"/>
  <c r="D18" i="13" s="1"/>
  <c r="C18" i="13" s="1"/>
  <c r="G18" i="13"/>
  <c r="L244" i="1"/>
  <c r="F19" i="13"/>
  <c r="G19" i="13"/>
  <c r="L245" i="1"/>
  <c r="C106" i="2" s="1"/>
  <c r="F29" i="13"/>
  <c r="G29" i="13"/>
  <c r="L351" i="1"/>
  <c r="L352" i="1"/>
  <c r="H651" i="1" s="1"/>
  <c r="J282" i="1"/>
  <c r="J301" i="1"/>
  <c r="J320" i="1"/>
  <c r="F31" i="13" s="1"/>
  <c r="K282" i="1"/>
  <c r="G31" i="13" s="1"/>
  <c r="K301" i="1"/>
  <c r="K330" i="1" s="1"/>
  <c r="K344" i="1" s="1"/>
  <c r="K320" i="1"/>
  <c r="L268" i="1"/>
  <c r="L269" i="1"/>
  <c r="E102" i="2" s="1"/>
  <c r="L270" i="1"/>
  <c r="L271" i="1"/>
  <c r="L273" i="1"/>
  <c r="L274" i="1"/>
  <c r="L275" i="1"/>
  <c r="E112" i="2" s="1"/>
  <c r="L276" i="1"/>
  <c r="E113" i="2" s="1"/>
  <c r="L277" i="1"/>
  <c r="L278" i="1"/>
  <c r="L279" i="1"/>
  <c r="L280" i="1"/>
  <c r="L287" i="1"/>
  <c r="E101" i="2" s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20" i="1" s="1"/>
  <c r="L308" i="1"/>
  <c r="L309" i="1"/>
  <c r="L311" i="1"/>
  <c r="E110" i="2" s="1"/>
  <c r="L312" i="1"/>
  <c r="L313" i="1"/>
  <c r="L314" i="1"/>
  <c r="L315" i="1"/>
  <c r="L316" i="1"/>
  <c r="L317" i="1"/>
  <c r="L318" i="1"/>
  <c r="E117" i="2" s="1"/>
  <c r="L325" i="1"/>
  <c r="L326" i="1"/>
  <c r="L327" i="1"/>
  <c r="L252" i="1"/>
  <c r="H25" i="13" s="1"/>
  <c r="L253" i="1"/>
  <c r="C124" i="2" s="1"/>
  <c r="L333" i="1"/>
  <c r="E123" i="2" s="1"/>
  <c r="E136" i="2" s="1"/>
  <c r="L334" i="1"/>
  <c r="L247" i="1"/>
  <c r="L328" i="1"/>
  <c r="C29" i="10" s="1"/>
  <c r="F22" i="13"/>
  <c r="C22" i="13"/>
  <c r="C16" i="13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C9" i="12"/>
  <c r="B18" i="12"/>
  <c r="B22" i="12"/>
  <c r="A22" i="12" s="1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6" i="1"/>
  <c r="L397" i="1"/>
  <c r="L398" i="1"/>
  <c r="L399" i="1" s="1"/>
  <c r="C132" i="2" s="1"/>
  <c r="L258" i="1"/>
  <c r="J52" i="1"/>
  <c r="G48" i="2"/>
  <c r="G51" i="2"/>
  <c r="G54" i="2" s="1"/>
  <c r="G55" i="2" s="1"/>
  <c r="G53" i="2"/>
  <c r="F2" i="11"/>
  <c r="L603" i="1"/>
  <c r="H653" i="1" s="1"/>
  <c r="L602" i="1"/>
  <c r="G653" i="1"/>
  <c r="L601" i="1"/>
  <c r="F653" i="1" s="1"/>
  <c r="I653" i="1" s="1"/>
  <c r="C40" i="10"/>
  <c r="F52" i="1"/>
  <c r="C35" i="10" s="1"/>
  <c r="G52" i="1"/>
  <c r="H52" i="1"/>
  <c r="I52" i="1"/>
  <c r="F71" i="1"/>
  <c r="F86" i="1"/>
  <c r="C50" i="2" s="1"/>
  <c r="G103" i="1"/>
  <c r="G104" i="1" s="1"/>
  <c r="H71" i="1"/>
  <c r="H86" i="1"/>
  <c r="H104" i="1" s="1"/>
  <c r="H103" i="1"/>
  <c r="I103" i="1"/>
  <c r="I104" i="1"/>
  <c r="J103" i="1"/>
  <c r="J104" i="1" s="1"/>
  <c r="G113" i="1"/>
  <c r="G132" i="1" s="1"/>
  <c r="H113" i="1"/>
  <c r="H132" i="1" s="1"/>
  <c r="H128" i="1"/>
  <c r="I113" i="1"/>
  <c r="I132" i="1" s="1"/>
  <c r="I128" i="1"/>
  <c r="J113" i="1"/>
  <c r="J128" i="1"/>
  <c r="J132" i="1"/>
  <c r="F139" i="1"/>
  <c r="C77" i="2" s="1"/>
  <c r="C83" i="2" s="1"/>
  <c r="F154" i="1"/>
  <c r="G139" i="1"/>
  <c r="D77" i="2" s="1"/>
  <c r="H139" i="1"/>
  <c r="I139" i="1"/>
  <c r="I154" i="1"/>
  <c r="I161" i="1"/>
  <c r="C12" i="10"/>
  <c r="C18" i="10"/>
  <c r="L242" i="1"/>
  <c r="C23" i="10" s="1"/>
  <c r="L324" i="1"/>
  <c r="L246" i="1"/>
  <c r="C25" i="10"/>
  <c r="L260" i="1"/>
  <c r="C26" i="10" s="1"/>
  <c r="L261" i="1"/>
  <c r="L341" i="1"/>
  <c r="E134" i="2" s="1"/>
  <c r="L342" i="1"/>
  <c r="E135" i="2" s="1"/>
  <c r="I655" i="1"/>
  <c r="I660" i="1"/>
  <c r="G652" i="1"/>
  <c r="I659" i="1"/>
  <c r="C6" i="10"/>
  <c r="C5" i="10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F542" i="1" s="1"/>
  <c r="L512" i="1"/>
  <c r="F540" i="1"/>
  <c r="L513" i="1"/>
  <c r="F541" i="1"/>
  <c r="L516" i="1"/>
  <c r="G539" i="1" s="1"/>
  <c r="G542" i="1" s="1"/>
  <c r="L517" i="1"/>
  <c r="G540" i="1"/>
  <c r="L518" i="1"/>
  <c r="G541" i="1"/>
  <c r="L521" i="1"/>
  <c r="H539" i="1"/>
  <c r="L522" i="1"/>
  <c r="H540" i="1"/>
  <c r="L523" i="1"/>
  <c r="H541" i="1" s="1"/>
  <c r="L526" i="1"/>
  <c r="L529" i="1" s="1"/>
  <c r="I539" i="1"/>
  <c r="I542" i="1" s="1"/>
  <c r="L527" i="1"/>
  <c r="I540" i="1"/>
  <c r="L528" i="1"/>
  <c r="I541" i="1" s="1"/>
  <c r="L531" i="1"/>
  <c r="J539" i="1"/>
  <c r="L532" i="1"/>
  <c r="L534" i="1" s="1"/>
  <c r="L533" i="1"/>
  <c r="J541" i="1"/>
  <c r="E124" i="2"/>
  <c r="K262" i="1"/>
  <c r="J262" i="1"/>
  <c r="I262" i="1"/>
  <c r="H262" i="1"/>
  <c r="G262" i="1"/>
  <c r="F262" i="1"/>
  <c r="L262" i="1" s="1"/>
  <c r="A1" i="2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F12" i="2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I444" i="1" s="1"/>
  <c r="C23" i="2"/>
  <c r="C32" i="2" s="1"/>
  <c r="D23" i="2"/>
  <c r="D32" i="2" s="1"/>
  <c r="E23" i="2"/>
  <c r="F23" i="2"/>
  <c r="I441" i="1"/>
  <c r="J24" i="1" s="1"/>
  <c r="G23" i="2" s="1"/>
  <c r="C24" i="2"/>
  <c r="D24" i="2"/>
  <c r="E24" i="2"/>
  <c r="E32" i="2" s="1"/>
  <c r="F24" i="2"/>
  <c r="F32" i="2" s="1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D43" i="2" s="1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E42" i="2"/>
  <c r="E43" i="2" s="1"/>
  <c r="D48" i="2"/>
  <c r="E48" i="2"/>
  <c r="F48" i="2"/>
  <c r="C49" i="2"/>
  <c r="C54" i="2" s="1"/>
  <c r="E49" i="2"/>
  <c r="C51" i="2"/>
  <c r="D51" i="2"/>
  <c r="D54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E70" i="2" s="1"/>
  <c r="E73" i="2" s="1"/>
  <c r="F68" i="2"/>
  <c r="C69" i="2"/>
  <c r="D69" i="2"/>
  <c r="E69" i="2"/>
  <c r="F69" i="2"/>
  <c r="G69" i="2"/>
  <c r="D70" i="2"/>
  <c r="D73" i="2" s="1"/>
  <c r="G70" i="2"/>
  <c r="G73" i="2" s="1"/>
  <c r="C71" i="2"/>
  <c r="D71" i="2"/>
  <c r="E71" i="2"/>
  <c r="C72" i="2"/>
  <c r="E72" i="2"/>
  <c r="F77" i="2"/>
  <c r="F83" i="2" s="1"/>
  <c r="C79" i="2"/>
  <c r="E79" i="2"/>
  <c r="F79" i="2"/>
  <c r="C80" i="2"/>
  <c r="F80" i="2"/>
  <c r="C81" i="2"/>
  <c r="D81" i="2"/>
  <c r="E81" i="2"/>
  <c r="F81" i="2"/>
  <c r="C82" i="2"/>
  <c r="C85" i="2"/>
  <c r="F85" i="2"/>
  <c r="F95" i="2" s="1"/>
  <c r="C86" i="2"/>
  <c r="C95" i="2" s="1"/>
  <c r="F86" i="2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D95" i="2" s="1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1" i="2"/>
  <c r="C103" i="2"/>
  <c r="E103" i="2"/>
  <c r="E104" i="2"/>
  <c r="E105" i="2"/>
  <c r="E106" i="2"/>
  <c r="D107" i="2"/>
  <c r="F107" i="2"/>
  <c r="G107" i="2"/>
  <c r="E111" i="2"/>
  <c r="C114" i="2"/>
  <c r="E114" i="2"/>
  <c r="E115" i="2"/>
  <c r="E116" i="2"/>
  <c r="F120" i="2"/>
  <c r="G120" i="2"/>
  <c r="C122" i="2"/>
  <c r="E122" i="2"/>
  <c r="D126" i="2"/>
  <c r="E126" i="2"/>
  <c r="F126" i="2"/>
  <c r="K411" i="1"/>
  <c r="K419" i="1"/>
  <c r="K426" i="1" s="1"/>
  <c r="G126" i="2" s="1"/>
  <c r="G136" i="2" s="1"/>
  <c r="G137" i="2" s="1"/>
  <c r="K425" i="1"/>
  <c r="L255" i="1"/>
  <c r="C127" i="2"/>
  <c r="E127" i="2"/>
  <c r="L256" i="1"/>
  <c r="C128" i="2"/>
  <c r="L257" i="1"/>
  <c r="C129" i="2" s="1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G490" i="1"/>
  <c r="C153" i="2"/>
  <c r="H490" i="1"/>
  <c r="K490" i="1" s="1"/>
  <c r="I490" i="1"/>
  <c r="E153" i="2" s="1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 s="1"/>
  <c r="F493" i="1"/>
  <c r="K493" i="1" s="1"/>
  <c r="B156" i="2"/>
  <c r="G493" i="1"/>
  <c r="C156" i="2" s="1"/>
  <c r="H493" i="1"/>
  <c r="D156" i="2"/>
  <c r="I493" i="1"/>
  <c r="E156" i="2"/>
  <c r="J493" i="1"/>
  <c r="F156" i="2"/>
  <c r="F19" i="1"/>
  <c r="G607" i="1" s="1"/>
  <c r="G19" i="1"/>
  <c r="G608" i="1" s="1"/>
  <c r="H19" i="1"/>
  <c r="G609" i="1" s="1"/>
  <c r="I19" i="1"/>
  <c r="G610" i="1" s="1"/>
  <c r="F33" i="1"/>
  <c r="G33" i="1"/>
  <c r="H33" i="1"/>
  <c r="I33" i="1"/>
  <c r="F43" i="1"/>
  <c r="G43" i="1"/>
  <c r="G613" i="1" s="1"/>
  <c r="H43" i="1"/>
  <c r="G614" i="1" s="1"/>
  <c r="J614" i="1" s="1"/>
  <c r="I43" i="1"/>
  <c r="G615" i="1" s="1"/>
  <c r="J615" i="1" s="1"/>
  <c r="F44" i="1"/>
  <c r="H607" i="1" s="1"/>
  <c r="I44" i="1"/>
  <c r="H610" i="1" s="1"/>
  <c r="F169" i="1"/>
  <c r="F184" i="1" s="1"/>
  <c r="I169" i="1"/>
  <c r="F175" i="1"/>
  <c r="G175" i="1"/>
  <c r="G184" i="1" s="1"/>
  <c r="H175" i="1"/>
  <c r="H184" i="1" s="1"/>
  <c r="I175" i="1"/>
  <c r="I184" i="1" s="1"/>
  <c r="J175" i="1"/>
  <c r="J184" i="1" s="1"/>
  <c r="F180" i="1"/>
  <c r="G180" i="1"/>
  <c r="H180" i="1"/>
  <c r="I180" i="1"/>
  <c r="I203" i="1"/>
  <c r="I249" i="1" s="1"/>
  <c r="I263" i="1" s="1"/>
  <c r="F221" i="1"/>
  <c r="G221" i="1"/>
  <c r="H221" i="1"/>
  <c r="I221" i="1"/>
  <c r="J221" i="1"/>
  <c r="K221" i="1"/>
  <c r="F239" i="1"/>
  <c r="G239" i="1"/>
  <c r="I239" i="1"/>
  <c r="J239" i="1"/>
  <c r="K239" i="1"/>
  <c r="F248" i="1"/>
  <c r="G248" i="1"/>
  <c r="H248" i="1"/>
  <c r="L248" i="1" s="1"/>
  <c r="I248" i="1"/>
  <c r="J248" i="1"/>
  <c r="K248" i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I330" i="1"/>
  <c r="J330" i="1"/>
  <c r="J344" i="1" s="1"/>
  <c r="I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G399" i="1"/>
  <c r="H399" i="1"/>
  <c r="I399" i="1"/>
  <c r="G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J426" i="1" s="1"/>
  <c r="I426" i="1"/>
  <c r="F438" i="1"/>
  <c r="G438" i="1"/>
  <c r="H438" i="1"/>
  <c r="F444" i="1"/>
  <c r="F451" i="1" s="1"/>
  <c r="H629" i="1" s="1"/>
  <c r="G444" i="1"/>
  <c r="H444" i="1"/>
  <c r="H451" i="1" s="1"/>
  <c r="H631" i="1" s="1"/>
  <c r="F450" i="1"/>
  <c r="G450" i="1"/>
  <c r="G451" i="1" s="1"/>
  <c r="H630" i="1" s="1"/>
  <c r="H450" i="1"/>
  <c r="F460" i="1"/>
  <c r="F466" i="1" s="1"/>
  <c r="H612" i="1" s="1"/>
  <c r="J612" i="1" s="1"/>
  <c r="G460" i="1"/>
  <c r="H460" i="1"/>
  <c r="I460" i="1"/>
  <c r="I466" i="1" s="1"/>
  <c r="H615" i="1" s="1"/>
  <c r="F464" i="1"/>
  <c r="G464" i="1"/>
  <c r="G466" i="1" s="1"/>
  <c r="H613" i="1" s="1"/>
  <c r="H464" i="1"/>
  <c r="I464" i="1"/>
  <c r="J464" i="1"/>
  <c r="H466" i="1"/>
  <c r="H614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J535" i="1" s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I53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H535" i="1"/>
  <c r="K535" i="1"/>
  <c r="L547" i="1"/>
  <c r="L548" i="1"/>
  <c r="L549" i="1"/>
  <c r="L550" i="1" s="1"/>
  <c r="F550" i="1"/>
  <c r="G550" i="1"/>
  <c r="H550" i="1"/>
  <c r="I550" i="1"/>
  <c r="J550" i="1"/>
  <c r="K550" i="1"/>
  <c r="L552" i="1"/>
  <c r="L553" i="1"/>
  <c r="L554" i="1"/>
  <c r="F555" i="1"/>
  <c r="G555" i="1"/>
  <c r="G561" i="1" s="1"/>
  <c r="H555" i="1"/>
  <c r="I555" i="1"/>
  <c r="J555" i="1"/>
  <c r="K555" i="1"/>
  <c r="L555" i="1"/>
  <c r="L557" i="1"/>
  <c r="L560" i="1" s="1"/>
  <c r="L558" i="1"/>
  <c r="L559" i="1"/>
  <c r="F560" i="1"/>
  <c r="F561" i="1" s="1"/>
  <c r="G560" i="1"/>
  <c r="H560" i="1"/>
  <c r="I560" i="1"/>
  <c r="I561" i="1" s="1"/>
  <c r="J560" i="1"/>
  <c r="K560" i="1"/>
  <c r="H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3" i="1"/>
  <c r="K584" i="1"/>
  <c r="K585" i="1"/>
  <c r="K586" i="1"/>
  <c r="K587" i="1"/>
  <c r="H588" i="1"/>
  <c r="I588" i="1"/>
  <c r="H640" i="1" s="1"/>
  <c r="J588" i="1"/>
  <c r="H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12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J630" i="1" s="1"/>
  <c r="G631" i="1"/>
  <c r="G633" i="1"/>
  <c r="G634" i="1"/>
  <c r="J634" i="1" s="1"/>
  <c r="H635" i="1"/>
  <c r="H639" i="1"/>
  <c r="G642" i="1"/>
  <c r="H642" i="1"/>
  <c r="J642" i="1" s="1"/>
  <c r="G643" i="1"/>
  <c r="H643" i="1"/>
  <c r="J643" i="1" s="1"/>
  <c r="G644" i="1"/>
  <c r="H644" i="1"/>
  <c r="J644" i="1"/>
  <c r="G645" i="1"/>
  <c r="H645" i="1"/>
  <c r="J645" i="1" s="1"/>
  <c r="H203" i="1"/>
  <c r="L200" i="1"/>
  <c r="F203" i="1"/>
  <c r="F249" i="1" s="1"/>
  <c r="F263" i="1" s="1"/>
  <c r="J607" i="1" l="1"/>
  <c r="C21" i="10"/>
  <c r="L426" i="1"/>
  <c r="G628" i="1" s="1"/>
  <c r="J628" i="1" s="1"/>
  <c r="E107" i="2"/>
  <c r="E137" i="2" s="1"/>
  <c r="L400" i="1"/>
  <c r="C130" i="2"/>
  <c r="C133" i="2" s="1"/>
  <c r="H652" i="1"/>
  <c r="G641" i="1"/>
  <c r="J641" i="1" s="1"/>
  <c r="J613" i="1"/>
  <c r="L239" i="1"/>
  <c r="H650" i="1" s="1"/>
  <c r="H654" i="1" s="1"/>
  <c r="J633" i="1"/>
  <c r="C38" i="10"/>
  <c r="J631" i="1"/>
  <c r="J637" i="1"/>
  <c r="F33" i="13"/>
  <c r="F137" i="2"/>
  <c r="D55" i="2"/>
  <c r="G36" i="2"/>
  <c r="G42" i="2" s="1"/>
  <c r="J43" i="1"/>
  <c r="I185" i="1"/>
  <c r="G620" i="1" s="1"/>
  <c r="J620" i="1" s="1"/>
  <c r="G96" i="2"/>
  <c r="D6" i="13"/>
  <c r="C6" i="13" s="1"/>
  <c r="C15" i="10"/>
  <c r="C110" i="2"/>
  <c r="L203" i="1"/>
  <c r="G156" i="2"/>
  <c r="J610" i="1"/>
  <c r="H542" i="1"/>
  <c r="K541" i="1"/>
  <c r="K540" i="1"/>
  <c r="E120" i="2"/>
  <c r="C136" i="2"/>
  <c r="A13" i="12"/>
  <c r="C25" i="13"/>
  <c r="H33" i="13"/>
  <c r="J640" i="1"/>
  <c r="D29" i="13"/>
  <c r="C29" i="13" s="1"/>
  <c r="F651" i="1"/>
  <c r="G651" i="1"/>
  <c r="G654" i="1" s="1"/>
  <c r="L354" i="1"/>
  <c r="D119" i="2"/>
  <c r="D120" i="2" s="1"/>
  <c r="D137" i="2" s="1"/>
  <c r="L561" i="1"/>
  <c r="L535" i="1"/>
  <c r="J608" i="1"/>
  <c r="F96" i="2"/>
  <c r="G9" i="2"/>
  <c r="G19" i="2" s="1"/>
  <c r="J19" i="1"/>
  <c r="G611" i="1" s="1"/>
  <c r="J185" i="1"/>
  <c r="C5" i="13"/>
  <c r="D15" i="13"/>
  <c r="C15" i="13" s="1"/>
  <c r="J203" i="1"/>
  <c r="J249" i="1" s="1"/>
  <c r="D153" i="2"/>
  <c r="G153" i="2" s="1"/>
  <c r="C105" i="2"/>
  <c r="H154" i="1"/>
  <c r="H161" i="1" s="1"/>
  <c r="H185" i="1" s="1"/>
  <c r="G619" i="1" s="1"/>
  <c r="J619" i="1" s="1"/>
  <c r="G635" i="1"/>
  <c r="J635" i="1" s="1"/>
  <c r="I438" i="1"/>
  <c r="G632" i="1" s="1"/>
  <c r="H239" i="1"/>
  <c r="H249" i="1" s="1"/>
  <c r="H263" i="1" s="1"/>
  <c r="G203" i="1"/>
  <c r="G249" i="1" s="1"/>
  <c r="G263" i="1" s="1"/>
  <c r="H44" i="1"/>
  <c r="H609" i="1" s="1"/>
  <c r="J609" i="1" s="1"/>
  <c r="C111" i="2"/>
  <c r="C123" i="2"/>
  <c r="C20" i="10"/>
  <c r="G161" i="1"/>
  <c r="G185" i="1" s="1"/>
  <c r="G618" i="1" s="1"/>
  <c r="J618" i="1" s="1"/>
  <c r="L282" i="1"/>
  <c r="G14" i="13"/>
  <c r="G33" i="13" s="1"/>
  <c r="G639" i="1"/>
  <c r="J639" i="1" s="1"/>
  <c r="L374" i="1"/>
  <c r="G626" i="1" s="1"/>
  <c r="J626" i="1" s="1"/>
  <c r="G44" i="1"/>
  <c r="H608" i="1" s="1"/>
  <c r="D80" i="2"/>
  <c r="D83" i="2" s="1"/>
  <c r="K539" i="1"/>
  <c r="D12" i="13"/>
  <c r="C12" i="13" s="1"/>
  <c r="H637" i="1"/>
  <c r="C48" i="2"/>
  <c r="C55" i="2" s="1"/>
  <c r="C96" i="2" s="1"/>
  <c r="F161" i="1"/>
  <c r="F104" i="1"/>
  <c r="F185" i="1" s="1"/>
  <c r="G617" i="1" s="1"/>
  <c r="J617" i="1" s="1"/>
  <c r="L196" i="1"/>
  <c r="I450" i="1"/>
  <c r="I451" i="1" s="1"/>
  <c r="H632" i="1" s="1"/>
  <c r="C115" i="2"/>
  <c r="C102" i="2"/>
  <c r="L343" i="1"/>
  <c r="C16" i="10"/>
  <c r="D19" i="13"/>
  <c r="C19" i="13" s="1"/>
  <c r="J23" i="1"/>
  <c r="J540" i="1"/>
  <c r="J542" i="1" s="1"/>
  <c r="C13" i="10"/>
  <c r="E77" i="2"/>
  <c r="E83" i="2" s="1"/>
  <c r="C24" i="10"/>
  <c r="F652" i="1"/>
  <c r="I652" i="1" s="1"/>
  <c r="E50" i="2"/>
  <c r="E54" i="2" s="1"/>
  <c r="E55" i="2" s="1"/>
  <c r="E96" i="2" s="1"/>
  <c r="C116" i="2"/>
  <c r="G657" i="1" l="1"/>
  <c r="G662" i="1"/>
  <c r="L249" i="1"/>
  <c r="L263" i="1" s="1"/>
  <c r="G622" i="1" s="1"/>
  <c r="J622" i="1" s="1"/>
  <c r="F650" i="1"/>
  <c r="D31" i="13"/>
  <c r="C31" i="13" s="1"/>
  <c r="L330" i="1"/>
  <c r="L344" i="1" s="1"/>
  <c r="G623" i="1" s="1"/>
  <c r="J623" i="1" s="1"/>
  <c r="J33" i="1"/>
  <c r="J44" i="1" s="1"/>
  <c r="H611" i="1" s="1"/>
  <c r="J611" i="1" s="1"/>
  <c r="G22" i="2"/>
  <c r="G32" i="2" s="1"/>
  <c r="G43" i="2" s="1"/>
  <c r="C36" i="10"/>
  <c r="D96" i="2"/>
  <c r="D14" i="13"/>
  <c r="C14" i="13" s="1"/>
  <c r="C27" i="10"/>
  <c r="G625" i="1"/>
  <c r="J625" i="1" s="1"/>
  <c r="J632" i="1"/>
  <c r="G636" i="1"/>
  <c r="G621" i="1"/>
  <c r="J621" i="1" s="1"/>
  <c r="I651" i="1"/>
  <c r="H636" i="1"/>
  <c r="G627" i="1"/>
  <c r="J627" i="1" s="1"/>
  <c r="G616" i="1"/>
  <c r="J616" i="1" s="1"/>
  <c r="K542" i="1"/>
  <c r="C107" i="2"/>
  <c r="C120" i="2"/>
  <c r="C39" i="10"/>
  <c r="H662" i="1"/>
  <c r="H657" i="1"/>
  <c r="C17" i="10"/>
  <c r="E8" i="13"/>
  <c r="C112" i="2"/>
  <c r="J263" i="1"/>
  <c r="H638" i="1"/>
  <c r="J638" i="1" s="1"/>
  <c r="H646" i="1" l="1"/>
  <c r="C41" i="10"/>
  <c r="D33" i="13"/>
  <c r="D36" i="13" s="1"/>
  <c r="D39" i="10"/>
  <c r="J636" i="1"/>
  <c r="C8" i="13"/>
  <c r="E33" i="13"/>
  <c r="D35" i="13" s="1"/>
  <c r="C28" i="10"/>
  <c r="I650" i="1"/>
  <c r="I654" i="1" s="1"/>
  <c r="F654" i="1"/>
  <c r="C137" i="2"/>
  <c r="F662" i="1" l="1"/>
  <c r="C4" i="10" s="1"/>
  <c r="F657" i="1"/>
  <c r="D25" i="10"/>
  <c r="D12" i="10"/>
  <c r="D22" i="10"/>
  <c r="C30" i="10"/>
  <c r="D19" i="10"/>
  <c r="D26" i="10"/>
  <c r="D11" i="10"/>
  <c r="D18" i="10"/>
  <c r="D10" i="10"/>
  <c r="D23" i="10"/>
  <c r="D24" i="10"/>
  <c r="D15" i="10"/>
  <c r="D20" i="10"/>
  <c r="D16" i="10"/>
  <c r="D13" i="10"/>
  <c r="D21" i="10"/>
  <c r="I662" i="1"/>
  <c r="C7" i="10" s="1"/>
  <c r="I657" i="1"/>
  <c r="D17" i="10"/>
  <c r="D40" i="10"/>
  <c r="D37" i="10"/>
  <c r="D35" i="10"/>
  <c r="D38" i="10"/>
  <c r="D27" i="10"/>
  <c r="D36" i="10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46A9FFB-EFB1-4722-952F-0BA7F6B7064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56FE415-5069-41FC-AF22-70742D78152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DF7A3FC-3C0C-433A-9A38-8024B148605F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93C938B-04FA-468F-B4B7-0A0DC5ED518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4D81998-30D4-4F14-B1CE-8A6233976D9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0A060D1-3263-412C-8DA4-8A4E6B9E496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A35DAF8-C665-46E6-B0B7-744227F49F8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8BDF698-2430-4710-99C8-387974AB759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94B1E5E-ED5B-4F6A-A659-A4E629C4098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F2FF9B3-49FC-47C3-8E75-93E3271A25B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675A897-719E-4490-97CD-C27DB91D029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38C0FF3-4546-4546-84E4-4322AAA4934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<sst xmlns="http://schemas.openxmlformats.org/spreadsheetml/2006/main" count="3886" uniqueCount="922">
  <si>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</si>
  <si>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</si>
  <si>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</si>
  <si>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</si>
  <si>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</si>
  <si>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</si>
  <si>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</si>
  <si>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</si>
  <si>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</si>
  <si>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</si>
  <si>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</si>
  <si>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</si>
  <si>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</si>
  <si>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</si>
  <si>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</si>
  <si>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</si>
  <si>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</si>
  <si>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</si>
  <si>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</si>
  <si>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</si>
  <si>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</si>
  <si>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</si>
  <si>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</si>
  <si>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</si>
  <si>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</si>
  <si>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</si>
  <si>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</si>
  <si>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</si>
  <si>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</si>
  <si>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</si>
  <si>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</si>
  <si>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</si>
  <si>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</si>
  <si>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</si>
  <si>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</si>
  <si>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</si>
  <si>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</si>
  <si>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</si>
  <si>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</si>
  <si>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</si>
  <si>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</si>
  <si>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</si>
  <si>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</si>
  <si>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</si>
  <si>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</si>
  <si>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</si>
  <si>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</si>
  <si>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</si>
  <si>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</si>
  <si>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</si>
  <si>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</si>
  <si>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</si>
  <si>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</si>
  <si>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</si>
  <si>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</si>
  <si>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</si>
  <si>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</si>
  <si>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</si>
  <si>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</si>
  <si>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</si>
  <si>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</si>
  <si>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</si>
  <si>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</si>
  <si>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</si>
  <si>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</si>
  <si>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</si>
  <si>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</si>
  <si>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</si>
  <si>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</si>
  <si>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</si>
  <si>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</si>
  <si>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</si>
  <si>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</si>
  <si>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</si>
  <si>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</si>
  <si>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</si>
  <si>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</si>
  <si>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</si>
  <si>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</si>
  <si>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</si>
  <si>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</si>
  <si>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</si>
  <si>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</si>
  <si>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</si>
  <si>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</si>
  <si>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</si>
  <si>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</si>
  <si>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</si>
  <si>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</si>
  <si>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</si>
  <si>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</si>
  <si>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</si>
  <si>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</si>
  <si>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</si>
  <si>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</si>
  <si>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</si>
  <si>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</si>
  <si>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</si>
  <si>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</si>
  <si>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</si>
  <si>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</si>
  <si>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</si>
  <si>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</si>
  <si>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</si>
  <si>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</si>
  <si>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</si>
  <si>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</si>
  <si>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</si>
  <si>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</si>
  <si>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</si>
  <si>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</si>
  <si>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</si>
  <si>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</si>
  <si>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</si>
  <si>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</si>
  <si>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</si>
  <si>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</si>
  <si>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</si>
  <si>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</si>
  <si>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</si>
  <si>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</si>
  <si>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</si>
  <si>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</si>
  <si>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</si>
  <si>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</si>
  <si>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</si>
  <si>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</si>
  <si>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</si>
  <si>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</si>
  <si>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</si>
  <si>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</si>
  <si>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</si>
  <si>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</si>
  <si>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</si>
  <si>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</si>
  <si>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</si>
  <si>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</si>
  <si>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</si>
  <si>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</si>
  <si>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</si>
  <si>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</si>
  <si>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</si>
  <si>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</si>
  <si>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</si>
  <si>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</si>
  <si>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</si>
  <si>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</si>
  <si>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</si>
  <si>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</si>
  <si>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</si>
  <si>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</si>
  <si>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</si>
  <si>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</si>
  <si>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</si>
  <si>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</si>
  <si>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</si>
  <si>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</si>
  <si>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</si>
  <si>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</si>
  <si>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</si>
  <si>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</si>
  <si>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</si>
  <si>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</si>
  <si>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</si>
  <si>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</si>
  <si>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</si>
  <si>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</si>
  <si>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</si>
  <si>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</si>
  <si>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</si>
  <si>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</si>
  <si>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</si>
  <si>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</si>
  <si>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</si>
  <si>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</si>
  <si>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</si>
  <si>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</si>
  <si>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</si>
  <si>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</si>
  <si>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</si>
  <si>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</si>
  <si>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</si>
  <si>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</si>
  <si>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</si>
  <si>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</si>
  <si>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</si>
  <si>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</si>
  <si>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</si>
  <si>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</si>
  <si>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</si>
  <si>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</si>
  <si>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</si>
  <si>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</si>
  <si>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</si>
  <si>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</si>
  <si>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</si>
  <si>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</si>
  <si>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</si>
  <si>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</si>
  <si>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</si>
  <si>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</si>
  <si>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</si>
  <si>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</si>
  <si>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</si>
  <si>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</si>
  <si>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</si>
  <si>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</si>
  <si>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</si>
  <si>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</si>
  <si>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</si>
  <si>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</si>
  <si>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</si>
  <si>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</si>
  <si>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</si>
  <si>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</si>
  <si>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</si>
  <si>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</si>
  <si>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</si>
  <si>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</si>
  <si>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</si>
  <si>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</si>
  <si>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</si>
  <si>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</si>
  <si>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</si>
  <si>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</si>
  <si>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</si>
  <si>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</si>
  <si>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</si>
  <si>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</si>
  <si>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</si>
  <si>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</si>
  <si>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</si>
  <si>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</si>
  <si>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</si>
  <si>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</si>
  <si>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</si>
  <si>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</si>
  <si>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</si>
  <si>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</si>
  <si>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</si>
  <si>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</si>
  <si>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</si>
  <si>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</si>
  <si>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</si>
  <si>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</si>
  <si>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</si>
  <si>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</si>
  <si>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</si>
  <si>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</si>
  <si>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</si>
  <si>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</si>
  <si>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</si>
  <si>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</si>
  <si>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</si>
  <si>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</si>
  <si>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</si>
  <si>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</si>
  <si>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</si>
  <si>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</si>
  <si>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</si>
  <si>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</si>
  <si>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</si>
  <si>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</si>
  <si>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</si>
  <si>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</si>
  <si>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</si>
  <si>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</si>
  <si>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</si>
  <si>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</si>
  <si>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</si>
  <si>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</si>
  <si>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</si>
  <si>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</si>
  <si>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</si>
  <si>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</si>
  <si>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</si>
  <si>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</si>
  <si>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</si>
  <si>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</si>
  <si>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</si>
  <si>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</si>
  <si>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</si>
  <si>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</si>
  <si>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</si>
  <si>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</si>
  <si>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</si>
  <si>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</si>
  <si>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</si>
  <si>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</si>
  <si>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</si>
  <si>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</si>
  <si>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</si>
  <si>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</si>
  <si>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</si>
  <si>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</si>
  <si>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</si>
  <si>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</si>
  <si>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</si>
  <si>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</si>
  <si>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</si>
  <si>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</si>
  <si>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</si>
  <si>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</si>
  <si>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</si>
  <si>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</si>
  <si>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</si>
  <si>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</si>
  <si>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</si>
  <si>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</si>
  <si>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</si>
  <si>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</si>
  <si>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</si>
  <si>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</si>
  <si>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</si>
  <si>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</si>
  <si>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</si>
  <si>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</si>
  <si>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</si>
  <si>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</si>
  <si>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</si>
  <si>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</si>
  <si>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</si>
  <si>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</si>
  <si>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</si>
  <si>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</si>
  <si>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</si>
  <si>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</si>
  <si>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</si>
  <si>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</si>
  <si>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</si>
  <si>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</si>
  <si>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</si>
  <si>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</si>
  <si>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</si>
  <si>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</si>
  <si>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</si>
  <si>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</si>
  <si>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</si>
  <si>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</si>
  <si>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</si>
  <si>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</si>
  <si>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</si>
  <si>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</si>
  <si>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</si>
  <si>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</si>
  <si>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</si>
  <si>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</si>
  <si>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</si>
  <si>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</si>
  <si>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</si>
  <si>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</si>
  <si>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</si>
  <si>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</si>
  <si>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</si>
  <si>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</si>
  <si>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</si>
  <si>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</si>
  <si>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</si>
  <si>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</si>
  <si>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</si>
  <si>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</si>
  <si>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</si>
  <si>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</si>
  <si>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</si>
  <si>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</si>
  <si>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</si>
  <si>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</si>
  <si>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</si>
  <si>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</si>
  <si>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</si>
  <si>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</si>
  <si>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</si>
  <si>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</si>
  <si>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</si>
  <si>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</si>
  <si>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</si>
  <si>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</si>
  <si>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</si>
  <si>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</si>
  <si>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</si>
  <si>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</si>
  <si>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</si>
  <si>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</si>
  <si>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</si>
  <si>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</si>
  <si>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</si>
  <si>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</si>
  <si>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</si>
  <si>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</si>
  <si>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</si>
  <si>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</si>
  <si>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</si>
  <si>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</si>
  <si>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</si>
  <si>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</si>
  <si>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</si>
  <si>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</si>
  <si>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</si>
  <si>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</si>
  <si>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</si>
  <si>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</si>
  <si>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</si>
  <si>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</si>
  <si>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</si>
  <si>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</si>
  <si>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</si>
  <si>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</si>
  <si>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</si>
  <si>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</si>
  <si>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</si>
  <si>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</si>
  <si>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</si>
  <si>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</si>
  <si>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</si>
  <si>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</si>
  <si>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</si>
  <si>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</si>
  <si>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</si>
  <si>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</si>
  <si>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</si>
  <si>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</si>
  <si>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</si>
  <si>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</si>
  <si>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</si>
  <si>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</si>
  <si>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</si>
  <si>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</si>
  <si>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</si>
  <si>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</si>
  <si>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</si>
  <si>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</si>
  <si>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</si>
  <si>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</si>
  <si>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</si>
  <si>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</si>
  <si>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</si>
  <si>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</si>
  <si>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</si>
  <si>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</si>
  <si>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</si>
  <si>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</si>
  <si>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</si>
  <si>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</si>
  <si>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</si>
  <si>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</si>
  <si>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</si>
  <si>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</si>
  <si>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</si>
  <si>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</si>
  <si>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</si>
  <si>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</si>
  <si>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</si>
  <si>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</si>
  <si>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</si>
  <si>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</si>
  <si>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</si>
  <si>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</si>
  <si>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</si>
  <si>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</si>
  <si>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</si>
  <si>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</si>
  <si>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</si>
  <si>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</si>
  <si>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</si>
  <si>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</si>
  <si>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</si>
  <si>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</si>
  <si>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</si>
  <si>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</si>
  <si>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</si>
  <si>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</si>
  <si>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</si>
  <si>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</si>
  <si>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</si>
  <si>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</si>
  <si>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</si>
  <si>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</si>
  <si>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</si>
  <si>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</si>
  <si>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</si>
  <si>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</si>
  <si>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</si>
  <si>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</si>
  <si>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</si>
  <si>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</si>
  <si>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</si>
  <si>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</si>
  <si>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</si>
  <si>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</si>
  <si>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</si>
  <si>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</si>
  <si>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</si>
  <si>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</si>
  <si>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</si>
  <si>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</si>
  <si>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</si>
  <si>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</si>
  <si>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</si>
  <si>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</si>
  <si>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</si>
  <si>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</si>
  <si>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</si>
  <si>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</si>
  <si>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</si>
  <si>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</si>
  <si>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</si>
  <si>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</si>
  <si>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</si>
  <si>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</si>
  <si>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</si>
  <si>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</si>
  <si>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</si>
  <si>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</si>
  <si>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</si>
  <si>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</si>
  <si>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</si>
  <si>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</si>
  <si>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</si>
  <si>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</si>
  <si>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</si>
  <si>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</si>
  <si>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</si>
  <si>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</si>
  <si>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</si>
  <si>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</si>
  <si>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</si>
  <si>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</si>
  <si>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</si>
  <si>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</si>
  <si>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</si>
  <si>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</si>
  <si>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</si>
  <si>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</si>
  <si>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</si>
  <si>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</si>
  <si>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</si>
  <si>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</si>
  <si>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</si>
  <si>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</si>
  <si>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</si>
  <si>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</si>
  <si>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</si>
  <si>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</si>
  <si>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</si>
  <si>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</si>
  <si>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</si>
  <si>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</si>
  <si>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</si>
  <si>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</si>
  <si>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</si>
  <si>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</si>
  <si>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</si>
  <si>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</si>
  <si>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</si>
  <si>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</si>
  <si>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</si>
  <si>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</si>
  <si>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</si>
  <si>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</si>
  <si>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</si>
  <si>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</si>
  <si>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</si>
  <si>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</si>
  <si>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</si>
  <si>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</si>
  <si>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</si>
  <si>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</si>
  <si>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</si>
  <si>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</si>
  <si>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</si>
  <si>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</si>
  <si>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</si>
  <si>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</si>
  <si>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</si>
  <si>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</si>
  <si>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</si>
  <si>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</si>
  <si>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</si>
  <si>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</si>
  <si>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</si>
  <si>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</si>
  <si>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</si>
  <si>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</si>
  <si>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</si>
  <si>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</si>
  <si>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</si>
  <si>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</si>
  <si>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</si>
  <si>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</si>
  <si>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</si>
  <si>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</si>
  <si>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</si>
  <si>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</si>
  <si>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</si>
  <si>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</si>
  <si>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</si>
  <si>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</si>
  <si>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</si>
  <si>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</si>
  <si>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</si>
  <si>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</si>
  <si>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</si>
  <si>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</si>
  <si>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</si>
  <si>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</si>
  <si>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</si>
  <si>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</si>
  <si>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</si>
  <si>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</si>
  <si>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</si>
  <si>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</si>
  <si>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</si>
  <si>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</si>
  <si>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</si>
  <si>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</si>
  <si>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</si>
  <si>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</si>
  <si>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</si>
  <si>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</si>
  <si>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</si>
  <si>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</si>
  <si>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</si>
  <si>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</si>
  <si>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</si>
  <si>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</si>
  <si>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</si>
  <si>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</si>
  <si>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</si>
  <si>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</si>
  <si>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</si>
  <si>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</si>
  <si>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</si>
  <si>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</si>
  <si>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</si>
  <si>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</si>
  <si>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</si>
  <si>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</si>
  <si>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</si>
  <si>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</si>
  <si>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</si>
  <si>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</si>
  <si>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</si>
  <si>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</si>
  <si>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</si>
  <si>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</si>
  <si>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</si>
  <si>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</si>
  <si>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</si>
  <si>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</si>
  <si>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</si>
  <si>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</si>
  <si>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</si>
  <si>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</si>
  <si>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</si>
  <si>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</si>
  <si>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</si>
  <si>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</si>
  <si>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</si>
  <si>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</si>
  <si>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</si>
  <si>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</si>
  <si>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</si>
  <si>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</si>
  <si>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</si>
  <si>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</si>
  <si>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</si>
  <si>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</si>
  <si>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</si>
  <si>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</si>
  <si>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</si>
  <si>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</si>
  <si>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</si>
  <si>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</si>
  <si>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</si>
  <si>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</si>
  <si>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</si>
  <si>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</si>
  <si>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</si>
  <si>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</si>
  <si>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</si>
  <si>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</si>
  <si>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</si>
  <si>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</si>
  <si>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</si>
  <si>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</si>
  <si>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</si>
  <si>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</si>
  <si>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</si>
  <si>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</si>
  <si>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</si>
  <si>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</si>
  <si>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</si>
  <si>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</si>
  <si>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</si>
  <si>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</si>
  <si>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</si>
  <si>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</si>
  <si>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</si>
  <si>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</si>
  <si>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</si>
  <si>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</si>
  <si>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</si>
  <si>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</si>
  <si>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</si>
  <si>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</si>
  <si>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</si>
  <si>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</si>
  <si>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</si>
  <si>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</si>
  <si>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</si>
  <si>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</si>
  <si>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</si>
  <si>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</si>
  <si>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</si>
  <si>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</si>
  <si>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</si>
  <si>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</si>
  <si>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</si>
  <si>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</si>
  <si>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</si>
  <si>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</si>
  <si>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</si>
  <si>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</si>
  <si>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</si>
  <si>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</si>
  <si>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</si>
  <si>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</si>
  <si>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</si>
  <si>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</si>
  <si>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</si>
  <si>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</si>
  <si>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</si>
  <si>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</si>
  <si>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</si>
  <si>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</si>
  <si>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</si>
  <si>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</si>
  <si>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</si>
  <si>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</si>
  <si>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</si>
  <si>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</si>
  <si>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</si>
  <si>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</si>
  <si>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</si>
  <si>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</si>
  <si>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</si>
  <si>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</si>
  <si>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</si>
  <si>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</si>
  <si>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</si>
  <si>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</si>
  <si>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</si>
  <si>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</si>
  <si>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</si>
  <si>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</si>
  <si>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</si>
  <si>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</si>
  <si>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</si>
  <si>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</si>
  <si>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</si>
  <si>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</si>
  <si>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</si>
  <si>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</si>
  <si>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</si>
  <si>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</si>
  <si>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</si>
  <si>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</si>
  <si>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</si>
  <si>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</si>
  <si>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</si>
  <si>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</si>
  <si>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</si>
  <si>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</si>
  <si>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</si>
  <si>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</si>
  <si>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</si>
  <si>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</si>
  <si>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</si>
  <si>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</si>
  <si>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</si>
  <si>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</si>
  <si>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</si>
  <si>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</si>
  <si>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</si>
  <si>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</si>
  <si>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</si>
  <si>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</si>
  <si>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</si>
  <si>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</si>
  <si>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</si>
  <si>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</si>
  <si>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</si>
  <si>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</si>
  <si>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</si>
  <si>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</si>
  <si>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</si>
  <si>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</si>
  <si>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</si>
  <si>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</si>
  <si>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</si>
  <si>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</si>
  <si>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</si>
  <si>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</si>
  <si>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</si>
  <si>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</si>
  <si>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</si>
  <si>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</si>
  <si>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</si>
  <si>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</si>
  <si>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</si>
  <si>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</si>
  <si>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</si>
  <si>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</si>
  <si>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</si>
  <si>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</si>
  <si>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</si>
  <si>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</si>
  <si>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</si>
  <si>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</si>
  <si>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</si>
  <si>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</si>
  <si>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</si>
  <si>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</si>
  <si>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</si>
  <si>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</si>
  <si>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</si>
  <si>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</si>
  <si>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</si>
  <si>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</si>
  <si>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</si>
  <si>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</si>
  <si>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</si>
  <si>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</si>
  <si>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</si>
  <si>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</si>
  <si>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</si>
  <si>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</si>
  <si>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</si>
  <si>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</si>
  <si>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</si>
  <si>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</si>
  <si>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</si>
  <si>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</si>
  <si>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</si>
  <si>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</si>
  <si>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</si>
  <si>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</si>
  <si>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</si>
  <si>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</si>
  <si>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</si>
  <si>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</si>
  <si>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</si>
  <si>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</si>
  <si>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</si>
  <si>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</si>
  <si>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</si>
  <si>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</si>
  <si>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</si>
  <si>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</si>
  <si>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</si>
  <si>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</si>
  <si>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</si>
  <si>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</si>
  <si>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</si>
  <si>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</si>
  <si>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</si>
  <si>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</si>
  <si>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</si>
  <si>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</si>
  <si>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</si>
  <si>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</si>
  <si>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</si>
  <si>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</si>
  <si>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</si>
  <si>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</si>
  <si>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</si>
  <si>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</si>
  <si>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</si>
  <si>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</si>
  <si>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</si>
  <si>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</si>
  <si>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</si>
  <si>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</si>
  <si>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</si>
  <si>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</si>
  <si>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</si>
  <si>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</si>
  <si>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</si>
  <si>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</si>
  <si>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</si>
  <si>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</si>
  <si>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</si>
  <si>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</si>
  <si>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</si>
  <si>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07-01-2009</t>
  </si>
  <si>
    <t>07-01-2014</t>
  </si>
  <si>
    <t>MONROE SCHOOL SAU 77</t>
  </si>
  <si>
    <t>the $63330. is town appropriation for heating and ventulation work</t>
  </si>
  <si>
    <t>question 1 answer</t>
  </si>
  <si>
    <t>the $63330. is town appropriation for heating and ventulation work                                                63,330.</t>
  </si>
  <si>
    <t>food service                                                                                                                                      15,797.</t>
  </si>
  <si>
    <t>Trust funds                                                                                                                                       30,000</t>
  </si>
  <si>
    <t>Amount paid in fy 10                                                                                                                      119,864</t>
  </si>
  <si>
    <t>Amount transter to balance sheet, funds not spent on heating &amp; ventuiation</t>
  </si>
  <si>
    <t>because project was not finished until FY 12. Town said we could not spend</t>
  </si>
  <si>
    <t>ventulation work , per warrant article.                                                                                            47,670</t>
  </si>
  <si>
    <t>General fund                                                                                                                               $1,649,977.</t>
  </si>
  <si>
    <t>**</t>
  </si>
  <si>
    <t>3  **</t>
  </si>
  <si>
    <t>question 2  answer</t>
  </si>
  <si>
    <t>you are right sorry my error wrong section.</t>
  </si>
  <si>
    <t>question 3  answer</t>
  </si>
  <si>
    <t>The building maintance trust fund ( all the income and expense) when thought this fund.</t>
  </si>
  <si>
    <t>The expense that went thought the general fund, are heating &amp; ventulation  expenses</t>
  </si>
  <si>
    <t>Amount received from town                  $71,000</t>
  </si>
  <si>
    <t xml:space="preserve">Amount spent       page 10 line 6            -23,330               </t>
  </si>
  <si>
    <t>Balance                                                  $ 47,670    transfer to balance sheet work fininshed in FY 12</t>
  </si>
  <si>
    <t>question 4  answer</t>
  </si>
  <si>
    <t>Corrected, you where right.</t>
  </si>
  <si>
    <t>this amount for general fund  expense(in FY 11 ) because it was for heating and in</t>
  </si>
  <si>
    <t xml:space="preserve">Total all funds, adjustment  &amp; FY 10 yr payment                                                                      $1,926,638.      </t>
  </si>
  <si>
    <t>Monroe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</si>
</sst>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A265-EB87-418D-9193-DDFA87E2DDF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921</v>
      </c>
      <c r="B2" s="21">
        <v>365</v>
      </c>
      <c r="C2" s="21">
        <v>365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12106.43+100.05+1158.26</f>
        <v>13364.74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-3688.8</v>
      </c>
      <c r="G12" s="18">
        <v>5794.46</v>
      </c>
      <c r="H12" s="18">
        <v>-2105.67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987.81</v>
      </c>
      <c r="H14" s="18">
        <v>2251.38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9675.9399999999987</v>
      </c>
      <c r="G19" s="41">
        <f>SUM(G9:G18)</f>
        <v>6782.27</v>
      </c>
      <c r="H19" s="41">
        <f>SUM(H9:H18)</f>
        <v>145.71000000000004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83574.44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47670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131244.44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17817.58-11035.31</f>
        <v>6782.2700000000023</v>
      </c>
      <c r="H41" s="18">
        <v>145.71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-121568.5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-121568.5</v>
      </c>
      <c r="G43" s="41">
        <f>SUM(G35:G42)</f>
        <v>6782.2700000000023</v>
      </c>
      <c r="H43" s="41">
        <f>SUM(H35:H42)</f>
        <v>145.71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9675.9400000000023</v>
      </c>
      <c r="G44" s="41">
        <f>G43+G33</f>
        <v>6782.2700000000023</v>
      </c>
      <c r="H44" s="41">
        <f>H43+H33</f>
        <v>145.71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1649977</v>
      </c>
      <c r="G49" s="18">
        <v>15797</v>
      </c>
      <c r="H49" s="18"/>
      <c r="I49" s="18"/>
      <c r="J49" s="18">
        <f>30000</f>
        <v>30000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42842.12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63330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1756149.12</v>
      </c>
      <c r="G52" s="41">
        <f>SUM(G49:G51)</f>
        <v>15797</v>
      </c>
      <c r="H52" s="41">
        <f>SUM(H49:H51)</f>
        <v>0</v>
      </c>
      <c r="I52" s="41">
        <f>SUM(I49:I51)</f>
        <v>0</v>
      </c>
      <c r="J52" s="41">
        <f>SUM(J49:J51)</f>
        <v>30000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444.03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14647.3+179.15</f>
        <v>14826.449999999999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1378.23+129</f>
        <v>1507.23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1951.26</v>
      </c>
      <c r="G103" s="41">
        <f>SUM(G88:G102)</f>
        <v>14826.449999999999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1758100.3800000001</v>
      </c>
      <c r="G104" s="41">
        <f>G52+G103</f>
        <v>30623.449999999997</v>
      </c>
      <c r="H104" s="41">
        <f>H52+H71+H86+H103</f>
        <v>0</v>
      </c>
      <c r="I104" s="41">
        <f>I52+I103</f>
        <v>0</v>
      </c>
      <c r="J104" s="41">
        <f>J52+J103</f>
        <v>30000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270707-9474.82</f>
        <v>261232.18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197245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9474.82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467952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48793.84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340.65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48793.84</v>
      </c>
      <c r="G128" s="41">
        <f>SUM(G115:G127)</f>
        <v>340.65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516745.83999999997</v>
      </c>
      <c r="G132" s="41">
        <f>G113+SUM(G128:G129)</f>
        <v>340.65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11763.28+9510.25</f>
        <v>21273.53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35778.95+6076.82</f>
        <v>41855.769999999997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15197.36+3759.32</f>
        <v>18956.68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21456.19+2116.36+19976</f>
        <v>43548.55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18956.68</v>
      </c>
      <c r="H154" s="41">
        <f>SUM(H142:H153)</f>
        <v>106677.85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184.33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184.33</v>
      </c>
      <c r="G161" s="41">
        <f>G139+G154+SUM(G155:G160)</f>
        <v>18956.68</v>
      </c>
      <c r="H161" s="41">
        <f>H139+H154+SUM(H155:H160)</f>
        <v>106677.85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10000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2285030.5500000003</v>
      </c>
      <c r="G185" s="47">
        <f>G104+G132+G161+G184</f>
        <v>49920.78</v>
      </c>
      <c r="H185" s="47">
        <f>H104+H132+H161+H184</f>
        <v>106677.85</v>
      </c>
      <c r="I185" s="47">
        <f>I104+I132+I161+I184</f>
        <v>0</v>
      </c>
      <c r="J185" s="47">
        <f>J104+J132+J184</f>
        <v>30000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417570.59</v>
      </c>
      <c r="G189" s="18">
        <v>150155.56</v>
      </c>
      <c r="H189" s="18">
        <f>16955.5+619004.5-619004.5</f>
        <v>16955.5</v>
      </c>
      <c r="I189" s="18">
        <v>29556.41</v>
      </c>
      <c r="J189" s="18">
        <v>4979.79</v>
      </c>
      <c r="K189" s="18">
        <v>647</v>
      </c>
      <c r="L189" s="19">
        <f>SUM(F189:K189)</f>
        <v>619864.85000000009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66875.75</v>
      </c>
      <c r="G190" s="18">
        <v>44610.84</v>
      </c>
      <c r="H190" s="18">
        <f>29339.78+210482.1-128843.94-6303.95-10853.45</f>
        <v>93820.540000000008</v>
      </c>
      <c r="I190" s="18">
        <v>704.57</v>
      </c>
      <c r="J190" s="18">
        <v>0</v>
      </c>
      <c r="K190" s="18">
        <v>90</v>
      </c>
      <c r="L190" s="19">
        <f>SUM(F190:K190)</f>
        <v>206101.7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3765</v>
      </c>
      <c r="G192" s="18">
        <v>363.51</v>
      </c>
      <c r="H192" s="18">
        <v>120</v>
      </c>
      <c r="I192" s="18">
        <v>557.49</v>
      </c>
      <c r="J192" s="18">
        <v>0</v>
      </c>
      <c r="K192" s="18">
        <v>560</v>
      </c>
      <c r="L192" s="19">
        <f>SUM(F192:K192)</f>
        <v>5366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6428.75+18896.83</f>
        <v>25325.58</v>
      </c>
      <c r="G194" s="18">
        <f>655.83+10422.49</f>
        <v>11078.32</v>
      </c>
      <c r="H194" s="18">
        <f>11696.17+11272.74+18147.5+2708+645</f>
        <v>44469.41</v>
      </c>
      <c r="I194" s="18">
        <f>1933.66+194.88</f>
        <v>2128.54</v>
      </c>
      <c r="J194" s="18">
        <v>0</v>
      </c>
      <c r="K194" s="18">
        <v>1956.31</v>
      </c>
      <c r="L194" s="19">
        <f t="shared" ref="L194:L200" si="0">SUM(F194:K194)</f>
        <v>84958.159999999989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29779.21</f>
        <v>29779.21</v>
      </c>
      <c r="G195" s="18">
        <f>10316.87+3494.31</f>
        <v>13811.18</v>
      </c>
      <c r="H195" s="18">
        <f>4433.11</f>
        <v>4433.1099999999997</v>
      </c>
      <c r="I195" s="18">
        <v>2318.09</v>
      </c>
      <c r="J195" s="18">
        <v>0</v>
      </c>
      <c r="K195" s="18">
        <v>0</v>
      </c>
      <c r="L195" s="19">
        <f t="shared" si="0"/>
        <v>50341.59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4400+1854.09+534.96+114443.22</f>
        <v>121232.27</v>
      </c>
      <c r="G196" s="18">
        <f>586.62+142.02+40.94+50180.41</f>
        <v>50949.990000000005</v>
      </c>
      <c r="H196" s="18">
        <f>3113.8+484+1540.54+10588+26236.38+7275.44</f>
        <v>49238.16</v>
      </c>
      <c r="I196" s="18">
        <f>46+20.47+37.9+8555.01</f>
        <v>8659.380000000001</v>
      </c>
      <c r="J196" s="18">
        <f>169.99</f>
        <v>169.99</v>
      </c>
      <c r="K196" s="18">
        <f>2739.85+5134.4</f>
        <v>7874.25</v>
      </c>
      <c r="L196" s="19">
        <f t="shared" si="0"/>
        <v>238124.04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65018.69</v>
      </c>
      <c r="G197" s="18">
        <v>29745.46</v>
      </c>
      <c r="H197" s="18"/>
      <c r="I197" s="18">
        <v>85.1</v>
      </c>
      <c r="J197" s="18"/>
      <c r="K197" s="18"/>
      <c r="L197" s="19">
        <f t="shared" si="0"/>
        <v>94849.25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24314.12</f>
        <v>24314.12</v>
      </c>
      <c r="G199" s="18">
        <f>11819.48</f>
        <v>11819.48</v>
      </c>
      <c r="H199" s="18">
        <f>19463.76+1297+1475+4673.16</f>
        <v>26908.92</v>
      </c>
      <c r="I199" s="18">
        <v>44665.18</v>
      </c>
      <c r="J199" s="18">
        <v>995.32</v>
      </c>
      <c r="K199" s="18">
        <f>400</f>
        <v>400</v>
      </c>
      <c r="L199" s="19">
        <f t="shared" si="0"/>
        <v>109103.02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103265.84-55871.51+10853.45</f>
        <v>58247.78</v>
      </c>
      <c r="I200" s="18"/>
      <c r="J200" s="18"/>
      <c r="K200" s="18"/>
      <c r="L200" s="19">
        <f t="shared" si="0"/>
        <v>58247.78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753881.21000000008</v>
      </c>
      <c r="G203" s="41">
        <f t="shared" si="1"/>
        <v>312534.34000000003</v>
      </c>
      <c r="H203" s="41">
        <f t="shared" si="1"/>
        <v>294193.42000000004</v>
      </c>
      <c r="I203" s="41">
        <f t="shared" si="1"/>
        <v>88674.760000000009</v>
      </c>
      <c r="J203" s="41">
        <f t="shared" si="1"/>
        <v>6145.0999999999995</v>
      </c>
      <c r="K203" s="41">
        <f t="shared" si="1"/>
        <v>11527.56</v>
      </c>
      <c r="L203" s="41">
        <f t="shared" si="1"/>
        <v>1466956.3900000001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619004.5</v>
      </c>
      <c r="I225" s="18"/>
      <c r="J225" s="18"/>
      <c r="K225" s="18"/>
      <c r="L225" s="19">
        <f>SUM(F225:K225)</f>
        <v>619004.5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128843.94</v>
      </c>
      <c r="I226" s="18"/>
      <c r="J226" s="18"/>
      <c r="K226" s="18"/>
      <c r="L226" s="19">
        <f>SUM(F226:K226)</f>
        <v>128843.94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22406.639999999999</v>
      </c>
      <c r="I227" s="18"/>
      <c r="J227" s="18"/>
      <c r="K227" s="18"/>
      <c r="L227" s="19">
        <f>SUM(F227:K227)</f>
        <v>22406.639999999999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55871.51+6303.95</f>
        <v>62175.46</v>
      </c>
      <c r="I236" s="18"/>
      <c r="J236" s="18"/>
      <c r="K236" s="18"/>
      <c r="L236" s="19">
        <f t="shared" si="4"/>
        <v>62175.46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832430.53999999992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832430.53999999992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6211</v>
      </c>
      <c r="I247" s="18">
        <v>17119</v>
      </c>
      <c r="J247" s="18"/>
      <c r="K247" s="18"/>
      <c r="L247" s="19">
        <f t="shared" si="6"/>
        <v>23330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6211</v>
      </c>
      <c r="I248" s="41">
        <f t="shared" si="7"/>
        <v>17119</v>
      </c>
      <c r="J248" s="41">
        <f t="shared" si="7"/>
        <v>0</v>
      </c>
      <c r="K248" s="41">
        <f t="shared" si="7"/>
        <v>0</v>
      </c>
      <c r="L248" s="41">
        <f>SUM(F248:K248)</f>
        <v>23330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753881.21000000008</v>
      </c>
      <c r="G249" s="41">
        <f t="shared" si="8"/>
        <v>312534.34000000003</v>
      </c>
      <c r="H249" s="41">
        <f t="shared" si="8"/>
        <v>1132834.96</v>
      </c>
      <c r="I249" s="41">
        <f t="shared" si="8"/>
        <v>105793.76000000001</v>
      </c>
      <c r="J249" s="41">
        <f t="shared" si="8"/>
        <v>6145.0999999999995</v>
      </c>
      <c r="K249" s="41">
        <f t="shared" si="8"/>
        <v>11527.56</v>
      </c>
      <c r="L249" s="41">
        <f t="shared" si="8"/>
        <v>2322716.9300000002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36000</v>
      </c>
      <c r="L252" s="19">
        <f>SUM(F252:K252)</f>
        <v>36000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5040</v>
      </c>
      <c r="L253" s="19">
        <f>SUM(F253:K253)</f>
        <v>5040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41040</v>
      </c>
      <c r="L262" s="41">
        <f t="shared" si="9"/>
        <v>41040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753881.21000000008</v>
      </c>
      <c r="G263" s="42">
        <f t="shared" si="11"/>
        <v>312534.34000000003</v>
      </c>
      <c r="H263" s="42">
        <f t="shared" si="11"/>
        <v>1132834.96</v>
      </c>
      <c r="I263" s="42">
        <f t="shared" si="11"/>
        <v>105793.76000000001</v>
      </c>
      <c r="J263" s="42">
        <f t="shared" si="11"/>
        <v>6145.0999999999995</v>
      </c>
      <c r="K263" s="42">
        <f t="shared" si="11"/>
        <v>52567.56</v>
      </c>
      <c r="L263" s="42">
        <f t="shared" si="11"/>
        <v>2363756.9300000002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23277.97</v>
      </c>
      <c r="G268" s="18">
        <v>851.78</v>
      </c>
      <c r="H268" s="18">
        <v>1069.57</v>
      </c>
      <c r="I268" s="18">
        <v>1200</v>
      </c>
      <c r="J268" s="18">
        <v>5068.1000000000004</v>
      </c>
      <c r="K268" s="18"/>
      <c r="L268" s="19">
        <f>SUM(F268:K268)</f>
        <v>31467.42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12220.36</v>
      </c>
      <c r="G269" s="18">
        <v>9672</v>
      </c>
      <c r="H269" s="18"/>
      <c r="I269" s="18"/>
      <c r="J269" s="18"/>
      <c r="K269" s="18"/>
      <c r="L269" s="19">
        <f>SUM(F269:K269)</f>
        <v>21892.36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21156.19</v>
      </c>
      <c r="I273" s="18"/>
      <c r="J273" s="18"/>
      <c r="K273" s="18"/>
      <c r="L273" s="19">
        <f t="shared" ref="L273:L279" si="12">SUM(F273:K273)</f>
        <v>21156.19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31833.97</v>
      </c>
      <c r="H274" s="18">
        <v>327.91</v>
      </c>
      <c r="I274" s="18"/>
      <c r="J274" s="18"/>
      <c r="K274" s="18"/>
      <c r="L274" s="19">
        <f t="shared" si="12"/>
        <v>32161.88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35498.33</v>
      </c>
      <c r="G282" s="42">
        <f t="shared" si="13"/>
        <v>42357.75</v>
      </c>
      <c r="H282" s="42">
        <f t="shared" si="13"/>
        <v>22553.67</v>
      </c>
      <c r="I282" s="42">
        <f t="shared" si="13"/>
        <v>1200</v>
      </c>
      <c r="J282" s="42">
        <f t="shared" si="13"/>
        <v>5068.1000000000004</v>
      </c>
      <c r="K282" s="42">
        <f t="shared" si="13"/>
        <v>0</v>
      </c>
      <c r="L282" s="41">
        <f t="shared" si="13"/>
        <v>106677.85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35498.33</v>
      </c>
      <c r="G330" s="41">
        <f t="shared" si="20"/>
        <v>42357.75</v>
      </c>
      <c r="H330" s="41">
        <f t="shared" si="20"/>
        <v>22553.67</v>
      </c>
      <c r="I330" s="41">
        <f t="shared" si="20"/>
        <v>1200</v>
      </c>
      <c r="J330" s="41">
        <f t="shared" si="20"/>
        <v>5068.1000000000004</v>
      </c>
      <c r="K330" s="41">
        <f t="shared" si="20"/>
        <v>0</v>
      </c>
      <c r="L330" s="41">
        <f t="shared" si="20"/>
        <v>106677.85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35498.33</v>
      </c>
      <c r="G344" s="41">
        <f>G330</f>
        <v>42357.75</v>
      </c>
      <c r="H344" s="41">
        <f>H330</f>
        <v>22553.67</v>
      </c>
      <c r="I344" s="41">
        <f>I330</f>
        <v>1200</v>
      </c>
      <c r="J344" s="41">
        <f>J330</f>
        <v>5068.1000000000004</v>
      </c>
      <c r="K344" s="47">
        <f>K330+K343</f>
        <v>0</v>
      </c>
      <c r="L344" s="41">
        <f>L330+L343</f>
        <v>106677.85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23245</v>
      </c>
      <c r="G350" s="18">
        <v>18444.13</v>
      </c>
      <c r="H350" s="18">
        <f>151.45+366</f>
        <v>517.45000000000005</v>
      </c>
      <c r="I350" s="18">
        <v>18734.810000000001</v>
      </c>
      <c r="J350" s="18">
        <v>14.7</v>
      </c>
      <c r="K350" s="18"/>
      <c r="L350" s="13">
        <f>SUM(F350:K350)</f>
        <v>60956.09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23245</v>
      </c>
      <c r="G354" s="47">
        <f t="shared" si="22"/>
        <v>18444.13</v>
      </c>
      <c r="H354" s="47">
        <f t="shared" si="22"/>
        <v>517.45000000000005</v>
      </c>
      <c r="I354" s="47">
        <f t="shared" si="22"/>
        <v>18734.810000000001</v>
      </c>
      <c r="J354" s="47">
        <f t="shared" si="22"/>
        <v>14.7</v>
      </c>
      <c r="K354" s="47">
        <f t="shared" si="22"/>
        <v>0</v>
      </c>
      <c r="L354" s="47">
        <f t="shared" si="22"/>
        <v>60956.09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13284.7+3759.32</f>
        <v>17044.02</v>
      </c>
      <c r="G359" s="18"/>
      <c r="H359" s="18"/>
      <c r="I359" s="56">
        <f>SUM(F359:H359)</f>
        <v>17044.02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598.61+1092.18</f>
        <v>1690.79</v>
      </c>
      <c r="G360" s="63"/>
      <c r="H360" s="63"/>
      <c r="I360" s="56">
        <f>SUM(F360:H360)</f>
        <v>1690.79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18734.810000000001</v>
      </c>
      <c r="G361" s="47">
        <f>SUM(G359:G360)</f>
        <v>0</v>
      </c>
      <c r="H361" s="47">
        <f>SUM(H359:H360)</f>
        <v>0</v>
      </c>
      <c r="I361" s="47">
        <f>SUM(I359:I360)</f>
        <v>18734.810000000001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20000</v>
      </c>
      <c r="G388" s="18"/>
      <c r="H388" s="18"/>
      <c r="I388" s="18"/>
      <c r="J388" s="24" t="s">
        <v>312</v>
      </c>
      <c r="K388" s="24" t="s">
        <v>312</v>
      </c>
      <c r="L388" s="56">
        <f t="shared" si="26"/>
        <v>20000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10000</v>
      </c>
      <c r="G390" s="18"/>
      <c r="H390" s="18"/>
      <c r="I390" s="18"/>
      <c r="J390" s="24" t="s">
        <v>312</v>
      </c>
      <c r="K390" s="24" t="s">
        <v>312</v>
      </c>
      <c r="L390" s="56">
        <f t="shared" si="26"/>
        <v>10000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30000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30000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20000</v>
      </c>
      <c r="I414" s="18"/>
      <c r="J414" s="18"/>
      <c r="K414" s="18"/>
      <c r="L414" s="56">
        <f t="shared" si="29"/>
        <v>20000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10000</v>
      </c>
      <c r="L416" s="56">
        <f t="shared" si="29"/>
        <v>10000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20000</v>
      </c>
      <c r="I419" s="47">
        <f t="shared" si="30"/>
        <v>0</v>
      </c>
      <c r="J419" s="47">
        <f t="shared" si="30"/>
        <v>0</v>
      </c>
      <c r="K419" s="47">
        <f t="shared" si="30"/>
        <v>10000</v>
      </c>
      <c r="L419" s="47">
        <f t="shared" si="30"/>
        <v>30000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20000</v>
      </c>
      <c r="I426" s="47">
        <f t="shared" si="32"/>
        <v>0</v>
      </c>
      <c r="J426" s="47">
        <f t="shared" si="32"/>
        <v>0</v>
      </c>
      <c r="K426" s="47">
        <f t="shared" si="32"/>
        <v>10000</v>
      </c>
      <c r="L426" s="47">
        <f t="shared" si="32"/>
        <v>30000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-42842.12</v>
      </c>
      <c r="G455" s="18">
        <v>17817.580000000002</v>
      </c>
      <c r="H455" s="18">
        <v>145.71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2285030.5499999998</v>
      </c>
      <c r="G458" s="18">
        <v>49920.78</v>
      </c>
      <c r="H458" s="18">
        <v>106677.85</v>
      </c>
      <c r="I458" s="18"/>
      <c r="J458" s="18">
        <f>30000</f>
        <v>30000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2285030.5499999998</v>
      </c>
      <c r="G460" s="53">
        <f>SUM(G458:G459)</f>
        <v>49920.78</v>
      </c>
      <c r="H460" s="53">
        <f>SUM(H458:H459)</f>
        <v>106677.85</v>
      </c>
      <c r="I460" s="53">
        <f>SUM(I458:I459)</f>
        <v>0</v>
      </c>
      <c r="J460" s="53">
        <f>SUM(J458:J459)</f>
        <v>30000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2363756.9300000002</v>
      </c>
      <c r="G462" s="18">
        <v>60956.09</v>
      </c>
      <c r="H462" s="18">
        <v>106677.85</v>
      </c>
      <c r="I462" s="18"/>
      <c r="J462" s="18">
        <f>10000+20000</f>
        <v>30000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2363756.9300000002</v>
      </c>
      <c r="G464" s="53">
        <f>SUM(G462:G463)</f>
        <v>60956.09</v>
      </c>
      <c r="H464" s="53">
        <f>SUM(H462:H463)</f>
        <v>106677.85</v>
      </c>
      <c r="I464" s="53">
        <f>SUM(I462:I463)</f>
        <v>0</v>
      </c>
      <c r="J464" s="53">
        <f>SUM(J462:J463)</f>
        <v>30000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-121568.50000000047</v>
      </c>
      <c r="G466" s="53">
        <f>(G455+G460)- G464</f>
        <v>6782.2700000000041</v>
      </c>
      <c r="H466" s="53">
        <f>(H455+H460)- H464</f>
        <v>145.7100000000064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8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180000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144000</v>
      </c>
      <c r="G485" s="18"/>
      <c r="H485" s="18"/>
      <c r="I485" s="18"/>
      <c r="J485" s="18"/>
      <c r="K485" s="53">
        <f>SUM(F485:J485)</f>
        <v>144000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36000</v>
      </c>
      <c r="G487" s="18"/>
      <c r="H487" s="18"/>
      <c r="I487" s="18"/>
      <c r="J487" s="18"/>
      <c r="K487" s="53">
        <f t="shared" si="34"/>
        <v>36000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108000</v>
      </c>
      <c r="G488" s="205"/>
      <c r="H488" s="205"/>
      <c r="I488" s="205"/>
      <c r="J488" s="205"/>
      <c r="K488" s="206">
        <f t="shared" si="34"/>
        <v>108000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7570.36</v>
      </c>
      <c r="G489" s="18"/>
      <c r="H489" s="18"/>
      <c r="I489" s="18"/>
      <c r="J489" s="18"/>
      <c r="K489" s="53">
        <f t="shared" si="34"/>
        <v>7570.36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115570.36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115570.36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36000</v>
      </c>
      <c r="G491" s="205"/>
      <c r="H491" s="205"/>
      <c r="I491" s="205"/>
      <c r="J491" s="205"/>
      <c r="K491" s="206">
        <f t="shared" si="34"/>
        <v>36000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3790.36</v>
      </c>
      <c r="G492" s="18"/>
      <c r="H492" s="18"/>
      <c r="I492" s="18"/>
      <c r="J492" s="18"/>
      <c r="K492" s="53">
        <f t="shared" si="34"/>
        <v>3790.36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39790.36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39790.36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66875.75</v>
      </c>
      <c r="G511" s="18">
        <v>44610.84</v>
      </c>
      <c r="H511" s="18">
        <v>110977.94</v>
      </c>
      <c r="I511" s="18">
        <v>704.57</v>
      </c>
      <c r="J511" s="18"/>
      <c r="K511" s="18">
        <v>90</v>
      </c>
      <c r="L511" s="88">
        <f>SUM(F511:K511)</f>
        <v>223259.1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128843.94</v>
      </c>
      <c r="I513" s="18"/>
      <c r="J513" s="18"/>
      <c r="K513" s="18"/>
      <c r="L513" s="88">
        <f>SUM(F513:K513)</f>
        <v>128843.94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66875.75</v>
      </c>
      <c r="G514" s="108">
        <f t="shared" ref="G514:L514" si="35">SUM(G511:G513)</f>
        <v>44610.84</v>
      </c>
      <c r="H514" s="108">
        <f t="shared" si="35"/>
        <v>239821.88</v>
      </c>
      <c r="I514" s="108">
        <f t="shared" si="35"/>
        <v>704.57</v>
      </c>
      <c r="J514" s="108">
        <f t="shared" si="35"/>
        <v>0</v>
      </c>
      <c r="K514" s="108">
        <f t="shared" si="35"/>
        <v>90</v>
      </c>
      <c r="L514" s="89">
        <f t="shared" si="35"/>
        <v>352103.04000000004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0</v>
      </c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10853.45</v>
      </c>
      <c r="I531" s="18"/>
      <c r="J531" s="18"/>
      <c r="K531" s="18"/>
      <c r="L531" s="88">
        <f>SUM(F531:K531)</f>
        <v>10853.45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6303.95</v>
      </c>
      <c r="I533" s="18"/>
      <c r="J533" s="18"/>
      <c r="K533" s="18"/>
      <c r="L533" s="88">
        <f>SUM(F533:K533)</f>
        <v>6303.95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17157.400000000001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17157.400000000001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66875.75</v>
      </c>
      <c r="G535" s="89">
        <f t="shared" ref="G535:L535" si="40">G514+G519+G524+G529+G534</f>
        <v>44610.84</v>
      </c>
      <c r="H535" s="89">
        <f t="shared" si="40"/>
        <v>256979.28</v>
      </c>
      <c r="I535" s="89">
        <f t="shared" si="40"/>
        <v>704.57</v>
      </c>
      <c r="J535" s="89">
        <f t="shared" si="40"/>
        <v>0</v>
      </c>
      <c r="K535" s="89">
        <f t="shared" si="40"/>
        <v>90</v>
      </c>
      <c r="L535" s="89">
        <f t="shared" si="40"/>
        <v>369260.44000000006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223259.1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10853.45</v>
      </c>
      <c r="K539" s="87">
        <f>SUM(F539:J539)</f>
        <v>234112.55000000002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128843.94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6303.95</v>
      </c>
      <c r="K541" s="87">
        <f>SUM(F541:J541)</f>
        <v>135147.89000000001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352103.04000000004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17157.400000000001</v>
      </c>
      <c r="K542" s="89">
        <f t="shared" si="41"/>
        <v>369260.44000000006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43192</v>
      </c>
      <c r="I565" s="87">
        <f>SUM(F565:H565)</f>
        <v>43192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575812.5</v>
      </c>
      <c r="I566" s="87">
        <f t="shared" ref="I566:I577" si="46">SUM(F566:H566)</f>
        <v>575812.5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15699.58</v>
      </c>
      <c r="G569" s="18"/>
      <c r="H569" s="18">
        <v>56338.64</v>
      </c>
      <c r="I569" s="87">
        <f t="shared" si="46"/>
        <v>72038.22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60316.480000000003</v>
      </c>
      <c r="G570" s="18"/>
      <c r="H570" s="18">
        <v>60970</v>
      </c>
      <c r="I570" s="87">
        <f t="shared" si="46"/>
        <v>121286.48000000001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22406.639999999999</v>
      </c>
      <c r="I575" s="87">
        <f t="shared" si="46"/>
        <v>22406.639999999999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43626.1+1713.61</f>
        <v>45339.71</v>
      </c>
      <c r="I581" s="18"/>
      <c r="J581" s="18">
        <f>53751.13+2120.38</f>
        <v>55871.509999999995</v>
      </c>
      <c r="K581" s="104">
        <f t="shared" ref="K581:K587" si="47">SUM(H581:J581)</f>
        <v>101211.22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10853.45</f>
        <v>10853.45</v>
      </c>
      <c r="I582" s="18"/>
      <c r="J582" s="18">
        <v>6303.95</v>
      </c>
      <c r="K582" s="104">
        <f t="shared" si="47"/>
        <v>17157.400000000001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452</v>
      </c>
      <c r="I584" s="18"/>
      <c r="J584" s="18"/>
      <c r="K584" s="104">
        <f t="shared" si="47"/>
        <v>452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1602.62</v>
      </c>
      <c r="I585" s="18"/>
      <c r="J585" s="18"/>
      <c r="K585" s="104">
        <f t="shared" si="47"/>
        <v>1602.62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58247.780000000006</v>
      </c>
      <c r="I588" s="108">
        <f>SUM(I581:I587)</f>
        <v>0</v>
      </c>
      <c r="J588" s="108">
        <f>SUM(J581:J587)</f>
        <v>62175.459999999992</v>
      </c>
      <c r="K588" s="108">
        <f>SUM(K581:K587)</f>
        <v>120423.23999999999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11213.2</v>
      </c>
      <c r="I594" s="18"/>
      <c r="J594" s="18"/>
      <c r="K594" s="104">
        <f>SUM(H594:J594)</f>
        <v>11213.2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11213.2</v>
      </c>
      <c r="I595" s="108">
        <f>SUM(I592:I594)</f>
        <v>0</v>
      </c>
      <c r="J595" s="108">
        <f>SUM(J592:J594)</f>
        <v>0</v>
      </c>
      <c r="K595" s="108">
        <f>SUM(K592:K594)</f>
        <v>11213.2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9675.9399999999987</v>
      </c>
      <c r="H607" s="109">
        <f>SUM(F44)</f>
        <v>9675.9400000000023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6782.27</v>
      </c>
      <c r="H608" s="109">
        <f>SUM(G44)</f>
        <v>6782.2700000000023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145.71000000000004</v>
      </c>
      <c r="H609" s="109">
        <f>SUM(H44)</f>
        <v>145.71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-121568.5</v>
      </c>
      <c r="H612" s="109">
        <f>F466</f>
        <v>-121568.50000000047</v>
      </c>
      <c r="I612" s="121" t="s">
        <v>106</v>
      </c>
      <c r="J612" s="109">
        <f t="shared" ref="J612:J645" si="49">G612-H612</f>
        <v>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6782.2700000000023</v>
      </c>
      <c r="H613" s="109">
        <f>G466</f>
        <v>6782.2700000000041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145.71</v>
      </c>
      <c r="H614" s="109">
        <f>H466</f>
        <v>145.7100000000064</v>
      </c>
      <c r="I614" s="121" t="s">
        <v>110</v>
      </c>
      <c r="J614" s="109">
        <f t="shared" si="49"/>
        <v>-6.3948846218409017E-12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2285030.5500000003</v>
      </c>
      <c r="H617" s="104">
        <f>SUM(F458)</f>
        <v>2285030.5499999998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49920.78</v>
      </c>
      <c r="H618" s="104">
        <f>SUM(G458)</f>
        <v>49920.78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106677.85</v>
      </c>
      <c r="H619" s="104">
        <f>SUM(H458)</f>
        <v>106677.85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30000</v>
      </c>
      <c r="H621" s="104">
        <f>SUM(J458)</f>
        <v>30000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2363756.9300000002</v>
      </c>
      <c r="H622" s="104">
        <f>SUM(F462)</f>
        <v>2363756.9300000002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106677.85</v>
      </c>
      <c r="H623" s="104">
        <f>SUM(H462)</f>
        <v>106677.85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18734.810000000001</v>
      </c>
      <c r="H624" s="104">
        <f>I361</f>
        <v>18734.810000000001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60956.09</v>
      </c>
      <c r="H625" s="104">
        <f>SUM(G462)</f>
        <v>60956.09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30000</v>
      </c>
      <c r="H627" s="164">
        <f>SUM(J458)</f>
        <v>30000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30000</v>
      </c>
      <c r="H628" s="164">
        <f>SUM(J462)</f>
        <v>30000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30000</v>
      </c>
      <c r="H633" s="104">
        <f>F400</f>
        <v>30000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30000</v>
      </c>
      <c r="H636" s="104">
        <f>L400</f>
        <v>30000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120423.23999999999</v>
      </c>
      <c r="H637" s="104">
        <f>L200+L218+L236</f>
        <v>120423.23999999999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11213.2</v>
      </c>
      <c r="H638" s="104">
        <f>(J249+J330)-(J247+J328)</f>
        <v>11213.2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58247.78</v>
      </c>
      <c r="H639" s="104">
        <f>H588</f>
        <v>58247.780000000006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62175.46</v>
      </c>
      <c r="H641" s="104">
        <f>J588</f>
        <v>62175.459999999992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1634590.3300000003</v>
      </c>
      <c r="G650" s="19">
        <f>(L221+L301+L351)</f>
        <v>0</v>
      </c>
      <c r="H650" s="19">
        <f>(L239+L320+L352)</f>
        <v>832430.53999999992</v>
      </c>
      <c r="I650" s="19">
        <f>SUM(F650:H650)</f>
        <v>2467020.87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14826.449999999999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14826.449999999999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58247.78</v>
      </c>
      <c r="G652" s="19">
        <f>(L218+L298)-(J218+J298)</f>
        <v>0</v>
      </c>
      <c r="H652" s="19">
        <f>(L236+L317)-(J236+J317)</f>
        <v>62175.46</v>
      </c>
      <c r="I652" s="19">
        <f>SUM(F652:H652)</f>
        <v>120423.23999999999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87229.26</v>
      </c>
      <c r="G653" s="200">
        <f>SUM(G565:G577)+SUM(I592:I594)+L602</f>
        <v>0</v>
      </c>
      <c r="H653" s="200">
        <f>SUM(H565:H577)+SUM(J592:J594)+L603</f>
        <v>758719.78</v>
      </c>
      <c r="I653" s="19">
        <f>SUM(F653:H653)</f>
        <v>845949.04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1474286.8400000003</v>
      </c>
      <c r="G654" s="19">
        <f>G650-SUM(G651:G653)</f>
        <v>0</v>
      </c>
      <c r="H654" s="19">
        <f>H650-SUM(H651:H653)</f>
        <v>11535.29999999993</v>
      </c>
      <c r="I654" s="19">
        <f>I650-SUM(I651:I653)</f>
        <v>1485822.1400000001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70.260000000000005</v>
      </c>
      <c r="G655" s="249">
        <v>0</v>
      </c>
      <c r="H655" s="249"/>
      <c r="I655" s="19">
        <f>SUM(F655:H655)</f>
        <v>70.260000000000005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20983.3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21147.48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-11535.3</v>
      </c>
      <c r="I659" s="19">
        <f>SUM(F659:H659)</f>
        <v>-11535.3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20983.3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20983.3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73C2-1C6F-45C2-B01D-4D9FE5941E48}">
  <sheetPr>
    <tabColor indexed="20"/>
  </sheetPr>
  <dimension ref="A1:C52"/>
  <sheetViews>
    <sheetView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Monroe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440848.56000000006</v>
      </c>
      <c r="C9" s="230">
        <f>'DOE25'!G189+'DOE25'!G207+'DOE25'!G225+'DOE25'!G268+'DOE25'!G287+'DOE25'!G306</f>
        <v>151007.34</v>
      </c>
    </row>
    <row r="10" spans="1:3" x14ac:dyDescent="0.2">
      <c r="A10" t="s">
        <v>810</v>
      </c>
      <c r="B10" s="241">
        <f>412357.61+23277.97</f>
        <v>435635.57999999996</v>
      </c>
      <c r="C10" s="241">
        <f>150155.56-398.79+851.78</f>
        <v>150608.54999999999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v>5212.9799999999996</v>
      </c>
      <c r="C12" s="241">
        <v>398.79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440848.55999999994</v>
      </c>
      <c r="C13" s="232">
        <f>SUM(C10:C12)</f>
        <v>151007.34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79096.11</v>
      </c>
      <c r="C18" s="230">
        <f>'DOE25'!G190+'DOE25'!G208+'DOE25'!G226+'DOE25'!G269+'DOE25'!G288+'DOE25'!G307</f>
        <v>54282.84</v>
      </c>
    </row>
    <row r="19" spans="1:3" x14ac:dyDescent="0.2">
      <c r="A19" t="s">
        <v>810</v>
      </c>
      <c r="B19" s="241">
        <f>46696.08+12220.36</f>
        <v>58916.44</v>
      </c>
      <c r="C19" s="241">
        <f>44610.84-824.54-25841.11+9672</f>
        <v>27617.189999999995</v>
      </c>
    </row>
    <row r="20" spans="1:3" x14ac:dyDescent="0.2">
      <c r="A20" t="s">
        <v>811</v>
      </c>
      <c r="B20" s="241">
        <v>9401.2900000000009</v>
      </c>
      <c r="C20" s="241">
        <v>25841.1</v>
      </c>
    </row>
    <row r="21" spans="1:3" x14ac:dyDescent="0.2">
      <c r="A21" t="s">
        <v>812</v>
      </c>
      <c r="B21" s="241">
        <v>10778.38</v>
      </c>
      <c r="C21" s="241">
        <v>824.55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79096.110000000015</v>
      </c>
      <c r="C22" s="232">
        <f>SUM(C19:C21)</f>
        <v>54282.84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3765</v>
      </c>
      <c r="C36" s="236">
        <f>'DOE25'!G192+'DOE25'!G210+'DOE25'!G228+'DOE25'!G271+'DOE25'!G290+'DOE25'!G309</f>
        <v>363.51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3765</v>
      </c>
      <c r="C39" s="241">
        <v>363.51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3765</v>
      </c>
      <c r="C40" s="232">
        <f>SUM(C37:C39)</f>
        <v>363.51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A34C-3DE3-4F96-B3BC-60D14DF3E634}">
  <sheetPr>
    <tabColor indexed="11"/>
  </sheetPr>
  <dimension ref="A1:I51"/>
  <sheetViews>
    <sheetView workbookViewId="0">
      <pane ySplit="4" topLeftCell="A5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Monroe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1601587.63</v>
      </c>
      <c r="D5" s="20">
        <f>SUM('DOE25'!L189:L192)+SUM('DOE25'!L207:L210)+SUM('DOE25'!L225:L228)-F5-G5</f>
        <v>1595310.8399999999</v>
      </c>
      <c r="E5" s="244"/>
      <c r="F5" s="256">
        <f>SUM('DOE25'!J189:J192)+SUM('DOE25'!J207:J210)+SUM('DOE25'!J225:J228)</f>
        <v>4979.79</v>
      </c>
      <c r="G5" s="53">
        <f>SUM('DOE25'!K189:K192)+SUM('DOE25'!K207:K210)+SUM('DOE25'!K225:K228)</f>
        <v>1297</v>
      </c>
      <c r="H5" s="260"/>
    </row>
    <row r="6" spans="1:9" x14ac:dyDescent="0.2">
      <c r="A6" s="32">
        <v>2100</v>
      </c>
      <c r="B6" t="s">
        <v>832</v>
      </c>
      <c r="C6" s="246">
        <f t="shared" si="0"/>
        <v>84958.159999999989</v>
      </c>
      <c r="D6" s="20">
        <f>'DOE25'!L194+'DOE25'!L212+'DOE25'!L230-F6-G6</f>
        <v>83001.849999999991</v>
      </c>
      <c r="E6" s="244"/>
      <c r="F6" s="256">
        <f>'DOE25'!J194+'DOE25'!J212+'DOE25'!J230</f>
        <v>0</v>
      </c>
      <c r="G6" s="53">
        <f>'DOE25'!K194+'DOE25'!K212+'DOE25'!K230</f>
        <v>1956.31</v>
      </c>
      <c r="H6" s="260"/>
    </row>
    <row r="7" spans="1:9" x14ac:dyDescent="0.2">
      <c r="A7" s="32">
        <v>2200</v>
      </c>
      <c r="B7" t="s">
        <v>865</v>
      </c>
      <c r="C7" s="246">
        <f t="shared" si="0"/>
        <v>50341.59</v>
      </c>
      <c r="D7" s="20">
        <f>'DOE25'!L195+'DOE25'!L213+'DOE25'!L231-F7-G7</f>
        <v>50341.59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132473.62000000005</v>
      </c>
      <c r="D8" s="244"/>
      <c r="E8" s="20">
        <f>'DOE25'!L196+'DOE25'!L214+'DOE25'!L232-F8-G8-D9-D11</f>
        <v>124429.38000000003</v>
      </c>
      <c r="F8" s="256">
        <f>'DOE25'!J196+'DOE25'!J214+'DOE25'!J232</f>
        <v>169.99</v>
      </c>
      <c r="G8" s="53">
        <f>'DOE25'!K196+'DOE25'!K214+'DOE25'!K232</f>
        <v>7874.25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10886.27</v>
      </c>
      <c r="D9" s="245">
        <v>10886.27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10588</v>
      </c>
      <c r="D10" s="244"/>
      <c r="E10" s="245">
        <v>10588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94764.15</v>
      </c>
      <c r="D11" s="245">
        <v>94764.15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94849.25</v>
      </c>
      <c r="D12" s="20">
        <f>'DOE25'!L197+'DOE25'!L215+'DOE25'!L233-F12-G12</f>
        <v>94849.25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109103.02</v>
      </c>
      <c r="D14" s="20">
        <f>'DOE25'!L199+'DOE25'!L217+'DOE25'!L235-F14-G14</f>
        <v>107707.7</v>
      </c>
      <c r="E14" s="244"/>
      <c r="F14" s="256">
        <f>'DOE25'!J199+'DOE25'!J217+'DOE25'!J235</f>
        <v>995.32</v>
      </c>
      <c r="G14" s="53">
        <f>'DOE25'!K199+'DOE25'!K217+'DOE25'!K235</f>
        <v>400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120423.23999999999</v>
      </c>
      <c r="D15" s="20">
        <f>'DOE25'!L200+'DOE25'!L218+'DOE25'!L236-F15-G15</f>
        <v>120423.23999999999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23330</v>
      </c>
      <c r="D22" s="244"/>
      <c r="E22" s="244"/>
      <c r="F22" s="256">
        <f>'DOE25'!L247+'DOE25'!L328</f>
        <v>23330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41040</v>
      </c>
      <c r="D25" s="244"/>
      <c r="E25" s="244"/>
      <c r="F25" s="259"/>
      <c r="G25" s="257"/>
      <c r="H25" s="258">
        <f>'DOE25'!L252+'DOE25'!L253+'DOE25'!L333+'DOE25'!L334</f>
        <v>41040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43912.069999999992</v>
      </c>
      <c r="D29" s="20">
        <f>'DOE25'!L350+'DOE25'!L351+'DOE25'!L352-'DOE25'!I359-F29-G29</f>
        <v>43897.369999999995</v>
      </c>
      <c r="E29" s="244"/>
      <c r="F29" s="256">
        <f>'DOE25'!J350+'DOE25'!J351+'DOE25'!J352</f>
        <v>14.7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106677.85</v>
      </c>
      <c r="D31" s="20">
        <f>'DOE25'!L282+'DOE25'!L301+'DOE25'!L320+'DOE25'!L325+'DOE25'!L326+'DOE25'!L327-F31-G31</f>
        <v>101609.75</v>
      </c>
      <c r="E31" s="244"/>
      <c r="F31" s="256">
        <f>'DOE25'!J282+'DOE25'!J301+'DOE25'!J320+'DOE25'!J325+'DOE25'!J326+'DOE25'!J327</f>
        <v>5068.1000000000004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2302792.0099999998</v>
      </c>
      <c r="E33" s="247">
        <f>SUM(E5:E31)</f>
        <v>135017.38000000003</v>
      </c>
      <c r="F33" s="247">
        <f>SUM(F5:F31)</f>
        <v>34557.9</v>
      </c>
      <c r="G33" s="247">
        <f>SUM(G5:G31)</f>
        <v>11527.56</v>
      </c>
      <c r="H33" s="247">
        <f>SUM(H5:H31)</f>
        <v>41040</v>
      </c>
    </row>
    <row r="35" spans="2:8" ht="12" thickBot="1" x14ac:dyDescent="0.25">
      <c r="B35" s="254" t="s">
        <v>878</v>
      </c>
      <c r="D35" s="255">
        <f>E33</f>
        <v>135017.38000000003</v>
      </c>
      <c r="E35" s="250"/>
    </row>
    <row r="36" spans="2:8" ht="12" thickTop="1" x14ac:dyDescent="0.2">
      <c r="B36" t="s">
        <v>846</v>
      </c>
      <c r="D36" s="20">
        <f>D33</f>
        <v>2302792.0099999998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DAFF-1CCD-4456-80A4-6D31E4D1C80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8" sqref="A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">
        <v>896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13364.74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-3688.8</v>
      </c>
      <c r="D12" s="95">
        <f>'DOE25'!G12</f>
        <v>5794.46</v>
      </c>
      <c r="E12" s="95">
        <f>'DOE25'!H12</f>
        <v>-2105.67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987.81</v>
      </c>
      <c r="E14" s="95">
        <f>'DOE25'!H14</f>
        <v>2251.38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9675.9399999999987</v>
      </c>
      <c r="D19" s="41">
        <f>SUM(D9:D18)</f>
        <v>6782.27</v>
      </c>
      <c r="E19" s="41">
        <f>SUM(E9:E18)</f>
        <v>145.71000000000004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83574.44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47670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131244.44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6782.2700000000023</v>
      </c>
      <c r="E40" s="95">
        <f>'DOE25'!H41</f>
        <v>145.71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-121568.5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-121568.5</v>
      </c>
      <c r="D42" s="41">
        <f>SUM(D34:D41)</f>
        <v>6782.2700000000023</v>
      </c>
      <c r="E42" s="41">
        <f>SUM(E34:E41)</f>
        <v>145.71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9675.9400000000023</v>
      </c>
      <c r="D43" s="41">
        <f>D42+D32</f>
        <v>6782.2700000000023</v>
      </c>
      <c r="E43" s="41">
        <f>E42+E32</f>
        <v>145.71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1756149.12</v>
      </c>
      <c r="D48" s="95">
        <f>'DOE25'!G52</f>
        <v>15797</v>
      </c>
      <c r="E48" s="95">
        <f>'DOE25'!H52</f>
        <v>0</v>
      </c>
      <c r="F48" s="95">
        <f>'DOE25'!I52</f>
        <v>0</v>
      </c>
      <c r="G48" s="95">
        <f>'DOE25'!J52</f>
        <v>30000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444.03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14826.449999999999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1507.23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1951.26</v>
      </c>
      <c r="D54" s="130">
        <f>SUM(D49:D53)</f>
        <v>14826.449999999999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1758100.3800000001</v>
      </c>
      <c r="D55" s="22">
        <f>D48+D54</f>
        <v>30623.449999999997</v>
      </c>
      <c r="E55" s="22">
        <f>E48+E54</f>
        <v>0</v>
      </c>
      <c r="F55" s="22">
        <f>F48+F54</f>
        <v>0</v>
      </c>
      <c r="G55" s="22">
        <f>G48+G54</f>
        <v>30000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261232.18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197245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9474.82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467952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48793.84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340.65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48793.84</v>
      </c>
      <c r="D70" s="130">
        <f>SUM(D64:D69)</f>
        <v>340.65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516745.83999999997</v>
      </c>
      <c r="D73" s="130">
        <f>SUM(D71:D72)+D70+D62</f>
        <v>340.65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18956.68</v>
      </c>
      <c r="E80" s="95">
        <f>SUM('DOE25'!H145:H153)</f>
        <v>106677.85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184.33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184.33</v>
      </c>
      <c r="D83" s="131">
        <f>SUM(D77:D82)</f>
        <v>18956.68</v>
      </c>
      <c r="E83" s="131">
        <f>SUM(E77:E82)</f>
        <v>106677.85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10000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10000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2285030.5500000003</v>
      </c>
      <c r="D96" s="86">
        <f>D55+D73+D83+D95</f>
        <v>49920.78</v>
      </c>
      <c r="E96" s="86">
        <f>E55+E73+E83+E95</f>
        <v>106677.85</v>
      </c>
      <c r="F96" s="86">
        <f>F55+F73+F83+F95</f>
        <v>0</v>
      </c>
      <c r="G96" s="86">
        <f>G55+G73+G95</f>
        <v>30000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1238869.3500000001</v>
      </c>
      <c r="D101" s="24" t="s">
        <v>312</v>
      </c>
      <c r="E101" s="95">
        <f>('DOE25'!L268)+('DOE25'!L287)+('DOE25'!L306)</f>
        <v>31467.42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334945.64</v>
      </c>
      <c r="D102" s="24" t="s">
        <v>312</v>
      </c>
      <c r="E102" s="95">
        <f>('DOE25'!L269)+('DOE25'!L288)+('DOE25'!L307)</f>
        <v>21892.36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22406.639999999999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5366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1601587.6300000001</v>
      </c>
      <c r="D107" s="86">
        <f>SUM(D101:D106)</f>
        <v>0</v>
      </c>
      <c r="E107" s="86">
        <f>SUM(E101:E106)</f>
        <v>53359.78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84958.159999999989</v>
      </c>
      <c r="D110" s="24" t="s">
        <v>312</v>
      </c>
      <c r="E110" s="95">
        <f>+('DOE25'!L273)+('DOE25'!L292)+('DOE25'!L311)</f>
        <v>21156.19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50341.59</v>
      </c>
      <c r="D111" s="24" t="s">
        <v>312</v>
      </c>
      <c r="E111" s="95">
        <f>+('DOE25'!L274)+('DOE25'!L293)+('DOE25'!L312)</f>
        <v>32161.88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238124.04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94849.25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109103.02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120423.23999999999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60956.09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697799.3</v>
      </c>
      <c r="D120" s="86">
        <f>SUM(D110:D119)</f>
        <v>60956.09</v>
      </c>
      <c r="E120" s="86">
        <f>SUM(E110:E119)</f>
        <v>53318.07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23330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36000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5040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10000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-30000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64370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10000</v>
      </c>
    </row>
    <row r="137" spans="1:9" ht="12.75" thickTop="1" thickBot="1" x14ac:dyDescent="0.25">
      <c r="A137" s="33" t="s">
        <v>267</v>
      </c>
      <c r="C137" s="86">
        <f>(C107+C120+C136)</f>
        <v>2363756.9300000002</v>
      </c>
      <c r="D137" s="86">
        <f>(D107+D120+D136)</f>
        <v>60956.09</v>
      </c>
      <c r="E137" s="86">
        <f>(E107+E120+E136)</f>
        <v>106677.85</v>
      </c>
      <c r="F137" s="86">
        <f>(F107+F120+F136)</f>
        <v>0</v>
      </c>
      <c r="G137" s="86">
        <f>(G107+G120+G136)</f>
        <v>10000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8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07-01-2009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07-01-2014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180000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144000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144000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36000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36000</v>
      </c>
    </row>
    <row r="151" spans="1:7" x14ac:dyDescent="0.2">
      <c r="A151" s="22" t="s">
        <v>35</v>
      </c>
      <c r="B151" s="137">
        <f>'DOE25'!F488</f>
        <v>108000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108000</v>
      </c>
    </row>
    <row r="152" spans="1:7" x14ac:dyDescent="0.2">
      <c r="A152" s="22" t="s">
        <v>36</v>
      </c>
      <c r="B152" s="137">
        <f>'DOE25'!F489</f>
        <v>7570.36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7570.36</v>
      </c>
    </row>
    <row r="153" spans="1:7" x14ac:dyDescent="0.2">
      <c r="A153" s="22" t="s">
        <v>37</v>
      </c>
      <c r="B153" s="137">
        <f>'DOE25'!F490</f>
        <v>115570.36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115570.36</v>
      </c>
    </row>
    <row r="154" spans="1:7" x14ac:dyDescent="0.2">
      <c r="A154" s="22" t="s">
        <v>38</v>
      </c>
      <c r="B154" s="137">
        <f>'DOE25'!F491</f>
        <v>36000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36000</v>
      </c>
    </row>
    <row r="155" spans="1:7" x14ac:dyDescent="0.2">
      <c r="A155" s="22" t="s">
        <v>39</v>
      </c>
      <c r="B155" s="137">
        <f>'DOE25'!F492</f>
        <v>3790.36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3790.36</v>
      </c>
    </row>
    <row r="156" spans="1:7" x14ac:dyDescent="0.2">
      <c r="A156" s="22" t="s">
        <v>269</v>
      </c>
      <c r="B156" s="137">
        <f>'DOE25'!F493</f>
        <v>39790.36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39790.36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BF4C-328E-40A4-A874-1D87D700038A}">
  <sheetPr codeName="Sheet3">
    <tabColor indexed="43"/>
  </sheetPr>
  <dimension ref="A1:D42"/>
  <sheetViews>
    <sheetView workbookViewId="0">
      <selection activeCell="E28" sqref="E2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Monroe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20983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20983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1270337</v>
      </c>
      <c r="D10" s="182">
        <f>ROUND((C10/$C$28)*100,1)</f>
        <v>51.7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356838</v>
      </c>
      <c r="D11" s="182">
        <f>ROUND((C11/$C$28)*100,1)</f>
        <v>14.5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22407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5366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106114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82503</v>
      </c>
      <c r="D16" s="182">
        <f t="shared" si="0"/>
        <v>3.4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238124</v>
      </c>
      <c r="D17" s="182">
        <f t="shared" si="0"/>
        <v>9.6999999999999993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94849</v>
      </c>
      <c r="D18" s="182">
        <f t="shared" si="0"/>
        <v>3.9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109103</v>
      </c>
      <c r="D20" s="182">
        <f t="shared" si="0"/>
        <v>4.4000000000000004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120423</v>
      </c>
      <c r="D21" s="182">
        <f t="shared" si="0"/>
        <v>4.9000000000000004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5040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46129.55</v>
      </c>
      <c r="D27" s="182">
        <f t="shared" si="0"/>
        <v>1.9</v>
      </c>
    </row>
    <row r="28" spans="1:4" x14ac:dyDescent="0.2">
      <c r="B28" s="187" t="s">
        <v>754</v>
      </c>
      <c r="C28" s="180">
        <f>SUM(C10:C27)</f>
        <v>2457233.5499999998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23330</v>
      </c>
    </row>
    <row r="30" spans="1:4" x14ac:dyDescent="0.2">
      <c r="B30" s="187" t="s">
        <v>760</v>
      </c>
      <c r="C30" s="180">
        <f>SUM(C28:C29)</f>
        <v>2480563.5499999998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36000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1801946</v>
      </c>
      <c r="D35" s="182">
        <f t="shared" ref="D35:D40" si="1">ROUND((C35/$C$41)*100,1)</f>
        <v>73.599999999999994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1951.3800000001211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467952</v>
      </c>
      <c r="D37" s="182">
        <f t="shared" si="1"/>
        <v>19.100000000000001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49134</v>
      </c>
      <c r="D38" s="182">
        <f t="shared" si="1"/>
        <v>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125819</v>
      </c>
      <c r="D39" s="182">
        <f t="shared" si="1"/>
        <v>5.0999999999999996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2446802.38</v>
      </c>
      <c r="D41" s="184">
        <f>SUM(D35:D40)</f>
        <v>99.899999999999977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6F4F-68CA-4696-B6A7-DEBB9D216654}">
  <sheetPr>
    <tabColor indexed="17"/>
  </sheetPr>
  <dimension ref="A1:IV90"/>
  <sheetViews>
    <sheetView workbookViewId="0">
      <pane ySplit="3" topLeftCell="A30" activePane="bottomLeft" state="frozen"/>
      <selection pane="bottomLeft" activeCell="C24" sqref="C24:M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Monroe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">
        <v>2</v>
      </c>
      <c r="B4" s="21" t="s">
        <v>908</v>
      </c>
      <c r="C4" s="21" t="s">
        <v>897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 t="s">
        <v>898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 t="s">
        <v>906</v>
      </c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 t="s">
        <v>907</v>
      </c>
      <c r="C13" s="280" t="s">
        <v>899</v>
      </c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 t="s">
        <v>900</v>
      </c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 t="s">
        <v>901</v>
      </c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 t="s">
        <v>902</v>
      </c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 t="s">
        <v>903</v>
      </c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 t="s">
        <v>904</v>
      </c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 t="s">
        <v>919</v>
      </c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 t="s">
        <v>905</v>
      </c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 t="s">
        <v>920</v>
      </c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 t="s">
        <v>909</v>
      </c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 t="s">
        <v>910</v>
      </c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 t="s">
        <v>911</v>
      </c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 t="s">
        <v>912</v>
      </c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 t="s">
        <v>452</v>
      </c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 t="s">
        <v>913</v>
      </c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 t="s">
        <v>914</v>
      </c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 t="s">
        <v>915</v>
      </c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 t="s">
        <v>916</v>
      </c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 t="s">
        <v>917</v>
      </c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 t="s">
        <v>918</v>
      </c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0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7:M7"/>
    <mergeCell ref="C8:M8"/>
    <mergeCell ref="A2:E2"/>
    <mergeCell ref="A1:I1"/>
    <mergeCell ref="C3:M3"/>
    <mergeCell ref="C10:M10"/>
    <mergeCell ref="F2:I2"/>
    <mergeCell ref="C9:M9"/>
    <mergeCell ref="C16:M16"/>
    <mergeCell ref="C17:M17"/>
    <mergeCell ref="C18:M18"/>
    <mergeCell ref="C19:M19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2011-11-02T17:28:28Z</cp:lastPrinted>
  <dcterms:created xsi:type="dcterms:W3CDTF">1997-12-04T19:04:30Z</dcterms:created>
  <dcterms:modified xsi:type="dcterms:W3CDTF">2025-01-10T20:15:29Z</dcterms:modified>
</cp:coreProperties>
</file>