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FE8D9565-66C0-441D-A23E-089E9166F414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49C6B56B-3354-4F94-8416-4A5E3DCABFC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2" l="1"/>
  <c r="B10" i="12"/>
  <c r="C39" i="12"/>
  <c r="C37" i="12"/>
  <c r="G572" i="1"/>
  <c r="H512" i="1"/>
  <c r="F462" i="1"/>
  <c r="F464" i="1"/>
  <c r="F466" i="1" s="1"/>
  <c r="H612" i="1" s="1"/>
  <c r="H208" i="1"/>
  <c r="F42" i="1"/>
  <c r="F43" i="1" s="1"/>
  <c r="F25" i="1"/>
  <c r="F33" i="1" s="1"/>
  <c r="G565" i="1"/>
  <c r="F572" i="1"/>
  <c r="H511" i="1"/>
  <c r="L511" i="1" s="1"/>
  <c r="H190" i="1"/>
  <c r="L190" i="1" s="1"/>
  <c r="H516" i="1"/>
  <c r="J462" i="1"/>
  <c r="G24" i="1"/>
  <c r="D23" i="2" s="1"/>
  <c r="G25" i="1"/>
  <c r="D24" i="2" s="1"/>
  <c r="F463" i="1"/>
  <c r="F459" i="1"/>
  <c r="J171" i="1"/>
  <c r="J175" i="1" s="1"/>
  <c r="G13" i="1"/>
  <c r="G19" i="1" s="1"/>
  <c r="G608" i="1" s="1"/>
  <c r="G462" i="1"/>
  <c r="H625" i="1" s="1"/>
  <c r="H449" i="1"/>
  <c r="G449" i="1"/>
  <c r="H421" i="1"/>
  <c r="H392" i="1"/>
  <c r="H388" i="1"/>
  <c r="I395" i="1"/>
  <c r="L395" i="1" s="1"/>
  <c r="L399" i="1" s="1"/>
  <c r="C132" i="2" s="1"/>
  <c r="F360" i="1"/>
  <c r="F361" i="1" s="1"/>
  <c r="F359" i="1"/>
  <c r="K258" i="1"/>
  <c r="J201" i="1"/>
  <c r="F16" i="13" s="1"/>
  <c r="I201" i="1"/>
  <c r="L201" i="1" s="1"/>
  <c r="H200" i="1"/>
  <c r="H203" i="1" s="1"/>
  <c r="H249" i="1" s="1"/>
  <c r="H263" i="1" s="1"/>
  <c r="H199" i="1"/>
  <c r="H197" i="1"/>
  <c r="L197" i="1" s="1"/>
  <c r="H196" i="1"/>
  <c r="G195" i="1"/>
  <c r="I194" i="1"/>
  <c r="G189" i="1"/>
  <c r="G41" i="1"/>
  <c r="D40" i="2" s="1"/>
  <c r="C37" i="10"/>
  <c r="C60" i="2"/>
  <c r="B2" i="13"/>
  <c r="F8" i="13"/>
  <c r="E8" i="13" s="1"/>
  <c r="G8" i="13"/>
  <c r="L196" i="1"/>
  <c r="L214" i="1"/>
  <c r="L232" i="1"/>
  <c r="D39" i="13"/>
  <c r="F13" i="13"/>
  <c r="G13" i="13"/>
  <c r="L198" i="1"/>
  <c r="C19" i="10" s="1"/>
  <c r="L216" i="1"/>
  <c r="L234" i="1"/>
  <c r="E13" i="13"/>
  <c r="C13" i="13" s="1"/>
  <c r="G16" i="13"/>
  <c r="L219" i="1"/>
  <c r="L237" i="1"/>
  <c r="F5" i="13"/>
  <c r="G5" i="13"/>
  <c r="L189" i="1"/>
  <c r="L191" i="1"/>
  <c r="L192" i="1"/>
  <c r="C104" i="2" s="1"/>
  <c r="L207" i="1"/>
  <c r="L208" i="1"/>
  <c r="L209" i="1"/>
  <c r="L210" i="1"/>
  <c r="L225" i="1"/>
  <c r="L226" i="1"/>
  <c r="L239" i="1" s="1"/>
  <c r="H650" i="1" s="1"/>
  <c r="H654" i="1" s="1"/>
  <c r="L227" i="1"/>
  <c r="L228" i="1"/>
  <c r="F6" i="13"/>
  <c r="G6" i="13"/>
  <c r="L194" i="1"/>
  <c r="D6" i="13" s="1"/>
  <c r="C6" i="13" s="1"/>
  <c r="L212" i="1"/>
  <c r="L230" i="1"/>
  <c r="F7" i="13"/>
  <c r="G7" i="13"/>
  <c r="L195" i="1"/>
  <c r="L213" i="1"/>
  <c r="L231" i="1"/>
  <c r="D7" i="13"/>
  <c r="C7" i="13" s="1"/>
  <c r="F12" i="13"/>
  <c r="G12" i="13"/>
  <c r="L215" i="1"/>
  <c r="L221" i="1" s="1"/>
  <c r="G650" i="1" s="1"/>
  <c r="L233" i="1"/>
  <c r="F14" i="13"/>
  <c r="G14" i="13"/>
  <c r="L199" i="1"/>
  <c r="L217" i="1"/>
  <c r="D14" i="13" s="1"/>
  <c r="C14" i="13" s="1"/>
  <c r="L235" i="1"/>
  <c r="F15" i="13"/>
  <c r="G15" i="13"/>
  <c r="L200" i="1"/>
  <c r="F652" i="1" s="1"/>
  <c r="I652" i="1" s="1"/>
  <c r="L218" i="1"/>
  <c r="G652" i="1" s="1"/>
  <c r="L236" i="1"/>
  <c r="F17" i="13"/>
  <c r="G17" i="13"/>
  <c r="L243" i="1"/>
  <c r="D17" i="13"/>
  <c r="C17" i="13"/>
  <c r="F18" i="13"/>
  <c r="G18" i="13"/>
  <c r="L244" i="1"/>
  <c r="C24" i="10" s="1"/>
  <c r="F19" i="13"/>
  <c r="D19" i="13" s="1"/>
  <c r="C19" i="13" s="1"/>
  <c r="G19" i="13"/>
  <c r="L245" i="1"/>
  <c r="F29" i="13"/>
  <c r="G29" i="13"/>
  <c r="L350" i="1"/>
  <c r="H651" i="1" s="1"/>
  <c r="L351" i="1"/>
  <c r="L352" i="1"/>
  <c r="I359" i="1"/>
  <c r="J282" i="1"/>
  <c r="F31" i="13" s="1"/>
  <c r="J301" i="1"/>
  <c r="J320" i="1"/>
  <c r="K282" i="1"/>
  <c r="K301" i="1"/>
  <c r="G31" i="13"/>
  <c r="G33" i="13" s="1"/>
  <c r="K320" i="1"/>
  <c r="L268" i="1"/>
  <c r="L269" i="1"/>
  <c r="L282" i="1" s="1"/>
  <c r="L270" i="1"/>
  <c r="C12" i="10" s="1"/>
  <c r="L271" i="1"/>
  <c r="E104" i="2" s="1"/>
  <c r="L273" i="1"/>
  <c r="E110" i="2" s="1"/>
  <c r="L274" i="1"/>
  <c r="L275" i="1"/>
  <c r="L276" i="1"/>
  <c r="E113" i="2" s="1"/>
  <c r="L277" i="1"/>
  <c r="E114" i="2" s="1"/>
  <c r="L278" i="1"/>
  <c r="E115" i="2" s="1"/>
  <c r="L279" i="1"/>
  <c r="L280" i="1"/>
  <c r="E117" i="2" s="1"/>
  <c r="L287" i="1"/>
  <c r="E101" i="2" s="1"/>
  <c r="L288" i="1"/>
  <c r="L289" i="1"/>
  <c r="L290" i="1"/>
  <c r="L292" i="1"/>
  <c r="L293" i="1"/>
  <c r="L294" i="1"/>
  <c r="L295" i="1"/>
  <c r="L296" i="1"/>
  <c r="L297" i="1"/>
  <c r="L298" i="1"/>
  <c r="E116" i="2" s="1"/>
  <c r="L299" i="1"/>
  <c r="L306" i="1"/>
  <c r="L307" i="1"/>
  <c r="L308" i="1"/>
  <c r="L309" i="1"/>
  <c r="L320" i="1" s="1"/>
  <c r="L311" i="1"/>
  <c r="L312" i="1"/>
  <c r="L313" i="1"/>
  <c r="E112" i="2" s="1"/>
  <c r="L314" i="1"/>
  <c r="L315" i="1"/>
  <c r="L316" i="1"/>
  <c r="L317" i="1"/>
  <c r="L318" i="1"/>
  <c r="L325" i="1"/>
  <c r="L326" i="1"/>
  <c r="L327" i="1"/>
  <c r="E106" i="2" s="1"/>
  <c r="L252" i="1"/>
  <c r="L253" i="1"/>
  <c r="C25" i="10" s="1"/>
  <c r="L333" i="1"/>
  <c r="L343" i="1" s="1"/>
  <c r="L334" i="1"/>
  <c r="E124" i="2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6" i="1"/>
  <c r="L397" i="1"/>
  <c r="L398" i="1"/>
  <c r="L258" i="1"/>
  <c r="J52" i="1"/>
  <c r="G48" i="2" s="1"/>
  <c r="G51" i="2"/>
  <c r="G54" i="2" s="1"/>
  <c r="G53" i="2"/>
  <c r="F2" i="11"/>
  <c r="L603" i="1"/>
  <c r="H653" i="1" s="1"/>
  <c r="L602" i="1"/>
  <c r="G653" i="1" s="1"/>
  <c r="L601" i="1"/>
  <c r="F653" i="1" s="1"/>
  <c r="C40" i="10"/>
  <c r="F52" i="1"/>
  <c r="G52" i="1"/>
  <c r="D48" i="2" s="1"/>
  <c r="D55" i="2" s="1"/>
  <c r="H52" i="1"/>
  <c r="I52" i="1"/>
  <c r="I104" i="1" s="1"/>
  <c r="F71" i="1"/>
  <c r="F86" i="1"/>
  <c r="F103" i="1"/>
  <c r="G103" i="1"/>
  <c r="H71" i="1"/>
  <c r="E49" i="2" s="1"/>
  <c r="E54" i="2" s="1"/>
  <c r="H86" i="1"/>
  <c r="H103" i="1"/>
  <c r="H104" i="1"/>
  <c r="I103" i="1"/>
  <c r="J103" i="1"/>
  <c r="F113" i="1"/>
  <c r="F128" i="1"/>
  <c r="G113" i="1"/>
  <c r="G132" i="1" s="1"/>
  <c r="G128" i="1"/>
  <c r="H113" i="1"/>
  <c r="H128" i="1"/>
  <c r="H132" i="1" s="1"/>
  <c r="I113" i="1"/>
  <c r="I132" i="1" s="1"/>
  <c r="I128" i="1"/>
  <c r="J113" i="1"/>
  <c r="J132" i="1" s="1"/>
  <c r="J128" i="1"/>
  <c r="F139" i="1"/>
  <c r="F161" i="1" s="1"/>
  <c r="C39" i="10" s="1"/>
  <c r="F154" i="1"/>
  <c r="G139" i="1"/>
  <c r="G154" i="1"/>
  <c r="G161" i="1" s="1"/>
  <c r="H139" i="1"/>
  <c r="H161" i="1" s="1"/>
  <c r="H154" i="1"/>
  <c r="I139" i="1"/>
  <c r="I161" i="1" s="1"/>
  <c r="I154" i="1"/>
  <c r="L242" i="1"/>
  <c r="C105" i="2" s="1"/>
  <c r="L324" i="1"/>
  <c r="L246" i="1"/>
  <c r="L260" i="1"/>
  <c r="C26" i="10" s="1"/>
  <c r="L261" i="1"/>
  <c r="L341" i="1"/>
  <c r="L342" i="1"/>
  <c r="I655" i="1"/>
  <c r="I660" i="1"/>
  <c r="H652" i="1"/>
  <c r="I659" i="1"/>
  <c r="C6" i="10"/>
  <c r="C42" i="10"/>
  <c r="L366" i="1"/>
  <c r="L374" i="1" s="1"/>
  <c r="G626" i="1" s="1"/>
  <c r="J626" i="1" s="1"/>
  <c r="L367" i="1"/>
  <c r="L368" i="1"/>
  <c r="L369" i="1"/>
  <c r="F122" i="2" s="1"/>
  <c r="F136" i="2" s="1"/>
  <c r="L370" i="1"/>
  <c r="L371" i="1"/>
  <c r="L372" i="1"/>
  <c r="B2" i="10"/>
  <c r="L336" i="1"/>
  <c r="L337" i="1"/>
  <c r="L338" i="1"/>
  <c r="L339" i="1"/>
  <c r="K343" i="1"/>
  <c r="L512" i="1"/>
  <c r="F540" i="1" s="1"/>
  <c r="L513" i="1"/>
  <c r="F541" i="1" s="1"/>
  <c r="L516" i="1"/>
  <c r="G539" i="1" s="1"/>
  <c r="L517" i="1"/>
  <c r="G540" i="1" s="1"/>
  <c r="L518" i="1"/>
  <c r="G541" i="1" s="1"/>
  <c r="L521" i="1"/>
  <c r="H539" i="1" s="1"/>
  <c r="H542" i="1" s="1"/>
  <c r="L522" i="1"/>
  <c r="L524" i="1" s="1"/>
  <c r="H540" i="1"/>
  <c r="L523" i="1"/>
  <c r="H541" i="1"/>
  <c r="L526" i="1"/>
  <c r="I539" i="1"/>
  <c r="L527" i="1"/>
  <c r="I540" i="1"/>
  <c r="L528" i="1"/>
  <c r="I541" i="1" s="1"/>
  <c r="I542" i="1" s="1"/>
  <c r="L531" i="1"/>
  <c r="J539" i="1"/>
  <c r="J542" i="1" s="1"/>
  <c r="L532" i="1"/>
  <c r="J540" i="1" s="1"/>
  <c r="L533" i="1"/>
  <c r="J541" i="1" s="1"/>
  <c r="K262" i="1"/>
  <c r="J262" i="1"/>
  <c r="I262" i="1"/>
  <c r="H262" i="1"/>
  <c r="G262" i="1"/>
  <c r="L262" i="1" s="1"/>
  <c r="F262" i="1"/>
  <c r="C123" i="2"/>
  <c r="A1" i="2"/>
  <c r="A2" i="2"/>
  <c r="C9" i="2"/>
  <c r="D9" i="2"/>
  <c r="E9" i="2"/>
  <c r="F9" i="2"/>
  <c r="I431" i="1"/>
  <c r="J9" i="1" s="1"/>
  <c r="C10" i="2"/>
  <c r="D10" i="2"/>
  <c r="D19" i="2" s="1"/>
  <c r="E10" i="2"/>
  <c r="F10" i="2"/>
  <c r="I432" i="1"/>
  <c r="J10" i="1"/>
  <c r="G10" i="2" s="1"/>
  <c r="C11" i="2"/>
  <c r="C12" i="2"/>
  <c r="D12" i="2"/>
  <c r="E12" i="2"/>
  <c r="F12" i="2"/>
  <c r="I433" i="1"/>
  <c r="J12" i="1"/>
  <c r="G12" i="2" s="1"/>
  <c r="C13" i="2"/>
  <c r="C19" i="2" s="1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F32" i="2" s="1"/>
  <c r="I440" i="1"/>
  <c r="I444" i="1" s="1"/>
  <c r="I451" i="1" s="1"/>
  <c r="H632" i="1" s="1"/>
  <c r="J23" i="1"/>
  <c r="C23" i="2"/>
  <c r="E23" i="2"/>
  <c r="F23" i="2"/>
  <c r="I441" i="1"/>
  <c r="J24" i="1"/>
  <c r="G23" i="2" s="1"/>
  <c r="C25" i="2"/>
  <c r="C26" i="2"/>
  <c r="C27" i="2"/>
  <c r="C28" i="2"/>
  <c r="C29" i="2"/>
  <c r="C30" i="2"/>
  <c r="C31" i="2"/>
  <c r="E24" i="2"/>
  <c r="F24" i="2"/>
  <c r="F25" i="2"/>
  <c r="F26" i="2"/>
  <c r="F27" i="2"/>
  <c r="F28" i="2"/>
  <c r="F29" i="2"/>
  <c r="F30" i="2"/>
  <c r="F31" i="2"/>
  <c r="I442" i="1"/>
  <c r="J25" i="1" s="1"/>
  <c r="G24" i="2" s="1"/>
  <c r="D25" i="2"/>
  <c r="E25" i="2"/>
  <c r="D28" i="2"/>
  <c r="E28" i="2"/>
  <c r="E32" i="2" s="1"/>
  <c r="D29" i="2"/>
  <c r="E29" i="2"/>
  <c r="D30" i="2"/>
  <c r="E30" i="2"/>
  <c r="D31" i="2"/>
  <c r="E31" i="2"/>
  <c r="I443" i="1"/>
  <c r="J32" i="1"/>
  <c r="G31" i="2" s="1"/>
  <c r="C34" i="2"/>
  <c r="D34" i="2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E40" i="2"/>
  <c r="F40" i="2"/>
  <c r="I449" i="1"/>
  <c r="J41" i="1" s="1"/>
  <c r="G40" i="2" s="1"/>
  <c r="D41" i="2"/>
  <c r="E41" i="2"/>
  <c r="F41" i="2"/>
  <c r="C48" i="2"/>
  <c r="C55" i="2" s="1"/>
  <c r="E48" i="2"/>
  <c r="C49" i="2"/>
  <c r="C50" i="2"/>
  <c r="E50" i="2"/>
  <c r="C51" i="2"/>
  <c r="D51" i="2"/>
  <c r="E51" i="2"/>
  <c r="F51" i="2"/>
  <c r="D52" i="2"/>
  <c r="C53" i="2"/>
  <c r="C54" i="2"/>
  <c r="D53" i="2"/>
  <c r="E53" i="2"/>
  <c r="F53" i="2"/>
  <c r="C58" i="2"/>
  <c r="C59" i="2"/>
  <c r="C61" i="2"/>
  <c r="D61" i="2"/>
  <c r="D62" i="2" s="1"/>
  <c r="E61" i="2"/>
  <c r="E62" i="2" s="1"/>
  <c r="F61" i="2"/>
  <c r="F62" i="2" s="1"/>
  <c r="F73" i="2" s="1"/>
  <c r="G61" i="2"/>
  <c r="G62" i="2" s="1"/>
  <c r="C64" i="2"/>
  <c r="C70" i="2" s="1"/>
  <c r="C73" i="2" s="1"/>
  <c r="F64" i="2"/>
  <c r="C65" i="2"/>
  <c r="F65" i="2"/>
  <c r="C66" i="2"/>
  <c r="C67" i="2"/>
  <c r="C68" i="2"/>
  <c r="E68" i="2"/>
  <c r="E69" i="2"/>
  <c r="E70" i="2" s="1"/>
  <c r="E71" i="2"/>
  <c r="E72" i="2"/>
  <c r="F68" i="2"/>
  <c r="C69" i="2"/>
  <c r="D69" i="2"/>
  <c r="D70" i="2"/>
  <c r="F69" i="2"/>
  <c r="G69" i="2"/>
  <c r="G70" i="2" s="1"/>
  <c r="G73" i="2" s="1"/>
  <c r="C71" i="2"/>
  <c r="D71" i="2"/>
  <c r="C72" i="2"/>
  <c r="C77" i="2"/>
  <c r="D77" i="2"/>
  <c r="D83" i="2" s="1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C86" i="2"/>
  <c r="F86" i="2"/>
  <c r="D88" i="2"/>
  <c r="D95" i="2" s="1"/>
  <c r="E88" i="2"/>
  <c r="F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1" i="2"/>
  <c r="E102" i="2"/>
  <c r="E103" i="2"/>
  <c r="E105" i="2"/>
  <c r="D107" i="2"/>
  <c r="F107" i="2"/>
  <c r="G107" i="2"/>
  <c r="C111" i="2"/>
  <c r="E111" i="2"/>
  <c r="C112" i="2"/>
  <c r="F120" i="2"/>
  <c r="G120" i="2"/>
  <c r="E122" i="2"/>
  <c r="F126" i="2"/>
  <c r="D126" i="2"/>
  <c r="D136" i="2" s="1"/>
  <c r="E126" i="2"/>
  <c r="K411" i="1"/>
  <c r="K419" i="1"/>
  <c r="K425" i="1"/>
  <c r="L255" i="1"/>
  <c r="C127" i="2" s="1"/>
  <c r="E127" i="2"/>
  <c r="L256" i="1"/>
  <c r="C128" i="2"/>
  <c r="L257" i="1"/>
  <c r="C129" i="2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C151" i="2"/>
  <c r="D151" i="2"/>
  <c r="E151" i="2"/>
  <c r="F151" i="2"/>
  <c r="G151" i="2" s="1"/>
  <c r="B152" i="2"/>
  <c r="C152" i="2"/>
  <c r="D152" i="2"/>
  <c r="E152" i="2"/>
  <c r="G152" i="2" s="1"/>
  <c r="F152" i="2"/>
  <c r="F490" i="1"/>
  <c r="B153" i="2"/>
  <c r="G490" i="1"/>
  <c r="C153" i="2"/>
  <c r="H490" i="1"/>
  <c r="D153" i="2"/>
  <c r="I490" i="1"/>
  <c r="K490" i="1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/>
  <c r="G156" i="2" s="1"/>
  <c r="G493" i="1"/>
  <c r="K493" i="1" s="1"/>
  <c r="C156" i="2"/>
  <c r="H493" i="1"/>
  <c r="D156" i="2"/>
  <c r="I493" i="1"/>
  <c r="E156" i="2"/>
  <c r="J493" i="1"/>
  <c r="F156" i="2"/>
  <c r="F19" i="1"/>
  <c r="G607" i="1" s="1"/>
  <c r="H19" i="1"/>
  <c r="G609" i="1" s="1"/>
  <c r="J609" i="1" s="1"/>
  <c r="I19" i="1"/>
  <c r="G610" i="1" s="1"/>
  <c r="J610" i="1" s="1"/>
  <c r="H33" i="1"/>
  <c r="I33" i="1"/>
  <c r="G43" i="1"/>
  <c r="G613" i="1" s="1"/>
  <c r="J613" i="1" s="1"/>
  <c r="H43" i="1"/>
  <c r="H44" i="1"/>
  <c r="H609" i="1" s="1"/>
  <c r="I43" i="1"/>
  <c r="I44" i="1" s="1"/>
  <c r="H610" i="1" s="1"/>
  <c r="F169" i="1"/>
  <c r="I169" i="1"/>
  <c r="F175" i="1"/>
  <c r="F184" i="1" s="1"/>
  <c r="G175" i="1"/>
  <c r="G184" i="1" s="1"/>
  <c r="H175" i="1"/>
  <c r="I175" i="1"/>
  <c r="I184" i="1" s="1"/>
  <c r="F180" i="1"/>
  <c r="G180" i="1"/>
  <c r="H180" i="1"/>
  <c r="H184" i="1" s="1"/>
  <c r="I180" i="1"/>
  <c r="F203" i="1"/>
  <c r="F249" i="1" s="1"/>
  <c r="F263" i="1" s="1"/>
  <c r="G203" i="1"/>
  <c r="G249" i="1" s="1"/>
  <c r="G263" i="1" s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G282" i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F329" i="1"/>
  <c r="G329" i="1"/>
  <c r="L329" i="1" s="1"/>
  <c r="H329" i="1"/>
  <c r="I329" i="1"/>
  <c r="J329" i="1"/>
  <c r="K329" i="1"/>
  <c r="K330" i="1" s="1"/>
  <c r="K344" i="1" s="1"/>
  <c r="J330" i="1"/>
  <c r="J344" i="1"/>
  <c r="F354" i="1"/>
  <c r="G354" i="1"/>
  <c r="H354" i="1"/>
  <c r="I354" i="1"/>
  <c r="J354" i="1"/>
  <c r="K354" i="1"/>
  <c r="I360" i="1"/>
  <c r="I361" i="1" s="1"/>
  <c r="H624" i="1" s="1"/>
  <c r="J624" i="1" s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G400" i="1" s="1"/>
  <c r="H635" i="1" s="1"/>
  <c r="H385" i="1"/>
  <c r="H400" i="1" s="1"/>
  <c r="H634" i="1" s="1"/>
  <c r="I385" i="1"/>
  <c r="F393" i="1"/>
  <c r="G393" i="1"/>
  <c r="H393" i="1"/>
  <c r="I393" i="1"/>
  <c r="F399" i="1"/>
  <c r="G399" i="1"/>
  <c r="H399" i="1"/>
  <c r="I399" i="1"/>
  <c r="I400" i="1" s="1"/>
  <c r="L405" i="1"/>
  <c r="L406" i="1"/>
  <c r="L407" i="1"/>
  <c r="L408" i="1"/>
  <c r="L409" i="1"/>
  <c r="L411" i="1" s="1"/>
  <c r="L426" i="1" s="1"/>
  <c r="G628" i="1" s="1"/>
  <c r="J628" i="1" s="1"/>
  <c r="L410" i="1"/>
  <c r="F411" i="1"/>
  <c r="G411" i="1"/>
  <c r="H411" i="1"/>
  <c r="H426" i="1" s="1"/>
  <c r="I411" i="1"/>
  <c r="J411" i="1"/>
  <c r="L413" i="1"/>
  <c r="L414" i="1"/>
  <c r="L415" i="1"/>
  <c r="L416" i="1"/>
  <c r="L417" i="1"/>
  <c r="L419" i="1" s="1"/>
  <c r="L418" i="1"/>
  <c r="F419" i="1"/>
  <c r="G419" i="1"/>
  <c r="G426" i="1"/>
  <c r="H419" i="1"/>
  <c r="I419" i="1"/>
  <c r="I426" i="1" s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J426" i="1" s="1"/>
  <c r="F438" i="1"/>
  <c r="G629" i="1" s="1"/>
  <c r="G438" i="1"/>
  <c r="G630" i="1"/>
  <c r="H438" i="1"/>
  <c r="G631" i="1" s="1"/>
  <c r="F444" i="1"/>
  <c r="F451" i="1" s="1"/>
  <c r="H629" i="1" s="1"/>
  <c r="G444" i="1"/>
  <c r="H444" i="1"/>
  <c r="H451" i="1" s="1"/>
  <c r="H631" i="1" s="1"/>
  <c r="F450" i="1"/>
  <c r="G450" i="1"/>
  <c r="G451" i="1" s="1"/>
  <c r="H630" i="1" s="1"/>
  <c r="J630" i="1" s="1"/>
  <c r="H450" i="1"/>
  <c r="I450" i="1"/>
  <c r="F460" i="1"/>
  <c r="G460" i="1"/>
  <c r="H460" i="1"/>
  <c r="I460" i="1"/>
  <c r="J460" i="1"/>
  <c r="G464" i="1"/>
  <c r="G466" i="1" s="1"/>
  <c r="H613" i="1" s="1"/>
  <c r="H464" i="1"/>
  <c r="I464" i="1"/>
  <c r="I466" i="1" s="1"/>
  <c r="H615" i="1" s="1"/>
  <c r="J464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J535" i="1" s="1"/>
  <c r="K514" i="1"/>
  <c r="F519" i="1"/>
  <c r="F535" i="1" s="1"/>
  <c r="G519" i="1"/>
  <c r="H519" i="1"/>
  <c r="I519" i="1"/>
  <c r="J519" i="1"/>
  <c r="K519" i="1"/>
  <c r="L519" i="1"/>
  <c r="F524" i="1"/>
  <c r="G524" i="1"/>
  <c r="G535" i="1"/>
  <c r="H524" i="1"/>
  <c r="H535" i="1" s="1"/>
  <c r="I524" i="1"/>
  <c r="J524" i="1"/>
  <c r="K524" i="1"/>
  <c r="F529" i="1"/>
  <c r="G529" i="1"/>
  <c r="H529" i="1"/>
  <c r="I529" i="1"/>
  <c r="J529" i="1"/>
  <c r="K529" i="1"/>
  <c r="K535" i="1"/>
  <c r="L529" i="1"/>
  <c r="F534" i="1"/>
  <c r="G534" i="1"/>
  <c r="H534" i="1"/>
  <c r="I534" i="1"/>
  <c r="J534" i="1"/>
  <c r="K534" i="1"/>
  <c r="L534" i="1"/>
  <c r="L547" i="1"/>
  <c r="L550" i="1" s="1"/>
  <c r="L548" i="1"/>
  <c r="L549" i="1"/>
  <c r="F550" i="1"/>
  <c r="G550" i="1"/>
  <c r="H550" i="1"/>
  <c r="I550" i="1"/>
  <c r="J550" i="1"/>
  <c r="J561" i="1" s="1"/>
  <c r="K550" i="1"/>
  <c r="K561" i="1" s="1"/>
  <c r="L552" i="1"/>
  <c r="L553" i="1"/>
  <c r="L555" i="1" s="1"/>
  <c r="L554" i="1"/>
  <c r="F555" i="1"/>
  <c r="G555" i="1"/>
  <c r="G561" i="1" s="1"/>
  <c r="H555" i="1"/>
  <c r="I555" i="1"/>
  <c r="I561" i="1" s="1"/>
  <c r="J555" i="1"/>
  <c r="K555" i="1"/>
  <c r="L557" i="1"/>
  <c r="L560" i="1" s="1"/>
  <c r="L558" i="1"/>
  <c r="L559" i="1"/>
  <c r="F560" i="1"/>
  <c r="F561" i="1" s="1"/>
  <c r="G560" i="1"/>
  <c r="H560" i="1"/>
  <c r="H561" i="1" s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K584" i="1"/>
  <c r="K585" i="1"/>
  <c r="K586" i="1"/>
  <c r="K587" i="1"/>
  <c r="H588" i="1"/>
  <c r="H639" i="1"/>
  <c r="I588" i="1"/>
  <c r="H640" i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4" i="1"/>
  <c r="H617" i="1"/>
  <c r="H618" i="1"/>
  <c r="H619" i="1"/>
  <c r="H620" i="1"/>
  <c r="H621" i="1"/>
  <c r="H622" i="1"/>
  <c r="H623" i="1"/>
  <c r="G624" i="1"/>
  <c r="H626" i="1"/>
  <c r="H627" i="1"/>
  <c r="H628" i="1"/>
  <c r="G633" i="1"/>
  <c r="G634" i="1"/>
  <c r="G641" i="1"/>
  <c r="G642" i="1"/>
  <c r="J642" i="1" s="1"/>
  <c r="H642" i="1"/>
  <c r="G643" i="1"/>
  <c r="H643" i="1"/>
  <c r="J643" i="1" s="1"/>
  <c r="G644" i="1"/>
  <c r="J644" i="1" s="1"/>
  <c r="H644" i="1"/>
  <c r="H645" i="1"/>
  <c r="F95" i="2"/>
  <c r="F54" i="2"/>
  <c r="E19" i="2"/>
  <c r="J104" i="1"/>
  <c r="L354" i="1"/>
  <c r="C27" i="10" s="1"/>
  <c r="D54" i="2"/>
  <c r="F104" i="1"/>
  <c r="F132" i="1"/>
  <c r="C124" i="2"/>
  <c r="K249" i="1"/>
  <c r="K263" i="1"/>
  <c r="C10" i="10"/>
  <c r="C115" i="2"/>
  <c r="C16" i="10"/>
  <c r="C103" i="2"/>
  <c r="H25" i="13"/>
  <c r="C25" i="13" s="1"/>
  <c r="I330" i="1"/>
  <c r="I344" i="1" s="1"/>
  <c r="G330" i="1"/>
  <c r="G344" i="1" s="1"/>
  <c r="F330" i="1"/>
  <c r="F344" i="1"/>
  <c r="D119" i="2"/>
  <c r="D120" i="2" s="1"/>
  <c r="D137" i="2" s="1"/>
  <c r="G651" i="1"/>
  <c r="L301" i="1"/>
  <c r="D29" i="13"/>
  <c r="C29" i="13" s="1"/>
  <c r="K426" i="1"/>
  <c r="G126" i="2" s="1"/>
  <c r="G136" i="2" s="1"/>
  <c r="G137" i="2" s="1"/>
  <c r="H466" i="1"/>
  <c r="H614" i="1" s="1"/>
  <c r="J614" i="1" s="1"/>
  <c r="G155" i="2"/>
  <c r="E95" i="2"/>
  <c r="C83" i="2"/>
  <c r="F83" i="2"/>
  <c r="F70" i="2"/>
  <c r="C62" i="2"/>
  <c r="F42" i="2"/>
  <c r="F43" i="2" s="1"/>
  <c r="F19" i="2"/>
  <c r="G22" i="2"/>
  <c r="C5" i="10"/>
  <c r="G542" i="1" l="1"/>
  <c r="C130" i="2"/>
  <c r="C133" i="2" s="1"/>
  <c r="L400" i="1"/>
  <c r="C8" i="13"/>
  <c r="C117" i="2"/>
  <c r="C17" i="10"/>
  <c r="E16" i="13"/>
  <c r="C16" i="13" s="1"/>
  <c r="G32" i="2"/>
  <c r="E55" i="2"/>
  <c r="K541" i="1"/>
  <c r="H185" i="1"/>
  <c r="G619" i="1" s="1"/>
  <c r="J619" i="1" s="1"/>
  <c r="F33" i="13"/>
  <c r="G635" i="1"/>
  <c r="J635" i="1" s="1"/>
  <c r="J184" i="1"/>
  <c r="J185" i="1" s="1"/>
  <c r="F44" i="1"/>
  <c r="H607" i="1" s="1"/>
  <c r="J607" i="1" s="1"/>
  <c r="G612" i="1"/>
  <c r="J612" i="1" s="1"/>
  <c r="L561" i="1"/>
  <c r="D73" i="2"/>
  <c r="D96" i="2" s="1"/>
  <c r="C96" i="2"/>
  <c r="K540" i="1"/>
  <c r="I653" i="1"/>
  <c r="E120" i="2"/>
  <c r="H657" i="1"/>
  <c r="H662" i="1"/>
  <c r="F185" i="1"/>
  <c r="G617" i="1" s="1"/>
  <c r="J617" i="1" s="1"/>
  <c r="F137" i="2"/>
  <c r="D32" i="2"/>
  <c r="J631" i="1"/>
  <c r="J19" i="1"/>
  <c r="G611" i="1" s="1"/>
  <c r="G9" i="2"/>
  <c r="G19" i="2" s="1"/>
  <c r="L330" i="1"/>
  <c r="L344" i="1" s="1"/>
  <c r="G623" i="1" s="1"/>
  <c r="J623" i="1" s="1"/>
  <c r="D31" i="13"/>
  <c r="C31" i="13" s="1"/>
  <c r="J641" i="1"/>
  <c r="D42" i="2"/>
  <c r="D43" i="2" s="1"/>
  <c r="E107" i="2"/>
  <c r="G654" i="1"/>
  <c r="J634" i="1"/>
  <c r="E73" i="2"/>
  <c r="J33" i="1"/>
  <c r="G55" i="2"/>
  <c r="C11" i="10"/>
  <c r="D5" i="13"/>
  <c r="L203" i="1"/>
  <c r="C102" i="2"/>
  <c r="C107" i="2" s="1"/>
  <c r="J629" i="1"/>
  <c r="G36" i="2"/>
  <c r="G42" i="2" s="1"/>
  <c r="J43" i="1"/>
  <c r="I185" i="1"/>
  <c r="G620" i="1" s="1"/>
  <c r="J620" i="1" s="1"/>
  <c r="D12" i="13"/>
  <c r="C12" i="13" s="1"/>
  <c r="C18" i="10"/>
  <c r="C113" i="2"/>
  <c r="F539" i="1"/>
  <c r="L514" i="1"/>
  <c r="L535" i="1" s="1"/>
  <c r="C35" i="10"/>
  <c r="C20" i="10"/>
  <c r="I438" i="1"/>
  <c r="G632" i="1" s="1"/>
  <c r="J632" i="1" s="1"/>
  <c r="C122" i="2"/>
  <c r="C23" i="10"/>
  <c r="F651" i="1"/>
  <c r="I651" i="1" s="1"/>
  <c r="C38" i="10"/>
  <c r="G625" i="1"/>
  <c r="J625" i="1" s="1"/>
  <c r="E153" i="2"/>
  <c r="G153" i="2" s="1"/>
  <c r="E77" i="2"/>
  <c r="E83" i="2" s="1"/>
  <c r="C24" i="2"/>
  <c r="C32" i="2" s="1"/>
  <c r="C15" i="10"/>
  <c r="H33" i="13"/>
  <c r="C41" i="2"/>
  <c r="C42" i="2" s="1"/>
  <c r="C43" i="2" s="1"/>
  <c r="C32" i="10"/>
  <c r="C21" i="10"/>
  <c r="G104" i="1"/>
  <c r="G185" i="1" s="1"/>
  <c r="G618" i="1" s="1"/>
  <c r="J618" i="1" s="1"/>
  <c r="G615" i="1"/>
  <c r="J615" i="1" s="1"/>
  <c r="J203" i="1"/>
  <c r="J249" i="1" s="1"/>
  <c r="G88" i="2"/>
  <c r="G95" i="2" s="1"/>
  <c r="E123" i="2"/>
  <c r="E136" i="2" s="1"/>
  <c r="C110" i="2"/>
  <c r="C134" i="2"/>
  <c r="C116" i="2"/>
  <c r="C29" i="10"/>
  <c r="G645" i="1"/>
  <c r="J645" i="1" s="1"/>
  <c r="G640" i="1"/>
  <c r="J640" i="1" s="1"/>
  <c r="C106" i="2"/>
  <c r="D18" i="13"/>
  <c r="C18" i="13" s="1"/>
  <c r="I203" i="1"/>
  <c r="I249" i="1" s="1"/>
  <c r="I263" i="1" s="1"/>
  <c r="G33" i="1"/>
  <c r="G44" i="1" s="1"/>
  <c r="H608" i="1" s="1"/>
  <c r="J608" i="1" s="1"/>
  <c r="C114" i="2"/>
  <c r="G639" i="1"/>
  <c r="J639" i="1" s="1"/>
  <c r="F48" i="2"/>
  <c r="F55" i="2" s="1"/>
  <c r="F96" i="2" s="1"/>
  <c r="C13" i="10"/>
  <c r="H637" i="1"/>
  <c r="J637" i="1" s="1"/>
  <c r="D15" i="13"/>
  <c r="C15" i="13" s="1"/>
  <c r="C137" i="2" l="1"/>
  <c r="G636" i="1"/>
  <c r="G621" i="1"/>
  <c r="J621" i="1" s="1"/>
  <c r="C120" i="2"/>
  <c r="K539" i="1"/>
  <c r="K542" i="1" s="1"/>
  <c r="F542" i="1"/>
  <c r="G657" i="1"/>
  <c r="G662" i="1"/>
  <c r="E137" i="2"/>
  <c r="H638" i="1"/>
  <c r="J638" i="1" s="1"/>
  <c r="J263" i="1"/>
  <c r="D38" i="10"/>
  <c r="D33" i="13"/>
  <c r="D36" i="13" s="1"/>
  <c r="C5" i="13"/>
  <c r="L249" i="1"/>
  <c r="L263" i="1" s="1"/>
  <c r="G622" i="1" s="1"/>
  <c r="J622" i="1" s="1"/>
  <c r="F650" i="1"/>
  <c r="C28" i="10"/>
  <c r="G616" i="1"/>
  <c r="J616" i="1" s="1"/>
  <c r="J44" i="1"/>
  <c r="H611" i="1" s="1"/>
  <c r="J611" i="1" s="1"/>
  <c r="E33" i="13"/>
  <c r="D35" i="13" s="1"/>
  <c r="D21" i="10"/>
  <c r="G627" i="1"/>
  <c r="J627" i="1" s="1"/>
  <c r="H636" i="1"/>
  <c r="G96" i="2"/>
  <c r="C136" i="2"/>
  <c r="C36" i="10"/>
  <c r="C41" i="10"/>
  <c r="D35" i="10" s="1"/>
  <c r="D23" i="10"/>
  <c r="G43" i="2"/>
  <c r="D15" i="10"/>
  <c r="E96" i="2"/>
  <c r="D41" i="10" l="1"/>
  <c r="D22" i="10"/>
  <c r="C30" i="10"/>
  <c r="D10" i="10"/>
  <c r="D16" i="10"/>
  <c r="D12" i="10"/>
  <c r="D25" i="10"/>
  <c r="D24" i="10"/>
  <c r="D26" i="10"/>
  <c r="D27" i="10"/>
  <c r="D19" i="10"/>
  <c r="D36" i="10"/>
  <c r="D11" i="10"/>
  <c r="D40" i="10"/>
  <c r="D37" i="10"/>
  <c r="D39" i="10"/>
  <c r="D18" i="10"/>
  <c r="D17" i="10"/>
  <c r="D13" i="10"/>
  <c r="I650" i="1"/>
  <c r="I654" i="1" s="1"/>
  <c r="F654" i="1"/>
  <c r="H646" i="1"/>
  <c r="D20" i="10"/>
  <c r="J636" i="1"/>
  <c r="I657" i="1" l="1"/>
  <c r="I662" i="1"/>
  <c r="C7" i="10" s="1"/>
  <c r="D28" i="10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02CF8F4-6AE9-454C-ADEC-15E67462118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B2DCF17-3803-40DC-AD75-B26F97F316A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8E6C45C-1D62-4DFA-877C-68CDD19ECA3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4EF1AAE-0527-44A4-AF15-88181742BAC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C615319-659B-4363-B470-1FF548BE72C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3AD73BA-941D-44DF-B4C7-F8D19BD350EF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8A15F40-47F5-4095-B203-E108E509234D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53DB9FC-2BDA-48A4-BE31-74891F62FFB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F20DFC4-61A3-4396-8AAA-37499A0E3E2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336C301-B6B7-4865-9732-1B9EA306EB5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F0960E14-73EF-41B0-B3F6-0CE87B93C3B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E55437D-3C2B-4FF2-B260-71491B8476D4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<sst xmlns="http://schemas.openxmlformats.org/spreadsheetml/2006/main" count="3866" uniqueCount="902">
  <si>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</si>
  <si>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</si>
  <si>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</si>
  <si>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</si>
  <si>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</si>
  <si>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</si>
  <si>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</si>
  <si>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</si>
  <si>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</si>
  <si>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</si>
  <si>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</si>
  <si>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</si>
  <si>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</si>
  <si>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</si>
  <si>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</si>
  <si>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</si>
  <si>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</si>
  <si>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</si>
  <si>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</si>
  <si>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</si>
  <si>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</si>
  <si>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</si>
  <si>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</si>
  <si>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</si>
  <si>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</si>
  <si>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</si>
  <si>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</si>
  <si>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</si>
  <si>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</si>
  <si>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</si>
  <si>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</si>
  <si>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</si>
  <si>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</si>
  <si>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</si>
  <si>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</si>
  <si>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</si>
  <si>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</si>
  <si>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</si>
  <si>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</si>
  <si>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</si>
  <si>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</si>
  <si>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</si>
  <si>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</si>
  <si>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</si>
  <si>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</si>
  <si>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</si>
  <si>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</si>
  <si>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</si>
  <si>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</si>
  <si>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</si>
  <si>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</si>
  <si>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</si>
  <si>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</si>
  <si>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</si>
  <si>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</si>
  <si>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</si>
  <si>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</si>
  <si>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</si>
  <si>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</si>
  <si>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</si>
  <si>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</si>
  <si>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</si>
  <si>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</si>
  <si>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</si>
  <si>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</si>
  <si>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</si>
  <si>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</si>
  <si>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</si>
  <si>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</si>
  <si>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</si>
  <si>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</si>
  <si>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</si>
  <si>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</si>
  <si>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</si>
  <si>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</si>
  <si>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</si>
  <si>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</si>
  <si>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</si>
  <si>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</si>
  <si>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</si>
  <si>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</si>
  <si>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</si>
  <si>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</si>
  <si>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</si>
  <si>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</si>
  <si>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</si>
  <si>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</si>
  <si>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</si>
  <si>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</si>
  <si>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</si>
  <si>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</si>
  <si>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</si>
  <si>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</si>
  <si>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</si>
  <si>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</si>
  <si>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</si>
  <si>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</si>
  <si>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</si>
  <si>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</si>
  <si>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</si>
  <si>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</si>
  <si>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</si>
  <si>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</si>
  <si>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</si>
  <si>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</si>
  <si>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</si>
  <si>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</si>
  <si>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</si>
  <si>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</si>
  <si>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</si>
  <si>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</si>
  <si>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</si>
  <si>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</si>
  <si>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</si>
  <si>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</si>
  <si>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</si>
  <si>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</si>
  <si>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</si>
  <si>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</si>
  <si>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</si>
  <si>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</si>
  <si>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</si>
  <si>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</si>
  <si>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</si>
  <si>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</si>
  <si>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</si>
  <si>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</si>
  <si>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</si>
  <si>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</si>
  <si>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</si>
  <si>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</si>
  <si>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</si>
  <si>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</si>
  <si>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</si>
  <si>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</si>
  <si>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</si>
  <si>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</si>
  <si>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</si>
  <si>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</si>
  <si>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</si>
  <si>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</si>
  <si>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</si>
  <si>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</si>
  <si>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</si>
  <si>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</si>
  <si>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</si>
  <si>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</si>
  <si>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</si>
  <si>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</si>
  <si>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</si>
  <si>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</si>
  <si>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</si>
  <si>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</si>
  <si>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</si>
  <si>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</si>
  <si>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</si>
  <si>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</si>
  <si>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</si>
  <si>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</si>
  <si>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</si>
  <si>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</si>
  <si>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</si>
  <si>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</si>
  <si>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</si>
  <si>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</si>
  <si>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</si>
  <si>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</si>
  <si>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</si>
  <si>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</si>
  <si>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</si>
  <si>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</si>
  <si>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</si>
  <si>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</si>
  <si>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</si>
  <si>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</si>
  <si>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</si>
  <si>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</si>
  <si>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</si>
  <si>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</si>
  <si>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</si>
  <si>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</si>
  <si>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</si>
  <si>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</si>
  <si>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</si>
  <si>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</si>
  <si>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</si>
  <si>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</si>
  <si>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</si>
  <si>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</si>
  <si>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</si>
  <si>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</si>
  <si>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</si>
  <si>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</si>
  <si>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</si>
  <si>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</si>
  <si>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</si>
  <si>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</si>
  <si>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</si>
  <si>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</si>
  <si>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</si>
  <si>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</si>
  <si>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</si>
  <si>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</si>
  <si>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</si>
  <si>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</si>
  <si>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</si>
  <si>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</si>
  <si>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</si>
  <si>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</si>
  <si>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</si>
  <si>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</si>
  <si>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</si>
  <si>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</si>
  <si>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</si>
  <si>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</si>
  <si>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</si>
  <si>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</si>
  <si>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</si>
  <si>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</si>
  <si>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</si>
  <si>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</si>
  <si>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</si>
  <si>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</si>
  <si>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</si>
  <si>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</si>
  <si>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</si>
  <si>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</si>
  <si>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</si>
  <si>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</si>
  <si>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</si>
  <si>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</si>
  <si>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</si>
  <si>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</si>
  <si>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</si>
  <si>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</si>
  <si>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</si>
  <si>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</si>
  <si>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</si>
  <si>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</si>
  <si>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</si>
  <si>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</si>
  <si>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</si>
  <si>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</si>
  <si>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</si>
  <si>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</si>
  <si>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</si>
  <si>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</si>
  <si>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</si>
  <si>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</si>
  <si>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</si>
  <si>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</si>
  <si>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</si>
  <si>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</si>
  <si>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</si>
  <si>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</si>
  <si>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</si>
  <si>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</si>
  <si>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</si>
  <si>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</si>
  <si>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</si>
  <si>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</si>
  <si>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</si>
  <si>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</si>
  <si>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</si>
  <si>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</si>
  <si>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</si>
  <si>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</si>
  <si>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</si>
  <si>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</si>
  <si>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</si>
  <si>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</si>
  <si>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</si>
  <si>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</si>
  <si>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</si>
  <si>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</si>
  <si>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</si>
  <si>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</si>
  <si>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</si>
  <si>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</si>
  <si>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</si>
  <si>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</si>
  <si>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</si>
  <si>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</si>
  <si>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</si>
  <si>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</si>
  <si>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</si>
  <si>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</si>
  <si>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</si>
  <si>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</si>
  <si>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</si>
  <si>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</si>
  <si>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</si>
  <si>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</si>
  <si>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</si>
  <si>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</si>
  <si>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</si>
  <si>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</si>
  <si>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</si>
  <si>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</si>
  <si>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</si>
  <si>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</si>
  <si>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</si>
  <si>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</si>
  <si>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</si>
  <si>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</si>
  <si>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</si>
  <si>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</si>
  <si>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</si>
  <si>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</si>
  <si>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</si>
  <si>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</si>
  <si>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</si>
  <si>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</si>
  <si>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</si>
  <si>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</si>
  <si>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</si>
  <si>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</si>
  <si>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</si>
  <si>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</si>
  <si>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</si>
  <si>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</si>
  <si>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</si>
  <si>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</si>
  <si>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</si>
  <si>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</si>
  <si>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</si>
  <si>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</si>
  <si>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</si>
  <si>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</si>
  <si>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</si>
  <si>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</si>
  <si>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</si>
  <si>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</si>
  <si>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</si>
  <si>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</si>
  <si>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</si>
  <si>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</si>
  <si>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</si>
  <si>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</si>
  <si>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</si>
  <si>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</si>
  <si>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</si>
  <si>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</si>
  <si>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</si>
  <si>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</si>
  <si>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</si>
  <si>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</si>
  <si>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</si>
  <si>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</si>
  <si>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</si>
  <si>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</si>
  <si>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</si>
  <si>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</si>
  <si>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</si>
  <si>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</si>
  <si>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</si>
  <si>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</si>
  <si>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</si>
  <si>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</si>
  <si>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</si>
  <si>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</si>
  <si>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</si>
  <si>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</si>
  <si>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</si>
  <si>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</si>
  <si>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</si>
  <si>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</si>
  <si>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</si>
  <si>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</si>
  <si>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</si>
  <si>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</si>
  <si>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</si>
  <si>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</si>
  <si>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</si>
  <si>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</si>
  <si>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</si>
  <si>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</si>
  <si>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</si>
  <si>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</si>
  <si>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</si>
  <si>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</si>
  <si>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</si>
  <si>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</si>
  <si>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</si>
  <si>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</si>
  <si>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</si>
  <si>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</si>
  <si>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</si>
  <si>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</si>
  <si>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</si>
  <si>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</si>
  <si>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</si>
  <si>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</si>
  <si>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</si>
  <si>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</si>
  <si>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</si>
  <si>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</si>
  <si>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</si>
  <si>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</si>
  <si>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</si>
  <si>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</si>
  <si>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</si>
  <si>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</si>
  <si>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</si>
  <si>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</si>
  <si>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</si>
  <si>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</si>
  <si>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</si>
  <si>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</si>
  <si>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</si>
  <si>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</si>
  <si>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</si>
  <si>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</si>
  <si>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</si>
  <si>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</si>
  <si>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</si>
  <si>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</si>
  <si>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</si>
  <si>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</si>
  <si>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</si>
  <si>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</si>
  <si>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</si>
  <si>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</si>
  <si>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</si>
  <si>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</si>
  <si>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</si>
  <si>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</si>
  <si>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</si>
  <si>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</si>
  <si>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</si>
  <si>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</si>
  <si>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</si>
  <si>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</si>
  <si>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</si>
  <si>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</si>
  <si>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</si>
  <si>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</si>
  <si>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</si>
  <si>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</si>
  <si>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</si>
  <si>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</si>
  <si>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</si>
  <si>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</si>
  <si>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</si>
  <si>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</si>
  <si>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</si>
  <si>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</si>
  <si>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</si>
  <si>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</si>
  <si>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</si>
  <si>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</si>
  <si>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</si>
  <si>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</si>
  <si>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</si>
  <si>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</si>
  <si>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</si>
  <si>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</si>
  <si>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</si>
  <si>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</si>
  <si>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</si>
  <si>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</si>
  <si>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</si>
  <si>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</si>
  <si>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</si>
  <si>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</si>
  <si>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</si>
  <si>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</si>
  <si>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</si>
  <si>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</si>
  <si>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</si>
  <si>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</si>
  <si>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</si>
  <si>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</si>
  <si>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</si>
  <si>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</si>
  <si>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</si>
  <si>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</si>
  <si>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</si>
  <si>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</si>
  <si>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</si>
  <si>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</si>
  <si>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</si>
  <si>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</si>
  <si>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</si>
  <si>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</si>
  <si>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</si>
  <si>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</si>
  <si>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</si>
  <si>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</si>
  <si>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</si>
  <si>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</si>
  <si>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</si>
  <si>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</si>
  <si>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</si>
  <si>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</si>
  <si>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</si>
  <si>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</si>
  <si>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</si>
  <si>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</si>
  <si>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</si>
  <si>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</si>
  <si>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</si>
  <si>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</si>
  <si>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</si>
  <si>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</si>
  <si>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</si>
  <si>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</si>
  <si>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</si>
  <si>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</si>
  <si>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</si>
  <si>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</si>
  <si>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</si>
  <si>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</si>
  <si>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</si>
  <si>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</si>
  <si>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</si>
  <si>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</si>
  <si>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</si>
  <si>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</si>
  <si>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</si>
  <si>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</si>
  <si>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</si>
  <si>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</si>
  <si>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</si>
  <si>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</si>
  <si>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</si>
  <si>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</si>
  <si>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</si>
  <si>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</si>
  <si>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</si>
  <si>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</si>
  <si>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</si>
  <si>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</si>
  <si>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</si>
  <si>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</si>
  <si>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</si>
  <si>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</si>
  <si>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</si>
  <si>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</si>
  <si>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</si>
  <si>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</si>
  <si>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</si>
  <si>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</si>
  <si>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</si>
  <si>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</si>
  <si>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</si>
  <si>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</si>
  <si>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</si>
  <si>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</si>
  <si>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</si>
  <si>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</si>
  <si>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</si>
  <si>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</si>
  <si>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</si>
  <si>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</si>
  <si>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</si>
  <si>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</si>
  <si>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</si>
  <si>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</si>
  <si>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</si>
  <si>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</si>
  <si>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</si>
  <si>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</si>
  <si>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</si>
  <si>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</si>
  <si>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</si>
  <si>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</si>
  <si>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</si>
  <si>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</si>
  <si>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</si>
  <si>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</si>
  <si>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</si>
  <si>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</si>
  <si>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</si>
  <si>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</si>
  <si>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</si>
  <si>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</si>
  <si>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</si>
  <si>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</si>
  <si>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</si>
  <si>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</si>
  <si>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</si>
  <si>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</si>
  <si>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</si>
  <si>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</si>
  <si>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</si>
  <si>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</si>
  <si>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</si>
  <si>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</si>
  <si>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</si>
  <si>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</si>
  <si>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</si>
  <si>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</si>
  <si>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</si>
  <si>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</si>
  <si>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</si>
  <si>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</si>
  <si>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</si>
  <si>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</si>
  <si>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</si>
  <si>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</si>
  <si>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</si>
  <si>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</si>
  <si>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</si>
  <si>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</si>
  <si>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</si>
  <si>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</si>
  <si>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</si>
  <si>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</si>
  <si>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</si>
  <si>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</si>
  <si>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</si>
  <si>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</si>
  <si>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</si>
  <si>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</si>
  <si>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</si>
  <si>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</si>
  <si>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</si>
  <si>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</si>
  <si>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</si>
  <si>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</si>
  <si>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</si>
  <si>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</si>
  <si>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</si>
  <si>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</si>
  <si>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</si>
  <si>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</si>
  <si>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</si>
  <si>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</si>
  <si>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</si>
  <si>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</si>
  <si>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</si>
  <si>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</si>
  <si>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</si>
  <si>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</si>
  <si>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</si>
  <si>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</si>
  <si>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</si>
  <si>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</si>
  <si>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</si>
  <si>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</si>
  <si>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</si>
  <si>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</si>
  <si>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</si>
  <si>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</si>
  <si>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</si>
  <si>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</si>
  <si>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</si>
  <si>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</si>
  <si>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</si>
  <si>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</si>
  <si>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</si>
  <si>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</si>
  <si>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</si>
  <si>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</si>
  <si>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</si>
  <si>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</si>
  <si>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</si>
  <si>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</si>
  <si>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</si>
  <si>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</si>
  <si>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</si>
  <si>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</si>
  <si>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</si>
  <si>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</si>
  <si>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</si>
  <si>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</si>
  <si>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</si>
  <si>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</si>
  <si>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</si>
  <si>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</si>
  <si>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</si>
  <si>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</si>
  <si>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</si>
  <si>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</si>
  <si>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</si>
  <si>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</si>
  <si>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</si>
  <si>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</si>
  <si>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</si>
  <si>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</si>
  <si>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</si>
  <si>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</si>
  <si>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</si>
  <si>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</si>
  <si>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</si>
  <si>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</si>
  <si>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</si>
  <si>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</si>
  <si>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</si>
  <si>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</si>
  <si>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</si>
  <si>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</si>
  <si>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</si>
  <si>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</si>
  <si>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</si>
  <si>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</si>
  <si>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</si>
  <si>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</si>
  <si>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</si>
  <si>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</si>
  <si>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</si>
  <si>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</si>
  <si>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</si>
  <si>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</si>
  <si>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</si>
  <si>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</si>
  <si>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</si>
  <si>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</si>
  <si>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</si>
  <si>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</si>
  <si>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</si>
  <si>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</si>
  <si>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</si>
  <si>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</si>
  <si>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</si>
  <si>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</si>
  <si>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</si>
  <si>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</si>
  <si>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</si>
  <si>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</si>
  <si>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</si>
  <si>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</si>
  <si>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</si>
  <si>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</si>
  <si>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</si>
  <si>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</si>
  <si>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</si>
  <si>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</si>
  <si>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</si>
  <si>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</si>
  <si>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</si>
  <si>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</si>
  <si>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</si>
  <si>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</si>
  <si>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</si>
  <si>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</si>
  <si>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</si>
  <si>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</si>
  <si>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</si>
  <si>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</si>
  <si>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</si>
  <si>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</si>
  <si>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</si>
  <si>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</si>
  <si>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</si>
  <si>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</si>
  <si>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</si>
  <si>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</si>
  <si>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</si>
  <si>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</si>
  <si>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</si>
  <si>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</si>
  <si>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</si>
  <si>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</si>
  <si>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</si>
  <si>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</si>
  <si>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</si>
  <si>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</si>
  <si>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</si>
  <si>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</si>
  <si>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</si>
  <si>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</si>
  <si>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</si>
  <si>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</si>
  <si>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</si>
  <si>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</si>
  <si>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</si>
  <si>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</si>
  <si>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</si>
  <si>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</si>
  <si>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</si>
  <si>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</si>
  <si>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</si>
  <si>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</si>
  <si>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</si>
  <si>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</si>
  <si>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</si>
  <si>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</si>
  <si>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</si>
  <si>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</si>
  <si>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</si>
  <si>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</si>
  <si>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</si>
  <si>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</si>
  <si>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</si>
  <si>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</si>
  <si>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</si>
  <si>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</si>
  <si>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</si>
  <si>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</si>
  <si>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</si>
  <si>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</si>
  <si>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</si>
  <si>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</si>
  <si>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</si>
  <si>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</si>
  <si>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</si>
  <si>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</si>
  <si>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</si>
  <si>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</si>
  <si>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</si>
  <si>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</si>
  <si>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</si>
  <si>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</si>
  <si>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</si>
  <si>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</si>
  <si>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</si>
  <si>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</si>
  <si>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</si>
  <si>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</si>
  <si>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</si>
  <si>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</si>
  <si>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</si>
  <si>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</si>
  <si>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</si>
  <si>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</si>
  <si>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</si>
  <si>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</si>
  <si>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</si>
  <si>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</si>
  <si>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</si>
  <si>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</si>
  <si>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</si>
  <si>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</si>
  <si>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</si>
  <si>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</si>
  <si>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</si>
  <si>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</si>
  <si>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</si>
  <si>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</si>
  <si>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</si>
  <si>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</si>
  <si>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</si>
  <si>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</si>
  <si>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</si>
  <si>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</si>
  <si>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</si>
  <si>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</si>
  <si>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</si>
  <si>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</si>
  <si>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</si>
  <si>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</si>
  <si>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</si>
  <si>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</si>
  <si>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</si>
  <si>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</si>
  <si>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</si>
  <si>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</si>
  <si>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</si>
  <si>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</si>
  <si>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</si>
  <si>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</si>
  <si>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</si>
  <si>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</si>
  <si>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</si>
  <si>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</si>
  <si>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</si>
  <si>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</si>
  <si>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</si>
  <si>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</si>
  <si>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</si>
  <si>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</si>
  <si>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</si>
  <si>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</si>
  <si>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</si>
  <si>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</si>
  <si>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</si>
  <si>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</si>
  <si>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</si>
  <si>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</si>
  <si>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</si>
  <si>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</si>
  <si>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</si>
  <si>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</si>
  <si>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</si>
  <si>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</si>
  <si>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</si>
  <si>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</si>
  <si>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</si>
  <si>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</si>
  <si>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</si>
  <si>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</si>
  <si>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</si>
  <si>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</si>
  <si>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</si>
  <si>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</si>
  <si>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</si>
  <si>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</si>
  <si>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</si>
  <si>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</si>
  <si>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</si>
  <si>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</si>
  <si>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</si>
  <si>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06/00</t>
  </si>
  <si>
    <t>07/11</t>
  </si>
  <si>
    <t>AGENCY FUNDS</t>
  </si>
  <si>
    <t>$1.50 Interfund Adjustment</t>
  </si>
  <si>
    <t>$42.00 Agency Fund Audit Adjustment</t>
  </si>
  <si>
    <t>$1,000 GF Audit Adjustment, $1.50 Interfund Adjustment</t>
  </si>
  <si>
    <t>$1,895.10 GF Audit Adjustment</t>
  </si>
  <si>
    <t>Mont Vernon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</si>
</sst>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40" fontId="3" fillId="0" borderId="0" xfId="0" quotePrefix="1" applyNumberFormat="1" applyFont="1" applyProtection="1">
      <protection locked="0"/>
    </xf>
    <xf numFmtId="0" fontId="0" fillId="0" borderId="0" xfId="0" quotePrefix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1337-183C-4249-8CF9-F61F8C228C7A}">
  <sheetPr transitionEvaluation="1" transitionEntry="1" codeName="Sheet1">
    <tabColor indexed="56"/>
  </sheetPr>
  <dimension ref="A1:AQ66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G660" sqref="G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5" t="s">
        <v>901</v>
      </c>
      <c r="B2" s="21">
        <v>367</v>
      </c>
      <c r="C2" s="21">
        <v>367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304</v>
      </c>
      <c r="G6" s="225" t="s">
        <v>305</v>
      </c>
      <c r="H6" s="225" t="s">
        <v>306</v>
      </c>
      <c r="I6" s="225" t="s">
        <v>307</v>
      </c>
      <c r="J6" s="225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5"/>
      <c r="G7" s="226"/>
      <c r="H7" s="225" t="s">
        <v>803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238748.43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17925.509999999998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24446.73</v>
      </c>
      <c r="G12" s="18">
        <v>17786.66</v>
      </c>
      <c r="H12" s="18"/>
      <c r="I12" s="18"/>
      <c r="J12" s="67">
        <f>SUM(I433)</f>
        <v>1024.6199999999999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425</v>
      </c>
      <c r="G13" s="18">
        <f>5443.18</f>
        <v>5443.18</v>
      </c>
      <c r="H13" s="18">
        <v>42497.48</v>
      </c>
      <c r="I13" s="18"/>
      <c r="J13" s="67">
        <f>SUM(I434)</f>
        <v>43942.369999999995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>
        <v>35</v>
      </c>
      <c r="H14" s="18">
        <v>0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281545.67</v>
      </c>
      <c r="G19" s="41">
        <f>SUM(G9:G18)</f>
        <v>23264.84</v>
      </c>
      <c r="H19" s="41">
        <f>SUM(H9:H18)</f>
        <v>42497.48</v>
      </c>
      <c r="I19" s="41">
        <f>SUM(I9:I18)</f>
        <v>0</v>
      </c>
      <c r="J19" s="41">
        <f>SUM(J9:J18)</f>
        <v>44966.99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771</v>
      </c>
      <c r="H23" s="18">
        <v>42487.01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2516.58</v>
      </c>
      <c r="G24" s="18">
        <f>304.1+2746.04</f>
        <v>3050.14</v>
      </c>
      <c r="H24" s="18">
        <v>0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486.72+1441.12</f>
        <v>1927.84</v>
      </c>
      <c r="G25" s="18">
        <f>118.88</f>
        <v>118.88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468.54</v>
      </c>
      <c r="G29" s="18">
        <v>0</v>
      </c>
      <c r="H29" s="18">
        <v>0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6883</v>
      </c>
      <c r="G30" s="18">
        <v>0</v>
      </c>
      <c r="H30" s="18">
        <v>0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10.47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369.55</v>
      </c>
      <c r="G32" s="18">
        <v>0</v>
      </c>
      <c r="H32" s="18">
        <v>0</v>
      </c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12165.509999999998</v>
      </c>
      <c r="G33" s="41">
        <f>SUM(G23:G32)</f>
        <v>3940.02</v>
      </c>
      <c r="H33" s="41">
        <f>SUM(H23:H32)</f>
        <v>42497.48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24553.58</v>
      </c>
      <c r="G37" s="18">
        <v>106.13</v>
      </c>
      <c r="H37" s="18">
        <v>0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3543.68+16446.01+-771</f>
        <v>19218.689999999999</v>
      </c>
      <c r="H41" s="18">
        <v>0</v>
      </c>
      <c r="I41" s="18"/>
      <c r="J41" s="13">
        <f>SUM(I449)</f>
        <v>44966.99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7565.66+267021.86+-29760.94</f>
        <v>244826.57999999996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269380.15999999997</v>
      </c>
      <c r="G43" s="41">
        <f>SUM(G35:G42)</f>
        <v>19324.82</v>
      </c>
      <c r="H43" s="41">
        <f>SUM(H35:H42)</f>
        <v>0</v>
      </c>
      <c r="I43" s="41">
        <f>SUM(I35:I42)</f>
        <v>0</v>
      </c>
      <c r="J43" s="41">
        <f>SUM(J35:J42)</f>
        <v>44966.99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281545.67</v>
      </c>
      <c r="G44" s="41">
        <f>G43+G33</f>
        <v>23264.84</v>
      </c>
      <c r="H44" s="41">
        <f>H43+H33</f>
        <v>42497.48</v>
      </c>
      <c r="I44" s="41">
        <f>I43+I33</f>
        <v>0</v>
      </c>
      <c r="J44" s="41">
        <f>J43+J33</f>
        <v>44966.99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2616836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2616836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1601.93</v>
      </c>
      <c r="G88" s="18"/>
      <c r="H88" s="18"/>
      <c r="I88" s="18"/>
      <c r="J88" s="18">
        <v>74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51228.98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70</v>
      </c>
      <c r="G94" s="18"/>
      <c r="H94" s="18">
        <v>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81.900000000000006</v>
      </c>
      <c r="G101" s="18">
        <v>87.38</v>
      </c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0</v>
      </c>
      <c r="G102" s="18">
        <v>0</v>
      </c>
      <c r="H102" s="18"/>
      <c r="I102" s="18"/>
      <c r="J102" s="18">
        <v>1040.6600000000001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1773.8300000000002</v>
      </c>
      <c r="G103" s="41">
        <f>SUM(G88:G102)</f>
        <v>51316.36</v>
      </c>
      <c r="H103" s="41">
        <f>SUM(H88:H102)</f>
        <v>0</v>
      </c>
      <c r="I103" s="41">
        <f>SUM(I88:I102)</f>
        <v>0</v>
      </c>
      <c r="J103" s="41">
        <f>SUM(J88:J102)</f>
        <v>1114.6600000000001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2618609.83</v>
      </c>
      <c r="G104" s="41">
        <f>G52+G103</f>
        <v>51316.36</v>
      </c>
      <c r="H104" s="41">
        <f>H52+H71+H86+H103</f>
        <v>0</v>
      </c>
      <c r="I104" s="41">
        <f>I52+I103</f>
        <v>0</v>
      </c>
      <c r="J104" s="41">
        <f>J52+J103</f>
        <v>1114.6600000000001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924375.17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395983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33526.83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1353885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30013.5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103868.27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699.71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133881.77000000002</v>
      </c>
      <c r="G128" s="41">
        <f>SUM(G115:G127)</f>
        <v>699.71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1487766.77</v>
      </c>
      <c r="G132" s="41">
        <f>G113+SUM(G128:G129)</f>
        <v>699.71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4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5645.65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25378.45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17346.759999999998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15450.84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84670.97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41474.57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41474.57</v>
      </c>
      <c r="G154" s="41">
        <f>SUM(G142:G153)</f>
        <v>15450.84</v>
      </c>
      <c r="H154" s="41">
        <f>SUM(H142:H153)</f>
        <v>133041.83000000002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41474.57</v>
      </c>
      <c r="G161" s="41">
        <f>G139+G154+SUM(G155:G160)</f>
        <v>15450.84</v>
      </c>
      <c r="H161" s="41">
        <f>H139+H154+SUM(H155:H160)</f>
        <v>133041.83000000002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4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/>
      <c r="I171" s="18"/>
      <c r="J171" s="18">
        <f>61000</f>
        <v>61000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61000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61000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4147851.17</v>
      </c>
      <c r="G185" s="47">
        <f>G104+G132+G161+G184</f>
        <v>67466.91</v>
      </c>
      <c r="H185" s="47">
        <f>H104+H132+H161+H184</f>
        <v>133041.83000000002</v>
      </c>
      <c r="I185" s="47">
        <f>I104+I132+I161+I184</f>
        <v>0</v>
      </c>
      <c r="J185" s="47">
        <f>J104+J132+J184</f>
        <v>62114.66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6" t="s">
        <v>724</v>
      </c>
      <c r="G186" s="176" t="s">
        <v>725</v>
      </c>
      <c r="H186" s="176" t="s">
        <v>726</v>
      </c>
      <c r="I186" s="176" t="s">
        <v>727</v>
      </c>
      <c r="J186" s="176" t="s">
        <v>728</v>
      </c>
      <c r="K186" s="176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806796.19</v>
      </c>
      <c r="G189" s="18">
        <f>296561.81+3</f>
        <v>296564.81</v>
      </c>
      <c r="H189" s="18">
        <v>18251.97</v>
      </c>
      <c r="I189" s="18">
        <v>39211.35</v>
      </c>
      <c r="J189" s="18">
        <v>22296.37</v>
      </c>
      <c r="K189" s="18">
        <v>0</v>
      </c>
      <c r="L189" s="19">
        <f>SUM(F189:K189)</f>
        <v>1183120.6900000002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340317.66</v>
      </c>
      <c r="G190" s="18">
        <v>111281.36</v>
      </c>
      <c r="H190" s="18">
        <f>365078.11-(3102.17+56769.13)</f>
        <v>305206.81</v>
      </c>
      <c r="I190" s="18">
        <v>7493.05</v>
      </c>
      <c r="J190" s="18">
        <v>211.95</v>
      </c>
      <c r="K190" s="18">
        <v>125</v>
      </c>
      <c r="L190" s="19">
        <f>SUM(F190:K190)</f>
        <v>764635.83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6557</v>
      </c>
      <c r="G192" s="18">
        <v>706.99</v>
      </c>
      <c r="H192" s="18">
        <v>0</v>
      </c>
      <c r="I192" s="18">
        <v>307.36</v>
      </c>
      <c r="J192" s="18">
        <v>0</v>
      </c>
      <c r="K192" s="18">
        <v>0</v>
      </c>
      <c r="L192" s="19">
        <f>SUM(F192:K192)</f>
        <v>7571.3499999999995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96804.74</v>
      </c>
      <c r="G194" s="18">
        <v>32845.919999999998</v>
      </c>
      <c r="H194" s="18">
        <v>3052.5</v>
      </c>
      <c r="I194" s="18">
        <f>2617.33+1255</f>
        <v>3872.33</v>
      </c>
      <c r="J194" s="18">
        <v>0</v>
      </c>
      <c r="K194" s="18">
        <v>0</v>
      </c>
      <c r="L194" s="19">
        <f t="shared" ref="L194:L200" si="0">SUM(F194:K194)</f>
        <v>136575.49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89034.55</v>
      </c>
      <c r="G195" s="18">
        <f>44156.57+1443.58</f>
        <v>45600.15</v>
      </c>
      <c r="H195" s="18">
        <v>895.48</v>
      </c>
      <c r="I195" s="18">
        <v>13007.45</v>
      </c>
      <c r="J195" s="18">
        <v>3752</v>
      </c>
      <c r="K195" s="18">
        <v>0</v>
      </c>
      <c r="L195" s="19">
        <f t="shared" si="0"/>
        <v>152289.63000000003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3260.45</v>
      </c>
      <c r="G196" s="18">
        <v>265.07</v>
      </c>
      <c r="H196" s="18">
        <f>179775.68</f>
        <v>179775.68</v>
      </c>
      <c r="I196" s="18">
        <v>243.8</v>
      </c>
      <c r="J196" s="18">
        <v>0</v>
      </c>
      <c r="K196" s="18">
        <v>3243.61</v>
      </c>
      <c r="L196" s="19">
        <f t="shared" si="0"/>
        <v>186788.60999999996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134862.76</v>
      </c>
      <c r="G197" s="18">
        <v>65203.85</v>
      </c>
      <c r="H197" s="18">
        <f>3177.33+378.79</f>
        <v>3556.12</v>
      </c>
      <c r="I197" s="18">
        <v>3151.35</v>
      </c>
      <c r="J197" s="18">
        <v>0</v>
      </c>
      <c r="K197" s="18">
        <v>774</v>
      </c>
      <c r="L197" s="19">
        <f t="shared" si="0"/>
        <v>207548.08000000002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81067.81</v>
      </c>
      <c r="G199" s="18">
        <v>31098.959999999999</v>
      </c>
      <c r="H199" s="18">
        <f>58349.46+6759.28+3980</f>
        <v>69088.739999999991</v>
      </c>
      <c r="I199" s="18">
        <v>72532.820000000007</v>
      </c>
      <c r="J199" s="18">
        <v>574.98</v>
      </c>
      <c r="K199" s="18">
        <v>0</v>
      </c>
      <c r="L199" s="19">
        <f t="shared" si="0"/>
        <v>254363.31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f>167488.34+1212+432.5</f>
        <v>169132.84</v>
      </c>
      <c r="I200" s="18">
        <v>0</v>
      </c>
      <c r="J200" s="18">
        <v>0</v>
      </c>
      <c r="K200" s="18">
        <v>0</v>
      </c>
      <c r="L200" s="19">
        <f t="shared" si="0"/>
        <v>169132.84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14874.16</v>
      </c>
      <c r="I201" s="18">
        <f>3154.56+688.05</f>
        <v>3842.6099999999997</v>
      </c>
      <c r="J201" s="18">
        <f>24000.56+898.87</f>
        <v>24899.43</v>
      </c>
      <c r="K201" s="18">
        <v>0</v>
      </c>
      <c r="L201" s="19">
        <f>SUM(F201:K201)</f>
        <v>43616.2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1558701.16</v>
      </c>
      <c r="G203" s="41">
        <f t="shared" si="1"/>
        <v>583567.11</v>
      </c>
      <c r="H203" s="41">
        <f t="shared" si="1"/>
        <v>763834.3</v>
      </c>
      <c r="I203" s="41">
        <f t="shared" si="1"/>
        <v>143662.12</v>
      </c>
      <c r="J203" s="41">
        <f t="shared" si="1"/>
        <v>51734.729999999996</v>
      </c>
      <c r="K203" s="41">
        <f t="shared" si="1"/>
        <v>4142.6100000000006</v>
      </c>
      <c r="L203" s="41">
        <f t="shared" si="1"/>
        <v>3105642.0300000003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6" t="s">
        <v>724</v>
      </c>
      <c r="G204" s="176" t="s">
        <v>725</v>
      </c>
      <c r="H204" s="176" t="s">
        <v>726</v>
      </c>
      <c r="I204" s="176" t="s">
        <v>727</v>
      </c>
      <c r="J204" s="176" t="s">
        <v>728</v>
      </c>
      <c r="K204" s="176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952079.94</v>
      </c>
      <c r="I207" s="18"/>
      <c r="J207" s="18"/>
      <c r="K207" s="18"/>
      <c r="L207" s="19">
        <f>SUM(F207:K207)</f>
        <v>952079.94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f>56769.13+3102.17+1441.12</f>
        <v>61312.42</v>
      </c>
      <c r="I208" s="18"/>
      <c r="J208" s="18"/>
      <c r="K208" s="18"/>
      <c r="L208" s="19">
        <f>SUM(F208:K208)</f>
        <v>61312.42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1013392.36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1013392.36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6" t="s">
        <v>724</v>
      </c>
      <c r="G222" s="176" t="s">
        <v>725</v>
      </c>
      <c r="H222" s="176" t="s">
        <v>726</v>
      </c>
      <c r="I222" s="176" t="s">
        <v>727</v>
      </c>
      <c r="J222" s="176" t="s">
        <v>728</v>
      </c>
      <c r="K222" s="176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6" t="s">
        <v>724</v>
      </c>
      <c r="G240" s="176" t="s">
        <v>725</v>
      </c>
      <c r="H240" s="176" t="s">
        <v>726</v>
      </c>
      <c r="I240" s="176" t="s">
        <v>727</v>
      </c>
      <c r="J240" s="176" t="s">
        <v>728</v>
      </c>
      <c r="K240" s="176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1558701.16</v>
      </c>
      <c r="G249" s="41">
        <f t="shared" si="8"/>
        <v>583567.11</v>
      </c>
      <c r="H249" s="41">
        <f t="shared" si="8"/>
        <v>1777226.6600000001</v>
      </c>
      <c r="I249" s="41">
        <f t="shared" si="8"/>
        <v>143662.12</v>
      </c>
      <c r="J249" s="41">
        <f t="shared" si="8"/>
        <v>51734.729999999996</v>
      </c>
      <c r="K249" s="41">
        <f t="shared" si="8"/>
        <v>4142.6100000000006</v>
      </c>
      <c r="L249" s="41">
        <f t="shared" si="8"/>
        <v>4119034.39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84994.86</v>
      </c>
      <c r="L252" s="19">
        <f>SUM(F252:K252)</f>
        <v>84994.86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2210</v>
      </c>
      <c r="L253" s="19">
        <f>SUM(F253:K253)</f>
        <v>2210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61000</f>
        <v>61000</v>
      </c>
      <c r="L258" s="19">
        <f t="shared" si="9"/>
        <v>61000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148204.85999999999</v>
      </c>
      <c r="L262" s="41">
        <f t="shared" si="9"/>
        <v>148204.85999999999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1558701.16</v>
      </c>
      <c r="G263" s="42">
        <f t="shared" si="11"/>
        <v>583567.11</v>
      </c>
      <c r="H263" s="42">
        <f t="shared" si="11"/>
        <v>1777226.6600000001</v>
      </c>
      <c r="I263" s="42">
        <f t="shared" si="11"/>
        <v>143662.12</v>
      </c>
      <c r="J263" s="42">
        <f t="shared" si="11"/>
        <v>51734.729999999996</v>
      </c>
      <c r="K263" s="42">
        <f t="shared" si="11"/>
        <v>152347.46999999997</v>
      </c>
      <c r="L263" s="42">
        <f t="shared" si="11"/>
        <v>4267239.25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6" t="s">
        <v>724</v>
      </c>
      <c r="G265" s="176" t="s">
        <v>725</v>
      </c>
      <c r="H265" s="176" t="s">
        <v>726</v>
      </c>
      <c r="I265" s="176" t="s">
        <v>727</v>
      </c>
      <c r="J265" s="176" t="s">
        <v>728</v>
      </c>
      <c r="K265" s="176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19120.740000000002</v>
      </c>
      <c r="G268" s="18">
        <v>2047.88</v>
      </c>
      <c r="H268" s="18">
        <v>22760.7</v>
      </c>
      <c r="I268" s="18">
        <v>0</v>
      </c>
      <c r="J268" s="18">
        <v>0</v>
      </c>
      <c r="K268" s="18">
        <v>0</v>
      </c>
      <c r="L268" s="19">
        <f>SUM(F268:K268)</f>
        <v>43929.320000000007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52412.74</v>
      </c>
      <c r="G269" s="18">
        <v>5914.36</v>
      </c>
      <c r="H269" s="18">
        <v>602.24</v>
      </c>
      <c r="I269" s="18">
        <v>2807.37</v>
      </c>
      <c r="J269" s="18">
        <v>8650.42</v>
      </c>
      <c r="K269" s="18">
        <v>0</v>
      </c>
      <c r="L269" s="19">
        <f>SUM(F269:K269)</f>
        <v>70387.13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350</v>
      </c>
      <c r="G274" s="18">
        <v>40.81</v>
      </c>
      <c r="H274" s="18">
        <v>16064.57</v>
      </c>
      <c r="I274" s="18">
        <v>195.2</v>
      </c>
      <c r="J274" s="18">
        <v>0</v>
      </c>
      <c r="K274" s="18">
        <v>0</v>
      </c>
      <c r="L274" s="19">
        <f t="shared" si="12"/>
        <v>16650.580000000002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2074.8000000000002</v>
      </c>
      <c r="I276" s="18">
        <v>0</v>
      </c>
      <c r="J276" s="18">
        <v>0</v>
      </c>
      <c r="K276" s="18">
        <v>0</v>
      </c>
      <c r="L276" s="19">
        <f t="shared" si="12"/>
        <v>2074.8000000000002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71883.48</v>
      </c>
      <c r="G282" s="42">
        <f t="shared" si="13"/>
        <v>8003.05</v>
      </c>
      <c r="H282" s="42">
        <f t="shared" si="13"/>
        <v>41502.310000000005</v>
      </c>
      <c r="I282" s="42">
        <f t="shared" si="13"/>
        <v>3002.5699999999997</v>
      </c>
      <c r="J282" s="42">
        <f t="shared" si="13"/>
        <v>8650.42</v>
      </c>
      <c r="K282" s="42">
        <f t="shared" si="13"/>
        <v>0</v>
      </c>
      <c r="L282" s="41">
        <f t="shared" si="13"/>
        <v>133041.83000000002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6" t="s">
        <v>724</v>
      </c>
      <c r="G284" s="176" t="s">
        <v>725</v>
      </c>
      <c r="H284" s="176" t="s">
        <v>726</v>
      </c>
      <c r="I284" s="176" t="s">
        <v>727</v>
      </c>
      <c r="J284" s="176" t="s">
        <v>728</v>
      </c>
      <c r="K284" s="176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6" t="s">
        <v>724</v>
      </c>
      <c r="G303" s="176" t="s">
        <v>725</v>
      </c>
      <c r="H303" s="176" t="s">
        <v>726</v>
      </c>
      <c r="I303" s="176" t="s">
        <v>727</v>
      </c>
      <c r="J303" s="176" t="s">
        <v>728</v>
      </c>
      <c r="K303" s="176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6" t="s">
        <v>724</v>
      </c>
      <c r="G322" s="176" t="s">
        <v>725</v>
      </c>
      <c r="H322" s="176" t="s">
        <v>726</v>
      </c>
      <c r="I322" s="176" t="s">
        <v>727</v>
      </c>
      <c r="J322" s="176" t="s">
        <v>728</v>
      </c>
      <c r="K322" s="176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71883.48</v>
      </c>
      <c r="G330" s="41">
        <f t="shared" si="20"/>
        <v>8003.05</v>
      </c>
      <c r="H330" s="41">
        <f t="shared" si="20"/>
        <v>41502.310000000005</v>
      </c>
      <c r="I330" s="41">
        <f t="shared" si="20"/>
        <v>3002.5699999999997</v>
      </c>
      <c r="J330" s="41">
        <f t="shared" si="20"/>
        <v>8650.42</v>
      </c>
      <c r="K330" s="41">
        <f t="shared" si="20"/>
        <v>0</v>
      </c>
      <c r="L330" s="41">
        <f t="shared" si="20"/>
        <v>133041.83000000002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71883.48</v>
      </c>
      <c r="G344" s="41">
        <f>G330</f>
        <v>8003.05</v>
      </c>
      <c r="H344" s="41">
        <f>H330</f>
        <v>41502.310000000005</v>
      </c>
      <c r="I344" s="41">
        <f>I330</f>
        <v>3002.5699999999997</v>
      </c>
      <c r="J344" s="41">
        <f>J330</f>
        <v>8650.42</v>
      </c>
      <c r="K344" s="47">
        <f>K330+K343</f>
        <v>0</v>
      </c>
      <c r="L344" s="41">
        <f>L330+L343</f>
        <v>133041.83000000002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6" t="s">
        <v>724</v>
      </c>
      <c r="G346" s="176" t="s">
        <v>725</v>
      </c>
      <c r="H346" s="176" t="s">
        <v>726</v>
      </c>
      <c r="I346" s="176" t="s">
        <v>727</v>
      </c>
      <c r="J346" s="176" t="s">
        <v>728</v>
      </c>
      <c r="K346" s="176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23643.68</v>
      </c>
      <c r="G350" s="18">
        <v>2498.66</v>
      </c>
      <c r="H350" s="18">
        <v>914.73</v>
      </c>
      <c r="I350" s="18">
        <v>24734.83</v>
      </c>
      <c r="J350" s="18">
        <v>0</v>
      </c>
      <c r="K350" s="18">
        <v>0</v>
      </c>
      <c r="L350" s="13">
        <f>SUM(F350:K350)</f>
        <v>51791.9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23643.68</v>
      </c>
      <c r="G354" s="47">
        <f t="shared" si="22"/>
        <v>2498.66</v>
      </c>
      <c r="H354" s="47">
        <f t="shared" si="22"/>
        <v>914.73</v>
      </c>
      <c r="I354" s="47">
        <f t="shared" si="22"/>
        <v>24734.83</v>
      </c>
      <c r="J354" s="47">
        <f t="shared" si="22"/>
        <v>0</v>
      </c>
      <c r="K354" s="47">
        <f t="shared" si="22"/>
        <v>0</v>
      </c>
      <c r="L354" s="47">
        <f t="shared" si="22"/>
        <v>51791.9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15073.65+6722.12</f>
        <v>21795.77</v>
      </c>
      <c r="G359" s="18"/>
      <c r="H359" s="18"/>
      <c r="I359" s="56">
        <f>SUM(F359:H359)</f>
        <v>21795.77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771+2168.06</f>
        <v>2939.06</v>
      </c>
      <c r="G360" s="63"/>
      <c r="H360" s="63"/>
      <c r="I360" s="56">
        <f>SUM(F360:H360)</f>
        <v>2939.06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24734.83</v>
      </c>
      <c r="G361" s="47">
        <f>SUM(G359:G360)</f>
        <v>0</v>
      </c>
      <c r="H361" s="47">
        <f>SUM(H359:H360)</f>
        <v>0</v>
      </c>
      <c r="I361" s="47">
        <f>SUM(I359:I360)</f>
        <v>24734.83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6" t="s">
        <v>724</v>
      </c>
      <c r="G363" s="176" t="s">
        <v>725</v>
      </c>
      <c r="H363" s="176" t="s">
        <v>726</v>
      </c>
      <c r="I363" s="176" t="s">
        <v>727</v>
      </c>
      <c r="J363" s="176" t="s">
        <v>728</v>
      </c>
      <c r="K363" s="176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61000</v>
      </c>
      <c r="H388" s="18">
        <f>16.4+11.13</f>
        <v>27.53</v>
      </c>
      <c r="I388" s="18"/>
      <c r="J388" s="24" t="s">
        <v>312</v>
      </c>
      <c r="K388" s="24" t="s">
        <v>312</v>
      </c>
      <c r="L388" s="56">
        <f t="shared" si="26"/>
        <v>61027.53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f>29.16+17.31</f>
        <v>46.47</v>
      </c>
      <c r="I392" s="18"/>
      <c r="J392" s="24" t="s">
        <v>312</v>
      </c>
      <c r="K392" s="24" t="s">
        <v>312</v>
      </c>
      <c r="L392" s="56">
        <f t="shared" si="26"/>
        <v>46.47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61000</v>
      </c>
      <c r="H393" s="47">
        <f>SUM(H387:H392)</f>
        <v>74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61074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896</v>
      </c>
      <c r="B395" s="2" t="s">
        <v>405</v>
      </c>
      <c r="C395" s="6">
        <v>15</v>
      </c>
      <c r="D395" s="2" t="s">
        <v>456</v>
      </c>
      <c r="E395" s="6"/>
      <c r="F395" s="18"/>
      <c r="G395" s="4"/>
      <c r="H395" s="18"/>
      <c r="I395" s="18">
        <f>1023.66+17</f>
        <v>1040.6599999999999</v>
      </c>
      <c r="J395" s="24" t="s">
        <v>312</v>
      </c>
      <c r="K395" s="24" t="s">
        <v>312</v>
      </c>
      <c r="L395" s="56">
        <f>SUM(F395:K395)</f>
        <v>1040.6599999999999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1040.6599999999999</v>
      </c>
      <c r="J399" s="49" t="s">
        <v>312</v>
      </c>
      <c r="K399" s="49" t="s">
        <v>312</v>
      </c>
      <c r="L399" s="47">
        <f>SUM(L395:L398)</f>
        <v>1040.6599999999999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61000</v>
      </c>
      <c r="H400" s="47">
        <f>H385+H393+H399</f>
        <v>74</v>
      </c>
      <c r="I400" s="47">
        <f>I385+I393+I399</f>
        <v>1040.6599999999999</v>
      </c>
      <c r="J400" s="24" t="s">
        <v>312</v>
      </c>
      <c r="K400" s="24" t="s">
        <v>312</v>
      </c>
      <c r="L400" s="47">
        <f>L385+L393+L399</f>
        <v>62114.66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6" t="s">
        <v>724</v>
      </c>
      <c r="G401" s="176" t="s">
        <v>725</v>
      </c>
      <c r="H401" s="176" t="s">
        <v>726</v>
      </c>
      <c r="I401" s="176" t="s">
        <v>727</v>
      </c>
      <c r="J401" s="176" t="s">
        <v>728</v>
      </c>
      <c r="K401" s="176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50470.69</v>
      </c>
      <c r="I414" s="18"/>
      <c r="J414" s="18"/>
      <c r="K414" s="18"/>
      <c r="L414" s="56">
        <f t="shared" si="29"/>
        <v>50470.69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50470.69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50470.69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896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>
        <f>120+1023.66</f>
        <v>1143.6599999999999</v>
      </c>
      <c r="I421" s="18"/>
      <c r="J421" s="18"/>
      <c r="K421" s="18">
        <v>915.85</v>
      </c>
      <c r="L421" s="56">
        <f>SUM(F421:K421)</f>
        <v>2059.5099999999998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1143.6599999999999</v>
      </c>
      <c r="I425" s="47">
        <f t="shared" si="31"/>
        <v>0</v>
      </c>
      <c r="J425" s="47">
        <f t="shared" si="31"/>
        <v>0</v>
      </c>
      <c r="K425" s="47">
        <f t="shared" si="31"/>
        <v>915.85</v>
      </c>
      <c r="L425" s="47">
        <f t="shared" si="31"/>
        <v>2059.5099999999998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51614.350000000006</v>
      </c>
      <c r="I426" s="47">
        <f t="shared" si="32"/>
        <v>0</v>
      </c>
      <c r="J426" s="47">
        <f t="shared" si="32"/>
        <v>0</v>
      </c>
      <c r="K426" s="47">
        <f t="shared" si="32"/>
        <v>915.85</v>
      </c>
      <c r="L426" s="47">
        <f t="shared" si="32"/>
        <v>52530.200000000004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>
        <v>1024.6199999999999</v>
      </c>
      <c r="I433" s="56">
        <f t="shared" si="33"/>
        <v>1024.6199999999999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43897.599999999999</v>
      </c>
      <c r="H434" s="18">
        <v>44.77</v>
      </c>
      <c r="I434" s="56">
        <f t="shared" si="33"/>
        <v>43942.369999999995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43897.599999999999</v>
      </c>
      <c r="H438" s="13">
        <f>SUM(H431:H437)</f>
        <v>1069.3899999999999</v>
      </c>
      <c r="I438" s="13">
        <f>SUM(I431:I437)</f>
        <v>44966.99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33294.29+10603.31</f>
        <v>43897.599999999999</v>
      </c>
      <c r="H449" s="18">
        <f>1172.39+-103</f>
        <v>1069.3900000000001</v>
      </c>
      <c r="I449" s="56">
        <f>SUM(F449:H449)</f>
        <v>44966.99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43897.599999999999</v>
      </c>
      <c r="H450" s="83">
        <f>SUM(H446:H449)</f>
        <v>1069.3900000000001</v>
      </c>
      <c r="I450" s="83">
        <f>SUM(I446:I449)</f>
        <v>44966.99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43897.599999999999</v>
      </c>
      <c r="H451" s="42">
        <f>H444+H450</f>
        <v>1069.3900000000001</v>
      </c>
      <c r="I451" s="42">
        <f>I444+I450</f>
        <v>44966.99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8" t="s">
        <v>883</v>
      </c>
      <c r="B455" s="105">
        <v>19</v>
      </c>
      <c r="C455" s="111">
        <v>1</v>
      </c>
      <c r="D455" s="2" t="s">
        <v>456</v>
      </c>
      <c r="E455" s="111"/>
      <c r="F455" s="18">
        <v>389664.84</v>
      </c>
      <c r="G455" s="18">
        <v>3649.81</v>
      </c>
      <c r="H455" s="18">
        <v>-1.5</v>
      </c>
      <c r="I455" s="18"/>
      <c r="J455" s="18">
        <v>35340.53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4147851.17</v>
      </c>
      <c r="G458" s="18">
        <v>67466.91</v>
      </c>
      <c r="H458" s="18">
        <v>133041.82999999999</v>
      </c>
      <c r="I458" s="18"/>
      <c r="J458" s="18">
        <v>62114.66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f>1000</f>
        <v>1000</v>
      </c>
      <c r="G459" s="18"/>
      <c r="H459" s="18">
        <v>1.5</v>
      </c>
      <c r="I459" s="18"/>
      <c r="J459" s="18">
        <v>42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4148851.17</v>
      </c>
      <c r="G460" s="53">
        <f>SUM(G458:G459)</f>
        <v>67466.91</v>
      </c>
      <c r="H460" s="53">
        <f>SUM(H458:H459)</f>
        <v>133043.32999999999</v>
      </c>
      <c r="I460" s="53">
        <f>SUM(I458:I459)</f>
        <v>0</v>
      </c>
      <c r="J460" s="53">
        <f>SUM(J458:J459)</f>
        <v>62156.66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4265798.13+1441.12</f>
        <v>4267239.25</v>
      </c>
      <c r="G462" s="18">
        <f>51020.9+771</f>
        <v>51791.9</v>
      </c>
      <c r="H462" s="18">
        <v>133041.82999999999</v>
      </c>
      <c r="I462" s="18"/>
      <c r="J462" s="18">
        <f>51614.35+915.85</f>
        <v>52530.2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1895.1+1.5</f>
        <v>1896.6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4269135.8499999996</v>
      </c>
      <c r="G464" s="53">
        <f>SUM(G462:G463)</f>
        <v>51791.9</v>
      </c>
      <c r="H464" s="53">
        <f>SUM(H462:H463)</f>
        <v>133041.82999999999</v>
      </c>
      <c r="I464" s="53">
        <f>SUM(I462:I463)</f>
        <v>0</v>
      </c>
      <c r="J464" s="53">
        <f>SUM(J462:J463)</f>
        <v>52530.2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9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269380.16000000015</v>
      </c>
      <c r="G466" s="53">
        <f>(G455+G460)- G464</f>
        <v>19324.82</v>
      </c>
      <c r="H466" s="53">
        <f>(H455+H460)- H464</f>
        <v>0</v>
      </c>
      <c r="I466" s="53">
        <f>(I455+I460)- I464</f>
        <v>0</v>
      </c>
      <c r="J466" s="53">
        <f>(J455+J460)- J464</f>
        <v>44966.990000000005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270" t="s">
        <v>899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272" t="s">
        <v>898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271" t="s">
        <v>900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272" t="s">
        <v>897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0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11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872662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5.14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170000</v>
      </c>
      <c r="G485" s="18"/>
      <c r="H485" s="18"/>
      <c r="I485" s="18"/>
      <c r="J485" s="18"/>
      <c r="K485" s="53">
        <f>SUM(F485:J485)</f>
        <v>170000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85000</v>
      </c>
      <c r="G487" s="18"/>
      <c r="H487" s="18"/>
      <c r="I487" s="18"/>
      <c r="J487" s="18"/>
      <c r="K487" s="53">
        <f t="shared" si="34"/>
        <v>85000</v>
      </c>
      <c r="L487" s="24" t="s">
        <v>312</v>
      </c>
    </row>
    <row r="488" spans="1:12" s="52" customFormat="1" ht="12" customHeight="1" x14ac:dyDescent="0.2">
      <c r="A488" s="200" t="s">
        <v>656</v>
      </c>
      <c r="B488" s="201">
        <v>20</v>
      </c>
      <c r="C488" s="202">
        <v>9</v>
      </c>
      <c r="D488" s="203" t="s">
        <v>456</v>
      </c>
      <c r="E488" s="202"/>
      <c r="F488" s="204">
        <v>0</v>
      </c>
      <c r="G488" s="204"/>
      <c r="H488" s="204"/>
      <c r="I488" s="204"/>
      <c r="J488" s="204"/>
      <c r="K488" s="205">
        <f t="shared" si="34"/>
        <v>0</v>
      </c>
      <c r="L488" s="206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5">
        <v>11</v>
      </c>
      <c r="D490" s="39" t="s">
        <v>456</v>
      </c>
      <c r="E490" s="195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0" t="s">
        <v>685</v>
      </c>
      <c r="B491" s="201">
        <v>20</v>
      </c>
      <c r="C491" s="202">
        <v>12</v>
      </c>
      <c r="D491" s="203" t="s">
        <v>456</v>
      </c>
      <c r="E491" s="202"/>
      <c r="F491" s="204">
        <v>0</v>
      </c>
      <c r="G491" s="204"/>
      <c r="H491" s="204"/>
      <c r="I491" s="204"/>
      <c r="J491" s="204"/>
      <c r="K491" s="205">
        <f t="shared" si="34"/>
        <v>0</v>
      </c>
      <c r="L491" s="206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5">
        <v>14</v>
      </c>
      <c r="D493" s="39" t="s">
        <v>456</v>
      </c>
      <c r="E493" s="195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6" t="s">
        <v>724</v>
      </c>
      <c r="G508" s="176" t="s">
        <v>725</v>
      </c>
      <c r="H508" s="176" t="s">
        <v>726</v>
      </c>
      <c r="I508" s="176" t="s">
        <v>727</v>
      </c>
      <c r="J508" s="176" t="s">
        <v>728</v>
      </c>
      <c r="K508" s="176" t="s">
        <v>729</v>
      </c>
      <c r="L508" s="106"/>
    </row>
    <row r="509" spans="1:12" s="52" customFormat="1" ht="12" customHeight="1" x14ac:dyDescent="0.2">
      <c r="A509" s="177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383848.84</v>
      </c>
      <c r="G511" s="18">
        <v>116459.26</v>
      </c>
      <c r="H511" s="18">
        <f>88396.11-56769.13</f>
        <v>31626.980000000003</v>
      </c>
      <c r="I511" s="18">
        <v>9746.65</v>
      </c>
      <c r="J511" s="18"/>
      <c r="K511" s="18"/>
      <c r="L511" s="88">
        <f>SUM(F511:K511)</f>
        <v>541681.7300000001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f>56769.13+1441.12</f>
        <v>58210.25</v>
      </c>
      <c r="I512" s="18"/>
      <c r="J512" s="18"/>
      <c r="K512" s="18"/>
      <c r="L512" s="88">
        <f>SUM(F512:K512)</f>
        <v>58210.25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5">
        <v>4</v>
      </c>
      <c r="D514" s="196" t="s">
        <v>456</v>
      </c>
      <c r="E514" s="195"/>
      <c r="F514" s="108">
        <f>SUM(F511:F513)</f>
        <v>383848.84</v>
      </c>
      <c r="G514" s="108">
        <f t="shared" ref="G514:L514" si="35">SUM(G511:G513)</f>
        <v>116459.26</v>
      </c>
      <c r="H514" s="108">
        <f t="shared" si="35"/>
        <v>89837.23000000001</v>
      </c>
      <c r="I514" s="108">
        <f t="shared" si="35"/>
        <v>9746.65</v>
      </c>
      <c r="J514" s="108">
        <f t="shared" si="35"/>
        <v>0</v>
      </c>
      <c r="K514" s="108">
        <f t="shared" si="35"/>
        <v>0</v>
      </c>
      <c r="L514" s="89">
        <f t="shared" si="35"/>
        <v>599891.9800000001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273067.51-3102.17</f>
        <v>269965.34000000003</v>
      </c>
      <c r="I516" s="18">
        <v>553.77</v>
      </c>
      <c r="J516" s="18">
        <v>8862.3700000000008</v>
      </c>
      <c r="K516" s="18"/>
      <c r="L516" s="88">
        <f>SUM(F516:K516)</f>
        <v>279381.48000000004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3102.17</v>
      </c>
      <c r="I517" s="18"/>
      <c r="J517" s="18"/>
      <c r="K517" s="18"/>
      <c r="L517" s="88">
        <f>SUM(F517:K517)</f>
        <v>3102.17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273067.51</v>
      </c>
      <c r="I519" s="89">
        <f t="shared" si="36"/>
        <v>553.77</v>
      </c>
      <c r="J519" s="89">
        <f t="shared" si="36"/>
        <v>8862.3700000000008</v>
      </c>
      <c r="K519" s="89">
        <f t="shared" si="36"/>
        <v>0</v>
      </c>
      <c r="L519" s="89">
        <f t="shared" si="36"/>
        <v>282483.65000000002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8881.56</v>
      </c>
      <c r="G521" s="18">
        <v>736.46</v>
      </c>
      <c r="H521" s="18">
        <v>4216.7299999999996</v>
      </c>
      <c r="I521" s="18"/>
      <c r="J521" s="18"/>
      <c r="K521" s="18">
        <v>125</v>
      </c>
      <c r="L521" s="88">
        <f>SUM(F521:K521)</f>
        <v>13959.75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8881.56</v>
      </c>
      <c r="G524" s="89">
        <f t="shared" ref="G524:L524" si="37">SUM(G521:G523)</f>
        <v>736.46</v>
      </c>
      <c r="H524" s="89">
        <f t="shared" si="37"/>
        <v>4216.7299999999996</v>
      </c>
      <c r="I524" s="89">
        <f t="shared" si="37"/>
        <v>0</v>
      </c>
      <c r="J524" s="89">
        <f t="shared" si="37"/>
        <v>0</v>
      </c>
      <c r="K524" s="89">
        <f t="shared" si="37"/>
        <v>125</v>
      </c>
      <c r="L524" s="89">
        <f t="shared" si="37"/>
        <v>13959.75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4" t="s">
        <v>312</v>
      </c>
      <c r="G525" s="194" t="s">
        <v>312</v>
      </c>
      <c r="H525" s="194" t="s">
        <v>312</v>
      </c>
      <c r="I525" s="194" t="s">
        <v>312</v>
      </c>
      <c r="J525" s="194" t="s">
        <v>312</v>
      </c>
      <c r="K525" s="194" t="s">
        <v>312</v>
      </c>
      <c r="L525" s="194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68961.88</v>
      </c>
      <c r="I531" s="18"/>
      <c r="J531" s="18"/>
      <c r="K531" s="18"/>
      <c r="L531" s="88">
        <f>SUM(F531:K531)</f>
        <v>68961.88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1">
        <v>21</v>
      </c>
      <c r="C534" s="191">
        <v>20</v>
      </c>
      <c r="D534" s="192" t="s">
        <v>456</v>
      </c>
      <c r="E534" s="191"/>
      <c r="F534" s="193">
        <f>SUM(F531:F533)</f>
        <v>0</v>
      </c>
      <c r="G534" s="193">
        <f t="shared" ref="G534:L534" si="39">SUM(G531:G533)</f>
        <v>0</v>
      </c>
      <c r="H534" s="193">
        <f t="shared" si="39"/>
        <v>68961.88</v>
      </c>
      <c r="I534" s="193">
        <f t="shared" si="39"/>
        <v>0</v>
      </c>
      <c r="J534" s="193">
        <f t="shared" si="39"/>
        <v>0</v>
      </c>
      <c r="K534" s="193">
        <f t="shared" si="39"/>
        <v>0</v>
      </c>
      <c r="L534" s="193">
        <f t="shared" si="39"/>
        <v>68961.88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392730.4</v>
      </c>
      <c r="G535" s="89">
        <f t="shared" ref="G535:L535" si="40">G514+G519+G524+G529+G534</f>
        <v>117195.72</v>
      </c>
      <c r="H535" s="89">
        <f t="shared" si="40"/>
        <v>436083.35</v>
      </c>
      <c r="I535" s="89">
        <f t="shared" si="40"/>
        <v>10300.42</v>
      </c>
      <c r="J535" s="89">
        <f t="shared" si="40"/>
        <v>8862.3700000000008</v>
      </c>
      <c r="K535" s="89">
        <f t="shared" si="40"/>
        <v>125</v>
      </c>
      <c r="L535" s="89">
        <f t="shared" si="40"/>
        <v>965297.26000000013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541681.7300000001</v>
      </c>
      <c r="G539" s="87">
        <f>L516</f>
        <v>279381.48000000004</v>
      </c>
      <c r="H539" s="87">
        <f>L521</f>
        <v>13959.75</v>
      </c>
      <c r="I539" s="87">
        <f>L526</f>
        <v>0</v>
      </c>
      <c r="J539" s="87">
        <f>L531</f>
        <v>68961.88</v>
      </c>
      <c r="K539" s="87">
        <f>SUM(F539:J539)</f>
        <v>903984.8400000002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58210.25</v>
      </c>
      <c r="G540" s="87">
        <f>L517</f>
        <v>3102.17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61312.42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599891.9800000001</v>
      </c>
      <c r="G542" s="89">
        <f t="shared" si="41"/>
        <v>282483.65000000002</v>
      </c>
      <c r="H542" s="89">
        <f t="shared" si="41"/>
        <v>13959.75</v>
      </c>
      <c r="I542" s="89">
        <f t="shared" si="41"/>
        <v>0</v>
      </c>
      <c r="J542" s="89">
        <f t="shared" si="41"/>
        <v>68961.88</v>
      </c>
      <c r="K542" s="89">
        <f t="shared" si="41"/>
        <v>965297.26000000024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6" t="s">
        <v>724</v>
      </c>
      <c r="G544" s="176" t="s">
        <v>725</v>
      </c>
      <c r="H544" s="176" t="s">
        <v>726</v>
      </c>
      <c r="I544" s="176" t="s">
        <v>727</v>
      </c>
      <c r="J544" s="176" t="s">
        <v>728</v>
      </c>
      <c r="K544" s="176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5">
        <v>4</v>
      </c>
      <c r="D550" s="196" t="s">
        <v>456</v>
      </c>
      <c r="E550" s="195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6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1">
        <v>22</v>
      </c>
      <c r="C560" s="191">
        <v>12</v>
      </c>
      <c r="D560" s="197" t="s">
        <v>456</v>
      </c>
      <c r="E560" s="191"/>
      <c r="F560" s="193">
        <f>SUM(F557:F559)</f>
        <v>0</v>
      </c>
      <c r="G560" s="193">
        <f t="shared" ref="G560:L560" si="44">SUM(G557:G559)</f>
        <v>0</v>
      </c>
      <c r="H560" s="193">
        <f t="shared" si="44"/>
        <v>0</v>
      </c>
      <c r="I560" s="193">
        <f t="shared" si="44"/>
        <v>0</v>
      </c>
      <c r="J560" s="193">
        <f t="shared" si="44"/>
        <v>0</v>
      </c>
      <c r="K560" s="193">
        <f t="shared" si="44"/>
        <v>0</v>
      </c>
      <c r="L560" s="193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f>938428.98+13650.96</f>
        <v>952079.94</v>
      </c>
      <c r="H565" s="18"/>
      <c r="I565" s="87">
        <f>SUM(F565:H565)</f>
        <v>952079.94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31200.76</f>
        <v>31200.76</v>
      </c>
      <c r="G572" s="18">
        <f>56769.18+1441.12</f>
        <v>58210.3</v>
      </c>
      <c r="H572" s="18"/>
      <c r="I572" s="87">
        <f t="shared" si="46"/>
        <v>89411.06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95514.16</v>
      </c>
      <c r="I581" s="18"/>
      <c r="J581" s="18"/>
      <c r="K581" s="104">
        <f t="shared" ref="K581:K587" si="47">SUM(H581:J581)</f>
        <v>95514.16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68961.88</v>
      </c>
      <c r="I582" s="18"/>
      <c r="J582" s="18"/>
      <c r="K582" s="104">
        <f t="shared" si="47"/>
        <v>68961.88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4656.8</v>
      </c>
      <c r="I585" s="18"/>
      <c r="J585" s="18"/>
      <c r="K585" s="104">
        <f t="shared" si="47"/>
        <v>4656.8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169132.84</v>
      </c>
      <c r="I588" s="108">
        <f>SUM(I581:I587)</f>
        <v>0</v>
      </c>
      <c r="J588" s="108">
        <f>SUM(J581:J587)</f>
        <v>0</v>
      </c>
      <c r="K588" s="108">
        <f>SUM(K581:K587)</f>
        <v>169132.84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60385.15</v>
      </c>
      <c r="I594" s="18"/>
      <c r="J594" s="18"/>
      <c r="K594" s="104">
        <f>SUM(H594:J594)</f>
        <v>60385.15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60385.15</v>
      </c>
      <c r="I595" s="108">
        <f>SUM(I592:I594)</f>
        <v>0</v>
      </c>
      <c r="J595" s="108">
        <f>SUM(J592:J594)</f>
        <v>0</v>
      </c>
      <c r="K595" s="108">
        <f>SUM(K592:K594)</f>
        <v>60385.15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6" t="s">
        <v>724</v>
      </c>
      <c r="G599" s="176" t="s">
        <v>725</v>
      </c>
      <c r="H599" s="176" t="s">
        <v>726</v>
      </c>
      <c r="I599" s="176" t="s">
        <v>727</v>
      </c>
      <c r="J599" s="176" t="s">
        <v>728</v>
      </c>
      <c r="K599" s="176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281545.67</v>
      </c>
      <c r="H607" s="109">
        <f>SUM(F44)</f>
        <v>281545.67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23264.84</v>
      </c>
      <c r="H608" s="109">
        <f>SUM(G44)</f>
        <v>23264.84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42497.48</v>
      </c>
      <c r="H609" s="109">
        <f>SUM(H44)</f>
        <v>42497.48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44966.99</v>
      </c>
      <c r="H611" s="109">
        <f>SUM(J44)</f>
        <v>44966.99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269380.15999999997</v>
      </c>
      <c r="H612" s="109">
        <f>F466</f>
        <v>269380.16000000015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19324.82</v>
      </c>
      <c r="H613" s="109">
        <f>G466</f>
        <v>19324.82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44966.99</v>
      </c>
      <c r="H616" s="109">
        <f>J466</f>
        <v>44966.990000000005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4147851.17</v>
      </c>
      <c r="H617" s="104">
        <f>SUM(F458)</f>
        <v>4147851.17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67466.91</v>
      </c>
      <c r="H618" s="104">
        <f>SUM(G458)</f>
        <v>67466.91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133041.83000000002</v>
      </c>
      <c r="H619" s="104">
        <f>SUM(H458)</f>
        <v>133041.82999999999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62114.66</v>
      </c>
      <c r="H621" s="104">
        <f>SUM(J458)</f>
        <v>62114.66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4267239.25</v>
      </c>
      <c r="H622" s="104">
        <f>SUM(F462)</f>
        <v>4267239.25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133041.83000000002</v>
      </c>
      <c r="H623" s="104">
        <f>SUM(H462)</f>
        <v>133041.82999999999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24734.83</v>
      </c>
      <c r="H624" s="104">
        <f>I361</f>
        <v>24734.83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51791.9</v>
      </c>
      <c r="H625" s="104">
        <f>SUM(G462)</f>
        <v>51791.9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62114.66</v>
      </c>
      <c r="H627" s="164">
        <f>SUM(J458)</f>
        <v>62114.66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52530.200000000004</v>
      </c>
      <c r="H628" s="164">
        <f>SUM(J462)</f>
        <v>52530.2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43897.599999999999</v>
      </c>
      <c r="H630" s="104">
        <f>SUM(G451)</f>
        <v>43897.599999999999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1069.3899999999999</v>
      </c>
      <c r="H631" s="104">
        <f>SUM(H451)</f>
        <v>1069.3900000000001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44966.99</v>
      </c>
      <c r="H632" s="104">
        <f>SUM(I451)</f>
        <v>44966.99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74</v>
      </c>
      <c r="H634" s="104">
        <f>H400</f>
        <v>74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61000</v>
      </c>
      <c r="H635" s="104">
        <f>G400</f>
        <v>61000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62114.66</v>
      </c>
      <c r="H636" s="104">
        <f>L400</f>
        <v>62114.66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169132.84</v>
      </c>
      <c r="H637" s="104">
        <f>L200+L218+L236</f>
        <v>169132.84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60385.15</v>
      </c>
      <c r="H638" s="104">
        <f>(J249+J330)-(J247+J328)</f>
        <v>60385.149999999994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169132.84</v>
      </c>
      <c r="H639" s="104">
        <f>H588</f>
        <v>169132.84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61000</v>
      </c>
      <c r="H645" s="104">
        <f>K258+K339</f>
        <v>61000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3290475.7600000002</v>
      </c>
      <c r="G650" s="19">
        <f>(L221+L301+L351)</f>
        <v>1013392.36</v>
      </c>
      <c r="H650" s="19">
        <f>(L239+L320+L352)</f>
        <v>0</v>
      </c>
      <c r="I650" s="19">
        <f>SUM(F650:H650)</f>
        <v>4303868.12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51316.36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51316.36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169132.84</v>
      </c>
      <c r="G652" s="19">
        <f>(L218+L298)-(J218+J298)</f>
        <v>0</v>
      </c>
      <c r="H652" s="19">
        <f>(L236+L317)-(J236+J317)</f>
        <v>0</v>
      </c>
      <c r="I652" s="19">
        <f>SUM(F652:H652)</f>
        <v>169132.84</v>
      </c>
      <c r="J652"/>
      <c r="K652" s="13"/>
      <c r="L652" s="13"/>
      <c r="M652" s="9"/>
    </row>
    <row r="653" spans="1:13" s="3" customFormat="1" ht="12" customHeight="1" x14ac:dyDescent="0.15">
      <c r="A653" s="198" t="s">
        <v>142</v>
      </c>
      <c r="B653" s="169"/>
      <c r="C653" s="169"/>
      <c r="D653" s="169"/>
      <c r="E653" s="169"/>
      <c r="F653" s="199">
        <f>SUM(F565:F577)+SUM(H592:H594)+SUM(L601)</f>
        <v>91585.91</v>
      </c>
      <c r="G653" s="199">
        <f>SUM(G565:G577)+SUM(I592:I594)+L602</f>
        <v>1010290.24</v>
      </c>
      <c r="H653" s="199">
        <f>SUM(H565:H577)+SUM(J592:J594)+L603</f>
        <v>0</v>
      </c>
      <c r="I653" s="19">
        <f>SUM(F653:H653)</f>
        <v>1101876.1499999999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2978440.6500000004</v>
      </c>
      <c r="G654" s="19">
        <f>G650-SUM(G651:G653)</f>
        <v>3102.1199999999953</v>
      </c>
      <c r="H654" s="19">
        <f>H650-SUM(H651:H653)</f>
        <v>0</v>
      </c>
      <c r="I654" s="19">
        <f>I650-SUM(I651:I653)</f>
        <v>2981542.7700000005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7">
        <v>225.5</v>
      </c>
      <c r="G655" s="248"/>
      <c r="H655" s="248"/>
      <c r="I655" s="19">
        <f>SUM(F655:H655)</f>
        <v>225.5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13208.16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13221.92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-3102.12</v>
      </c>
      <c r="H659" s="18"/>
      <c r="I659" s="19">
        <f>SUM(F659:H659)</f>
        <v>-3102.12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13208.16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13208.16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E92B-BC70-4995-BEF3-0FBF1C2C2CC6}">
  <sheetPr>
    <tabColor indexed="20"/>
  </sheetPr>
  <dimension ref="A1:C52"/>
  <sheetViews>
    <sheetView workbookViewId="0">
      <selection activeCell="F17" sqref="F1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816</v>
      </c>
      <c r="B1" s="232" t="str">
        <f>'DOE25'!A2</f>
        <v>Mont Vernon SD</v>
      </c>
      <c r="C1" s="238" t="s">
        <v>870</v>
      </c>
    </row>
    <row r="2" spans="1:3" x14ac:dyDescent="0.2">
      <c r="A2" s="233"/>
      <c r="B2" s="232"/>
    </row>
    <row r="3" spans="1:3" x14ac:dyDescent="0.2">
      <c r="A3" s="276" t="s">
        <v>815</v>
      </c>
      <c r="B3" s="276"/>
      <c r="C3" s="276"/>
    </row>
    <row r="4" spans="1:3" x14ac:dyDescent="0.2">
      <c r="A4" s="236"/>
      <c r="B4" s="237" t="str">
        <f>'DOE25'!H1</f>
        <v>DOE 25  2010-2011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814</v>
      </c>
      <c r="C6" s="275"/>
    </row>
    <row r="7" spans="1:3" x14ac:dyDescent="0.2">
      <c r="A7" s="239" t="s">
        <v>817</v>
      </c>
      <c r="B7" s="273" t="s">
        <v>813</v>
      </c>
      <c r="C7" s="274"/>
    </row>
    <row r="8" spans="1:3" x14ac:dyDescent="0.2">
      <c r="B8" s="228" t="s">
        <v>54</v>
      </c>
      <c r="C8" s="228" t="s">
        <v>807</v>
      </c>
    </row>
    <row r="9" spans="1:3" x14ac:dyDescent="0.2">
      <c r="A9" s="33" t="s">
        <v>808</v>
      </c>
      <c r="B9" s="229">
        <f>'DOE25'!F189+'DOE25'!F207+'DOE25'!F225+'DOE25'!F268+'DOE25'!F287+'DOE25'!F306</f>
        <v>825916.92999999993</v>
      </c>
      <c r="C9" s="229">
        <f>'DOE25'!G189+'DOE25'!G207+'DOE25'!G225+'DOE25'!G268+'DOE25'!G287+'DOE25'!G306</f>
        <v>298612.69</v>
      </c>
    </row>
    <row r="10" spans="1:3" x14ac:dyDescent="0.2">
      <c r="A10" t="s">
        <v>810</v>
      </c>
      <c r="B10" s="240">
        <f>4973.96+791434.56</f>
        <v>796408.52</v>
      </c>
      <c r="C10" s="240">
        <v>289654.31</v>
      </c>
    </row>
    <row r="11" spans="1:3" x14ac:dyDescent="0.2">
      <c r="A11" t="s">
        <v>811</v>
      </c>
      <c r="B11" s="240">
        <v>16029.5</v>
      </c>
      <c r="C11" s="240">
        <v>5795.55</v>
      </c>
    </row>
    <row r="12" spans="1:3" x14ac:dyDescent="0.2">
      <c r="A12" t="s">
        <v>812</v>
      </c>
      <c r="B12" s="240">
        <v>13478.91</v>
      </c>
      <c r="C12" s="240">
        <v>3162.83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825916.93</v>
      </c>
      <c r="C13" s="231">
        <f>SUM(C10:C12)</f>
        <v>298612.69</v>
      </c>
    </row>
    <row r="14" spans="1:3" x14ac:dyDescent="0.2">
      <c r="B14" s="230"/>
      <c r="C14" s="230"/>
    </row>
    <row r="15" spans="1:3" x14ac:dyDescent="0.2">
      <c r="B15" s="275" t="s">
        <v>814</v>
      </c>
      <c r="C15" s="275"/>
    </row>
    <row r="16" spans="1:3" x14ac:dyDescent="0.2">
      <c r="A16" s="239" t="s">
        <v>818</v>
      </c>
      <c r="B16" s="273" t="s">
        <v>738</v>
      </c>
      <c r="C16" s="274"/>
    </row>
    <row r="17" spans="1:3" x14ac:dyDescent="0.2">
      <c r="B17" s="228" t="s">
        <v>54</v>
      </c>
      <c r="C17" s="228" t="s">
        <v>807</v>
      </c>
    </row>
    <row r="18" spans="1:3" x14ac:dyDescent="0.2">
      <c r="A18" s="33" t="s">
        <v>808</v>
      </c>
      <c r="B18" s="229">
        <f>'DOE25'!F190+'DOE25'!F208+'DOE25'!F226+'DOE25'!F269+'DOE25'!F288+'DOE25'!F307</f>
        <v>392730.39999999997</v>
      </c>
      <c r="C18" s="229">
        <f>'DOE25'!G190+'DOE25'!G208+'DOE25'!G226+'DOE25'!G269+'DOE25'!G288+'DOE25'!G307</f>
        <v>117195.72</v>
      </c>
    </row>
    <row r="19" spans="1:3" x14ac:dyDescent="0.2">
      <c r="A19" t="s">
        <v>810</v>
      </c>
      <c r="B19" s="240">
        <f>175369.42+75.29</f>
        <v>175444.71000000002</v>
      </c>
      <c r="C19" s="240">
        <v>52354.92</v>
      </c>
    </row>
    <row r="20" spans="1:3" x14ac:dyDescent="0.2">
      <c r="A20" t="s">
        <v>811</v>
      </c>
      <c r="B20" s="240">
        <v>112611.68</v>
      </c>
      <c r="C20" s="240">
        <v>33604.75</v>
      </c>
    </row>
    <row r="21" spans="1:3" x14ac:dyDescent="0.2">
      <c r="A21" t="s">
        <v>812</v>
      </c>
      <c r="B21" s="240">
        <v>104674.01</v>
      </c>
      <c r="C21" s="240">
        <v>31236.05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392730.4</v>
      </c>
      <c r="C22" s="231">
        <f>SUM(C19:C21)</f>
        <v>117195.72</v>
      </c>
    </row>
    <row r="23" spans="1:3" x14ac:dyDescent="0.2">
      <c r="B23" s="230"/>
      <c r="C23" s="230"/>
    </row>
    <row r="24" spans="1:3" x14ac:dyDescent="0.2">
      <c r="B24" s="275" t="s">
        <v>814</v>
      </c>
      <c r="C24" s="275"/>
    </row>
    <row r="25" spans="1:3" x14ac:dyDescent="0.2">
      <c r="A25" s="239" t="s">
        <v>819</v>
      </c>
      <c r="B25" s="273" t="s">
        <v>739</v>
      </c>
      <c r="C25" s="274"/>
    </row>
    <row r="26" spans="1:3" x14ac:dyDescent="0.2">
      <c r="B26" s="228" t="s">
        <v>54</v>
      </c>
      <c r="C26" s="228" t="s">
        <v>807</v>
      </c>
    </row>
    <row r="27" spans="1:3" x14ac:dyDescent="0.2">
      <c r="A27" s="33" t="s">
        <v>808</v>
      </c>
      <c r="B27" s="234">
        <f>'DOE25'!F191+'DOE25'!F209+'DOE25'!F227+'DOE25'!F270+'DOE25'!F289+'DOE25'!F308</f>
        <v>0</v>
      </c>
      <c r="C27" s="234">
        <f>'DOE25'!G191+'DOE25'!G209+'DOE25'!G227+'DOE25'!G270+'DOE25'!G289+'DOE25'!G308</f>
        <v>0</v>
      </c>
    </row>
    <row r="28" spans="1:3" x14ac:dyDescent="0.2">
      <c r="A28" t="s">
        <v>810</v>
      </c>
      <c r="B28" s="240">
        <v>0</v>
      </c>
      <c r="C28" s="240">
        <v>0</v>
      </c>
    </row>
    <row r="29" spans="1:3" x14ac:dyDescent="0.2">
      <c r="A29" t="s">
        <v>811</v>
      </c>
      <c r="B29" s="240">
        <v>0</v>
      </c>
      <c r="C29" s="240">
        <v>0</v>
      </c>
    </row>
    <row r="30" spans="1:3" x14ac:dyDescent="0.2">
      <c r="A30" t="s">
        <v>812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814</v>
      </c>
      <c r="C33" s="275"/>
    </row>
    <row r="34" spans="1:3" x14ac:dyDescent="0.2">
      <c r="A34" s="239" t="s">
        <v>820</v>
      </c>
      <c r="B34" s="273" t="s">
        <v>740</v>
      </c>
      <c r="C34" s="274"/>
    </row>
    <row r="35" spans="1:3" x14ac:dyDescent="0.2">
      <c r="B35" s="228" t="s">
        <v>54</v>
      </c>
      <c r="C35" s="228" t="s">
        <v>807</v>
      </c>
    </row>
    <row r="36" spans="1:3" x14ac:dyDescent="0.2">
      <c r="A36" s="33" t="s">
        <v>808</v>
      </c>
      <c r="B36" s="235">
        <f>'DOE25'!F192+'DOE25'!F210+'DOE25'!F228+'DOE25'!F271+'DOE25'!F290+'DOE25'!F309</f>
        <v>6557</v>
      </c>
      <c r="C36" s="235">
        <f>'DOE25'!G192+'DOE25'!G210+'DOE25'!G228+'DOE25'!G271+'DOE25'!G290+'DOE25'!G309</f>
        <v>706.99</v>
      </c>
    </row>
    <row r="37" spans="1:3" x14ac:dyDescent="0.2">
      <c r="A37" t="s">
        <v>810</v>
      </c>
      <c r="B37" s="240">
        <v>6437</v>
      </c>
      <c r="C37" s="240">
        <f>658.12+29.47</f>
        <v>687.59</v>
      </c>
    </row>
    <row r="38" spans="1:3" x14ac:dyDescent="0.2">
      <c r="A38" t="s">
        <v>811</v>
      </c>
      <c r="B38" s="240">
        <v>0</v>
      </c>
      <c r="C38" s="240">
        <v>0</v>
      </c>
    </row>
    <row r="39" spans="1:3" x14ac:dyDescent="0.2">
      <c r="A39" t="s">
        <v>812</v>
      </c>
      <c r="B39" s="240">
        <v>120</v>
      </c>
      <c r="C39" s="240">
        <f>18.8+0.6</f>
        <v>19.400000000000002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6557</v>
      </c>
      <c r="C40" s="231">
        <f>SUM(C37:C39)</f>
        <v>706.99</v>
      </c>
    </row>
    <row r="41" spans="1:3" x14ac:dyDescent="0.2">
      <c r="B41" s="230"/>
      <c r="C41" s="230"/>
    </row>
    <row r="42" spans="1:3" x14ac:dyDescent="0.2">
      <c r="A42" s="33" t="s">
        <v>868</v>
      </c>
      <c r="B42" s="230"/>
      <c r="C42" s="230"/>
    </row>
    <row r="43" spans="1:3" x14ac:dyDescent="0.2">
      <c r="A43" t="s">
        <v>872</v>
      </c>
      <c r="B43" s="230"/>
      <c r="C43" s="230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4" t="s">
        <v>809</v>
      </c>
    </row>
    <row r="49" spans="1:1" x14ac:dyDescent="0.2">
      <c r="A49" s="268" t="s">
        <v>875</v>
      </c>
    </row>
    <row r="50" spans="1:1" x14ac:dyDescent="0.2">
      <c r="A50" s="268" t="s">
        <v>869</v>
      </c>
    </row>
    <row r="51" spans="1:1" x14ac:dyDescent="0.2">
      <c r="A51" s="268" t="s">
        <v>876</v>
      </c>
    </row>
    <row r="52" spans="1:1" x14ac:dyDescent="0.2">
      <c r="A52" s="269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FB58-4DCC-4301-8C68-4020AD8585C2}">
  <sheetPr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821</v>
      </c>
      <c r="B1" s="280"/>
      <c r="C1" s="280"/>
      <c r="D1" s="280"/>
      <c r="E1" s="280"/>
      <c r="F1" s="280"/>
      <c r="G1" s="280"/>
      <c r="H1" s="280"/>
      <c r="I1" s="180"/>
    </row>
    <row r="2" spans="1:9" x14ac:dyDescent="0.2">
      <c r="A2" s="33" t="s">
        <v>748</v>
      </c>
      <c r="B2" s="265" t="str">
        <f>'DOE25'!A2</f>
        <v>Mont Vernon SD</v>
      </c>
      <c r="C2" s="180"/>
      <c r="D2" s="180" t="s">
        <v>823</v>
      </c>
      <c r="E2" s="180" t="s">
        <v>825</v>
      </c>
      <c r="F2" s="277" t="s">
        <v>852</v>
      </c>
      <c r="G2" s="278"/>
      <c r="H2" s="279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824</v>
      </c>
      <c r="E3" s="180" t="s">
        <v>826</v>
      </c>
      <c r="F3" s="241" t="s">
        <v>866</v>
      </c>
      <c r="G3" s="217" t="s">
        <v>59</v>
      </c>
      <c r="H3" s="242" t="s">
        <v>829</v>
      </c>
    </row>
    <row r="4" spans="1:9" x14ac:dyDescent="0.2">
      <c r="A4" s="251" t="s">
        <v>831</v>
      </c>
      <c r="B4" s="251" t="s">
        <v>847</v>
      </c>
      <c r="C4" s="251" t="s">
        <v>822</v>
      </c>
      <c r="D4" s="251" t="s">
        <v>848</v>
      </c>
      <c r="E4" s="251" t="s">
        <v>848</v>
      </c>
      <c r="F4" s="250" t="s">
        <v>828</v>
      </c>
      <c r="G4" s="251" t="s">
        <v>842</v>
      </c>
      <c r="H4" s="252" t="s">
        <v>830</v>
      </c>
    </row>
    <row r="5" spans="1:9" x14ac:dyDescent="0.2">
      <c r="A5" s="32">
        <v>1000</v>
      </c>
      <c r="B5" t="s">
        <v>218</v>
      </c>
      <c r="C5" s="245">
        <f t="shared" ref="C5:C19" si="0">SUM(D5:H5)</f>
        <v>2968720.23</v>
      </c>
      <c r="D5" s="20">
        <f>SUM('DOE25'!L189:L192)+SUM('DOE25'!L207:L210)+SUM('DOE25'!L225:L228)-F5-G5</f>
        <v>2946086.91</v>
      </c>
      <c r="E5" s="243"/>
      <c r="F5" s="255">
        <f>SUM('DOE25'!J189:J192)+SUM('DOE25'!J207:J210)+SUM('DOE25'!J225:J228)</f>
        <v>22508.32</v>
      </c>
      <c r="G5" s="53">
        <f>SUM('DOE25'!K189:K192)+SUM('DOE25'!K207:K210)+SUM('DOE25'!K225:K228)</f>
        <v>125</v>
      </c>
      <c r="H5" s="259"/>
    </row>
    <row r="6" spans="1:9" x14ac:dyDescent="0.2">
      <c r="A6" s="32">
        <v>2100</v>
      </c>
      <c r="B6" t="s">
        <v>832</v>
      </c>
      <c r="C6" s="245">
        <f t="shared" si="0"/>
        <v>136575.49</v>
      </c>
      <c r="D6" s="20">
        <f>'DOE25'!L194+'DOE25'!L212+'DOE25'!L230-F6-G6</f>
        <v>136575.49</v>
      </c>
      <c r="E6" s="243"/>
      <c r="F6" s="255">
        <f>'DOE25'!J194+'DOE25'!J212+'DOE25'!J230</f>
        <v>0</v>
      </c>
      <c r="G6" s="53">
        <f>'DOE25'!K194+'DOE25'!K212+'DOE25'!K230</f>
        <v>0</v>
      </c>
      <c r="H6" s="259"/>
    </row>
    <row r="7" spans="1:9" x14ac:dyDescent="0.2">
      <c r="A7" s="32">
        <v>2200</v>
      </c>
      <c r="B7" t="s">
        <v>865</v>
      </c>
      <c r="C7" s="245">
        <f t="shared" si="0"/>
        <v>152289.63000000003</v>
      </c>
      <c r="D7" s="20">
        <f>'DOE25'!L195+'DOE25'!L213+'DOE25'!L231-F7-G7</f>
        <v>148537.63000000003</v>
      </c>
      <c r="E7" s="243"/>
      <c r="F7" s="255">
        <f>'DOE25'!J195+'DOE25'!J213+'DOE25'!J231</f>
        <v>3752</v>
      </c>
      <c r="G7" s="53">
        <f>'DOE25'!K195+'DOE25'!K213+'DOE25'!K231</f>
        <v>0</v>
      </c>
      <c r="H7" s="259"/>
    </row>
    <row r="8" spans="1:9" x14ac:dyDescent="0.2">
      <c r="A8" s="32">
        <v>2300</v>
      </c>
      <c r="B8" t="s">
        <v>833</v>
      </c>
      <c r="C8" s="245">
        <f t="shared" si="0"/>
        <v>186788.60999999996</v>
      </c>
      <c r="D8" s="243"/>
      <c r="E8" s="20">
        <f>'DOE25'!L196+'DOE25'!L214+'DOE25'!L232-F8-G8-D9-D11</f>
        <v>183544.99999999997</v>
      </c>
      <c r="F8" s="255">
        <f>'DOE25'!J196+'DOE25'!J214+'DOE25'!J232</f>
        <v>0</v>
      </c>
      <c r="G8" s="53">
        <f>'DOE25'!K196+'DOE25'!K214+'DOE25'!K232</f>
        <v>3243.61</v>
      </c>
      <c r="H8" s="259"/>
    </row>
    <row r="9" spans="1:9" x14ac:dyDescent="0.2">
      <c r="A9" s="32">
        <v>2310</v>
      </c>
      <c r="B9" t="s">
        <v>849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850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862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746</v>
      </c>
      <c r="C12" s="245">
        <f t="shared" si="0"/>
        <v>207548.08000000002</v>
      </c>
      <c r="D12" s="20">
        <f>'DOE25'!L197+'DOE25'!L215+'DOE25'!L233-F12-G12</f>
        <v>206774.08000000002</v>
      </c>
      <c r="E12" s="243"/>
      <c r="F12" s="255">
        <f>'DOE25'!J197+'DOE25'!J215+'DOE25'!J233</f>
        <v>0</v>
      </c>
      <c r="G12" s="53">
        <f>'DOE25'!K197+'DOE25'!K215+'DOE25'!K233</f>
        <v>774</v>
      </c>
      <c r="H12" s="259"/>
    </row>
    <row r="13" spans="1:9" x14ac:dyDescent="0.2">
      <c r="A13" s="32">
        <v>2500</v>
      </c>
      <c r="B13" t="s">
        <v>834</v>
      </c>
      <c r="C13" s="245">
        <f t="shared" si="0"/>
        <v>0</v>
      </c>
      <c r="D13" s="243"/>
      <c r="E13" s="20">
        <f>'DOE25'!L198+'DOE25'!L216+'DOE25'!L234-F13-G13</f>
        <v>0</v>
      </c>
      <c r="F13" s="255">
        <f>'DOE25'!J198+'DOE25'!J216+'DOE25'!J234</f>
        <v>0</v>
      </c>
      <c r="G13" s="53">
        <f>'DOE25'!K198+'DOE25'!K216+'DOE25'!K234</f>
        <v>0</v>
      </c>
      <c r="H13" s="259"/>
    </row>
    <row r="14" spans="1:9" x14ac:dyDescent="0.2">
      <c r="A14" s="32">
        <v>2600</v>
      </c>
      <c r="B14" t="s">
        <v>863</v>
      </c>
      <c r="C14" s="245">
        <f t="shared" si="0"/>
        <v>254363.31</v>
      </c>
      <c r="D14" s="20">
        <f>'DOE25'!L199+'DOE25'!L217+'DOE25'!L235-F14-G14</f>
        <v>253788.33</v>
      </c>
      <c r="E14" s="243"/>
      <c r="F14" s="255">
        <f>'DOE25'!J199+'DOE25'!J217+'DOE25'!J235</f>
        <v>574.98</v>
      </c>
      <c r="G14" s="53">
        <f>'DOE25'!K199+'DOE25'!K217+'DOE25'!K235</f>
        <v>0</v>
      </c>
      <c r="H14" s="259"/>
    </row>
    <row r="15" spans="1:9" x14ac:dyDescent="0.2">
      <c r="A15" s="32">
        <v>2700</v>
      </c>
      <c r="B15" t="s">
        <v>835</v>
      </c>
      <c r="C15" s="245">
        <f t="shared" si="0"/>
        <v>169132.84</v>
      </c>
      <c r="D15" s="20">
        <f>'DOE25'!L200+'DOE25'!L218+'DOE25'!L236-F15-G15</f>
        <v>169132.84</v>
      </c>
      <c r="E15" s="243"/>
      <c r="F15" s="255">
        <f>'DOE25'!J200+'DOE25'!J218+'DOE25'!J236</f>
        <v>0</v>
      </c>
      <c r="G15" s="53">
        <f>'DOE25'!K200+'DOE25'!K218+'DOE25'!K236</f>
        <v>0</v>
      </c>
      <c r="H15" s="259"/>
    </row>
    <row r="16" spans="1:9" x14ac:dyDescent="0.2">
      <c r="A16" s="32">
        <v>2800</v>
      </c>
      <c r="B16" t="s">
        <v>836</v>
      </c>
      <c r="C16" s="245">
        <f t="shared" si="0"/>
        <v>43616.2</v>
      </c>
      <c r="D16" s="243"/>
      <c r="E16" s="20">
        <f>'DOE25'!L201+'DOE25'!L219+'DOE25'!L237-F16-G16</f>
        <v>18716.769999999997</v>
      </c>
      <c r="F16" s="255">
        <f>'DOE25'!J201+'DOE25'!J219+'DOE25'!J237</f>
        <v>24899.43</v>
      </c>
      <c r="G16" s="53">
        <f>'DOE25'!K201+'DOE25'!K219+'DOE25'!K237</f>
        <v>0</v>
      </c>
      <c r="H16" s="259"/>
    </row>
    <row r="17" spans="1:8" x14ac:dyDescent="0.2">
      <c r="A17" s="32">
        <v>1600</v>
      </c>
      <c r="B17" t="s">
        <v>837</v>
      </c>
      <c r="C17" s="245">
        <f t="shared" si="0"/>
        <v>0</v>
      </c>
      <c r="D17" s="20">
        <f>'DOE25'!L243-F17-G17</f>
        <v>0</v>
      </c>
      <c r="E17" s="243"/>
      <c r="F17" s="255">
        <f>'DOE25'!J243</f>
        <v>0</v>
      </c>
      <c r="G17" s="53">
        <f>'DOE25'!K243</f>
        <v>0</v>
      </c>
      <c r="H17" s="259"/>
    </row>
    <row r="18" spans="1:8" x14ac:dyDescent="0.2">
      <c r="A18" s="32">
        <v>1700</v>
      </c>
      <c r="B18" t="s">
        <v>838</v>
      </c>
      <c r="C18" s="245">
        <f t="shared" si="0"/>
        <v>0</v>
      </c>
      <c r="D18" s="20">
        <f>'DOE25'!L244-F18-G18</f>
        <v>0</v>
      </c>
      <c r="E18" s="243"/>
      <c r="F18" s="255">
        <f>'DOE25'!J244</f>
        <v>0</v>
      </c>
      <c r="G18" s="53">
        <f>'DOE25'!K244</f>
        <v>0</v>
      </c>
      <c r="H18" s="259"/>
    </row>
    <row r="19" spans="1:8" x14ac:dyDescent="0.2">
      <c r="A19" s="32">
        <v>1800</v>
      </c>
      <c r="B19" t="s">
        <v>839</v>
      </c>
      <c r="C19" s="245">
        <f t="shared" si="0"/>
        <v>0</v>
      </c>
      <c r="D19" s="20">
        <f>'DOE25'!L245-F19-G19</f>
        <v>0</v>
      </c>
      <c r="E19" s="243"/>
      <c r="F19" s="255">
        <f>'DOE25'!J245</f>
        <v>0</v>
      </c>
      <c r="G19" s="53">
        <f>'DOE25'!K245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827</v>
      </c>
      <c r="F21" s="260"/>
      <c r="G21" s="52"/>
      <c r="H21" s="261"/>
    </row>
    <row r="22" spans="1:8" x14ac:dyDescent="0.2">
      <c r="A22" s="32">
        <v>4000</v>
      </c>
      <c r="B22" t="s">
        <v>864</v>
      </c>
      <c r="C22" s="245">
        <f>SUM(D22:H22)</f>
        <v>0</v>
      </c>
      <c r="D22" s="243"/>
      <c r="E22" s="243"/>
      <c r="F22" s="255">
        <f>'DOE25'!L247+'DOE25'!L328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487</v>
      </c>
      <c r="F24" s="260"/>
      <c r="G24" s="52"/>
      <c r="H24" s="261"/>
    </row>
    <row r="25" spans="1:8" x14ac:dyDescent="0.2">
      <c r="A25" s="32" t="s">
        <v>840</v>
      </c>
      <c r="B25" t="s">
        <v>841</v>
      </c>
      <c r="C25" s="245">
        <f>SUM(D25:H25)</f>
        <v>87204.86</v>
      </c>
      <c r="D25" s="243"/>
      <c r="E25" s="243"/>
      <c r="F25" s="258"/>
      <c r="G25" s="256"/>
      <c r="H25" s="257">
        <f>'DOE25'!L252+'DOE25'!L253+'DOE25'!L333+'DOE25'!L334</f>
        <v>87204.86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843</v>
      </c>
      <c r="F27" s="260"/>
      <c r="G27" s="52"/>
      <c r="H27" s="261"/>
    </row>
    <row r="28" spans="1:8" x14ac:dyDescent="0.2">
      <c r="A28" s="32">
        <v>3100</v>
      </c>
      <c r="B28" t="s">
        <v>856</v>
      </c>
      <c r="F28" s="260"/>
      <c r="G28" s="52"/>
      <c r="H28" s="261"/>
    </row>
    <row r="29" spans="1:8" x14ac:dyDescent="0.2">
      <c r="A29" s="32"/>
      <c r="B29" t="s">
        <v>844</v>
      </c>
      <c r="C29" s="245">
        <f>SUM(D29:H29)</f>
        <v>29996.13</v>
      </c>
      <c r="D29" s="20">
        <f>'DOE25'!L350+'DOE25'!L351+'DOE25'!L352-'DOE25'!I359-F29-G29</f>
        <v>29996.13</v>
      </c>
      <c r="E29" s="243"/>
      <c r="F29" s="255">
        <f>'DOE25'!J350+'DOE25'!J351+'DOE25'!J352</f>
        <v>0</v>
      </c>
      <c r="G29" s="53">
        <f>'DOE25'!K350+'DOE25'!K351+'DOE25'!K352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858</v>
      </c>
      <c r="B31" t="s">
        <v>857</v>
      </c>
      <c r="C31" s="245">
        <f>SUM(D31:H31)</f>
        <v>133041.83000000002</v>
      </c>
      <c r="D31" s="20">
        <f>'DOE25'!L282+'DOE25'!L301+'DOE25'!L320+'DOE25'!L325+'DOE25'!L326+'DOE25'!L327-F31-G31</f>
        <v>124391.41000000002</v>
      </c>
      <c r="E31" s="243"/>
      <c r="F31" s="255">
        <f>'DOE25'!J282+'DOE25'!J301+'DOE25'!J320+'DOE25'!J325+'DOE25'!J326+'DOE25'!J327</f>
        <v>8650.42</v>
      </c>
      <c r="G31" s="53">
        <f>'DOE25'!K282+'DOE25'!K301+'DOE25'!K320+'DOE25'!K325+'DOE25'!K326+'DOE25'!K327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845</v>
      </c>
      <c r="D33" s="246">
        <f>SUM(D5:D31)</f>
        <v>4015282.8200000003</v>
      </c>
      <c r="E33" s="246">
        <f>SUM(E5:E31)</f>
        <v>202261.76999999996</v>
      </c>
      <c r="F33" s="246">
        <f>SUM(F5:F31)</f>
        <v>60385.149999999994</v>
      </c>
      <c r="G33" s="246">
        <f>SUM(G5:G31)</f>
        <v>4142.6100000000006</v>
      </c>
      <c r="H33" s="246">
        <f>SUM(H5:H31)</f>
        <v>87204.86</v>
      </c>
    </row>
    <row r="35" spans="2:8" ht="12" thickBot="1" x14ac:dyDescent="0.25">
      <c r="B35" s="253" t="s">
        <v>878</v>
      </c>
      <c r="D35" s="254">
        <f>E33</f>
        <v>202261.76999999996</v>
      </c>
      <c r="E35" s="249"/>
    </row>
    <row r="36" spans="2:8" ht="12" thickTop="1" x14ac:dyDescent="0.2">
      <c r="B36" t="s">
        <v>846</v>
      </c>
      <c r="D36" s="20">
        <f>D33</f>
        <v>4015282.8200000003</v>
      </c>
    </row>
    <row r="38" spans="2:8" x14ac:dyDescent="0.2">
      <c r="B38" s="186" t="s">
        <v>887</v>
      </c>
      <c r="C38" s="266"/>
      <c r="D38" s="267"/>
    </row>
    <row r="39" spans="2:8" x14ac:dyDescent="0.2">
      <c r="B39" t="s">
        <v>855</v>
      </c>
      <c r="D39" s="180" t="str">
        <f>IF(E10&gt;0,"Y","N")</f>
        <v>N</v>
      </c>
    </row>
    <row r="41" spans="2:8" x14ac:dyDescent="0.2">
      <c r="B41" s="264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7B8A-5B5E-472A-8CFD-2CFE199C9B9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Mont Vernon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238748.43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17925.509999999998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24446.73</v>
      </c>
      <c r="D12" s="95">
        <f>'DOE25'!G12</f>
        <v>17786.66</v>
      </c>
      <c r="E12" s="95">
        <f>'DOE25'!H12</f>
        <v>0</v>
      </c>
      <c r="F12" s="95">
        <f>'DOE25'!I12</f>
        <v>0</v>
      </c>
      <c r="G12" s="95">
        <f>'DOE25'!J12</f>
        <v>1024.6199999999999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425</v>
      </c>
      <c r="D13" s="95">
        <f>'DOE25'!G13</f>
        <v>5443.18</v>
      </c>
      <c r="E13" s="95">
        <f>'DOE25'!H13</f>
        <v>42497.48</v>
      </c>
      <c r="F13" s="95">
        <f>'DOE25'!I13</f>
        <v>0</v>
      </c>
      <c r="G13" s="95">
        <f>'DOE25'!J13</f>
        <v>43942.369999999995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35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281545.67</v>
      </c>
      <c r="D19" s="41">
        <f>SUM(D9:D18)</f>
        <v>23264.84</v>
      </c>
      <c r="E19" s="41">
        <f>SUM(E9:E18)</f>
        <v>42497.48</v>
      </c>
      <c r="F19" s="41">
        <f>SUM(F9:F18)</f>
        <v>0</v>
      </c>
      <c r="G19" s="41">
        <f>SUM(G9:G18)</f>
        <v>44966.99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771</v>
      </c>
      <c r="E22" s="95">
        <f>'DOE25'!H23</f>
        <v>42487.01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2516.58</v>
      </c>
      <c r="D23" s="95">
        <f>'DOE25'!G24</f>
        <v>3050.14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1927.84</v>
      </c>
      <c r="D24" s="95">
        <f>'DOE25'!G25</f>
        <v>118.88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468.54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6883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10.47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369.55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12165.509999999998</v>
      </c>
      <c r="D32" s="41">
        <f>SUM(D22:D31)</f>
        <v>3940.02</v>
      </c>
      <c r="E32" s="41">
        <f>SUM(E22:E31)</f>
        <v>42497.48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24553.58</v>
      </c>
      <c r="D36" s="95">
        <f>'DOE25'!G37</f>
        <v>106.13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19218.689999999999</v>
      </c>
      <c r="E40" s="95">
        <f>'DOE25'!H41</f>
        <v>0</v>
      </c>
      <c r="F40" s="95">
        <f>'DOE25'!I41</f>
        <v>0</v>
      </c>
      <c r="G40" s="95">
        <f>'DOE25'!J41</f>
        <v>44966.99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244826.57999999996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269380.15999999997</v>
      </c>
      <c r="D42" s="41">
        <f>SUM(D34:D41)</f>
        <v>19324.82</v>
      </c>
      <c r="E42" s="41">
        <f>SUM(E34:E41)</f>
        <v>0</v>
      </c>
      <c r="F42" s="41">
        <f>SUM(F34:F41)</f>
        <v>0</v>
      </c>
      <c r="G42" s="41">
        <f>SUM(G34:G41)</f>
        <v>44966.99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281545.67</v>
      </c>
      <c r="D43" s="41">
        <f>D42+D32</f>
        <v>23264.84</v>
      </c>
      <c r="E43" s="41">
        <f>E42+E32</f>
        <v>42497.48</v>
      </c>
      <c r="F43" s="41">
        <f>F42+F32</f>
        <v>0</v>
      </c>
      <c r="G43" s="41">
        <f>G42+G32</f>
        <v>44966.99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2616836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1601.93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51228.98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171.9</v>
      </c>
      <c r="D53" s="95">
        <f>SUM('DOE25'!G90:G102)</f>
        <v>87.38</v>
      </c>
      <c r="E53" s="95">
        <f>SUM('DOE25'!H90:H102)</f>
        <v>0</v>
      </c>
      <c r="F53" s="95">
        <f>SUM('DOE25'!I90:I102)</f>
        <v>0</v>
      </c>
      <c r="G53" s="95">
        <f>SUM('DOE25'!J90:J102)</f>
        <v>1040.6600000000001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1773.8300000000002</v>
      </c>
      <c r="D54" s="130">
        <f>SUM(D49:D53)</f>
        <v>51316.36</v>
      </c>
      <c r="E54" s="130">
        <f>SUM(E49:E53)</f>
        <v>0</v>
      </c>
      <c r="F54" s="130">
        <f>SUM(F49:F53)</f>
        <v>0</v>
      </c>
      <c r="G54" s="130">
        <f>SUM(G49:G53)</f>
        <v>1114.6600000000001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2618609.83</v>
      </c>
      <c r="D55" s="22">
        <f>D48+D54</f>
        <v>51316.36</v>
      </c>
      <c r="E55" s="22">
        <f>E48+E54</f>
        <v>0</v>
      </c>
      <c r="F55" s="22">
        <f>F48+F54</f>
        <v>0</v>
      </c>
      <c r="G55" s="22">
        <f>G48+G54</f>
        <v>1114.6600000000001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924375.17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395983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33526.83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1353885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30013.5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103868.27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699.71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133881.77000000002</v>
      </c>
      <c r="D70" s="130">
        <f>SUM(D64:D69)</f>
        <v>699.71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1487766.77</v>
      </c>
      <c r="D73" s="130">
        <f>SUM(D71:D72)+D70+D62</f>
        <v>699.71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5645.65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41474.57</v>
      </c>
      <c r="D80" s="95">
        <f>SUM('DOE25'!G145:G153)</f>
        <v>15450.84</v>
      </c>
      <c r="E80" s="95">
        <f>SUM('DOE25'!H145:H153)</f>
        <v>127396.18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41474.57</v>
      </c>
      <c r="D83" s="131">
        <f>SUM(D77:D82)</f>
        <v>15450.84</v>
      </c>
      <c r="E83" s="131">
        <f>SUM(E77:E82)</f>
        <v>133041.82999999999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61000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61000</v>
      </c>
    </row>
    <row r="96" spans="1:7" ht="12.75" thickTop="1" thickBot="1" x14ac:dyDescent="0.25">
      <c r="A96" s="33" t="s">
        <v>796</v>
      </c>
      <c r="C96" s="86">
        <f>C55+C73+C83+C95</f>
        <v>4147851.17</v>
      </c>
      <c r="D96" s="86">
        <f>D55+D73+D83+D95</f>
        <v>67466.91</v>
      </c>
      <c r="E96" s="86">
        <f>E55+E73+E83+E95</f>
        <v>133041.82999999999</v>
      </c>
      <c r="F96" s="86">
        <f>F55+F73+F83+F95</f>
        <v>0</v>
      </c>
      <c r="G96" s="86">
        <f>G55+G73+G95</f>
        <v>62114.66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2135200.63</v>
      </c>
      <c r="D101" s="24" t="s">
        <v>312</v>
      </c>
      <c r="E101" s="95">
        <f>('DOE25'!L268)+('DOE25'!L287)+('DOE25'!L306)</f>
        <v>43929.320000000007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825948.25</v>
      </c>
      <c r="D102" s="24" t="s">
        <v>312</v>
      </c>
      <c r="E102" s="95">
        <f>('DOE25'!L269)+('DOE25'!L288)+('DOE25'!L307)</f>
        <v>70387.13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7571.3499999999995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2968720.23</v>
      </c>
      <c r="D107" s="86">
        <f>SUM(D101:D106)</f>
        <v>0</v>
      </c>
      <c r="E107" s="86">
        <f>SUM(E101:E106)</f>
        <v>114316.45000000001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136575.49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152289.63000000003</v>
      </c>
      <c r="D111" s="24" t="s">
        <v>312</v>
      </c>
      <c r="E111" s="95">
        <f>+('DOE25'!L274)+('DOE25'!L293)+('DOE25'!L312)</f>
        <v>16650.580000000002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186788.60999999996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207548.08000000002</v>
      </c>
      <c r="D113" s="24" t="s">
        <v>312</v>
      </c>
      <c r="E113" s="95">
        <f>+('DOE25'!L276)+('DOE25'!L295)+('DOE25'!L314)</f>
        <v>2074.8000000000002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254363.31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169132.84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43616.2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51791.9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1150314.1600000001</v>
      </c>
      <c r="D120" s="86">
        <f>SUM(D110:D119)</f>
        <v>51791.9</v>
      </c>
      <c r="E120" s="86">
        <f>SUM(E110:E119)</f>
        <v>18725.38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84994.86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2210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915.85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61074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1040.6599999999999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-1114.6600000000035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148204.85999999999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915.85</v>
      </c>
    </row>
    <row r="137" spans="1:9" ht="12.75" thickTop="1" thickBot="1" x14ac:dyDescent="0.25">
      <c r="A137" s="33" t="s">
        <v>267</v>
      </c>
      <c r="C137" s="86">
        <f>(C107+C120+C136)</f>
        <v>4267239.25</v>
      </c>
      <c r="D137" s="86">
        <f>(D107+D120+D136)</f>
        <v>51791.9</v>
      </c>
      <c r="E137" s="86">
        <f>(E107+E120+E136)</f>
        <v>133041.83000000002</v>
      </c>
      <c r="F137" s="86">
        <f>(F107+F120+F136)</f>
        <v>0</v>
      </c>
      <c r="G137" s="86">
        <f>(G107+G120+G136)</f>
        <v>915.85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11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06/00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07/11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872662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5.14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170000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170000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85000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85000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1C15-BAE2-4AAD-B0C8-760D1F0E4052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771</v>
      </c>
      <c r="B1" s="281"/>
      <c r="C1" s="281"/>
      <c r="D1" s="281"/>
    </row>
    <row r="2" spans="1:4" x14ac:dyDescent="0.2">
      <c r="A2" s="186" t="s">
        <v>748</v>
      </c>
      <c r="B2" s="185" t="str">
        <f>'DOE25'!A2</f>
        <v>Mont Vernon SD</v>
      </c>
    </row>
    <row r="3" spans="1:4" x14ac:dyDescent="0.2">
      <c r="B3" s="187" t="s">
        <v>891</v>
      </c>
    </row>
    <row r="4" spans="1:4" x14ac:dyDescent="0.2">
      <c r="B4" t="s">
        <v>61</v>
      </c>
      <c r="C4" s="178">
        <f>IF('DOE25'!F655+'DOE25'!F660=0,0,ROUND('DOE25'!F662,0))</f>
        <v>13208</v>
      </c>
    </row>
    <row r="5" spans="1:4" x14ac:dyDescent="0.2">
      <c r="B5" t="s">
        <v>735</v>
      </c>
      <c r="C5" s="178">
        <f>IF('DOE25'!G655+'DOE25'!G660=0,0,ROUND('DOE25'!G662,0))</f>
        <v>0</v>
      </c>
    </row>
    <row r="6" spans="1:4" x14ac:dyDescent="0.2">
      <c r="B6" t="s">
        <v>62</v>
      </c>
      <c r="C6" s="178">
        <f>IF('DOE25'!H655+'DOE25'!H660=0,0,ROUND('DOE25'!H662,0))</f>
        <v>0</v>
      </c>
    </row>
    <row r="7" spans="1:4" x14ac:dyDescent="0.2">
      <c r="B7" t="s">
        <v>736</v>
      </c>
      <c r="C7" s="178">
        <f>IF('DOE25'!I655+'DOE25'!I660=0,0,ROUND('DOE25'!I662,0))</f>
        <v>13208</v>
      </c>
    </row>
    <row r="9" spans="1:4" x14ac:dyDescent="0.2">
      <c r="A9" s="186" t="s">
        <v>94</v>
      </c>
      <c r="B9" s="187" t="s">
        <v>892</v>
      </c>
      <c r="C9" s="180" t="s">
        <v>755</v>
      </c>
      <c r="D9" s="180" t="s">
        <v>756</v>
      </c>
    </row>
    <row r="10" spans="1:4" x14ac:dyDescent="0.2">
      <c r="A10">
        <v>1100</v>
      </c>
      <c r="B10" t="s">
        <v>737</v>
      </c>
      <c r="C10" s="178">
        <f>ROUND('DOE25'!L189+'DOE25'!L207+'DOE25'!L225+'DOE25'!L268+'DOE25'!L287+'DOE25'!L306,0)</f>
        <v>2179130</v>
      </c>
      <c r="D10" s="181">
        <f>ROUND((C10/$C$28)*100,1)</f>
        <v>51.2</v>
      </c>
    </row>
    <row r="11" spans="1:4" x14ac:dyDescent="0.2">
      <c r="A11">
        <v>1200</v>
      </c>
      <c r="B11" t="s">
        <v>738</v>
      </c>
      <c r="C11" s="178">
        <f>ROUND('DOE25'!L190+'DOE25'!L208+'DOE25'!L226+'DOE25'!L269+'DOE25'!L288+'DOE25'!L307,0)</f>
        <v>896335</v>
      </c>
      <c r="D11" s="181">
        <f>ROUND((C11/$C$28)*100,1)</f>
        <v>21.1</v>
      </c>
    </row>
    <row r="12" spans="1:4" x14ac:dyDescent="0.2">
      <c r="A12">
        <v>1300</v>
      </c>
      <c r="B12" t="s">
        <v>739</v>
      </c>
      <c r="C12" s="178">
        <f>ROUND('DOE25'!L191+'DOE25'!L209+'DOE25'!L227+'DOE25'!L270+'DOE25'!L289+'DOE25'!L308,0)</f>
        <v>0</v>
      </c>
      <c r="D12" s="181">
        <f>ROUND((C12/$C$28)*100,1)</f>
        <v>0</v>
      </c>
    </row>
    <row r="13" spans="1:4" x14ac:dyDescent="0.2">
      <c r="A13">
        <v>1400</v>
      </c>
      <c r="B13" t="s">
        <v>740</v>
      </c>
      <c r="C13" s="178">
        <f>ROUND('DOE25'!L192+'DOE25'!L210+'DOE25'!L228+'DOE25'!L271+'DOE25'!L290+'DOE25'!L309,0)</f>
        <v>7571</v>
      </c>
      <c r="D13" s="181">
        <f>ROUND((C13/$C$28)*100,1)</f>
        <v>0.2</v>
      </c>
    </row>
    <row r="14" spans="1:4" x14ac:dyDescent="0.2">
      <c r="D14" s="181"/>
    </row>
    <row r="15" spans="1:4" x14ac:dyDescent="0.2">
      <c r="A15">
        <v>2100</v>
      </c>
      <c r="B15" t="s">
        <v>741</v>
      </c>
      <c r="C15" s="178">
        <f>ROUND('DOE25'!L194+'DOE25'!L212+'DOE25'!L230+'DOE25'!L273+'DOE25'!L292+'DOE25'!L311,0)</f>
        <v>136575</v>
      </c>
      <c r="D15" s="181">
        <f t="shared" ref="D15:D27" si="0">ROUND((C15/$C$28)*100,1)</f>
        <v>3.2</v>
      </c>
    </row>
    <row r="16" spans="1:4" x14ac:dyDescent="0.2">
      <c r="A16">
        <v>2200</v>
      </c>
      <c r="B16" t="s">
        <v>742</v>
      </c>
      <c r="C16" s="178">
        <f>ROUND('DOE25'!L195+'DOE25'!L213+'DOE25'!L231+'DOE25'!L274+'DOE25'!L293+'DOE25'!L312,0)</f>
        <v>168940</v>
      </c>
      <c r="D16" s="181">
        <f t="shared" si="0"/>
        <v>4</v>
      </c>
    </row>
    <row r="17" spans="1:4" x14ac:dyDescent="0.2">
      <c r="A17" s="182" t="s">
        <v>758</v>
      </c>
      <c r="B17" t="s">
        <v>773</v>
      </c>
      <c r="C17" s="178">
        <f>ROUND('DOE25'!L196+'DOE25'!L201+'DOE25'!L214+'DOE25'!L219+'DOE25'!L232+'DOE25'!L237+'DOE25'!L275+'DOE25'!L280+'DOE25'!L294+'DOE25'!L299+'DOE25'!L313+'DOE25'!L318,0)</f>
        <v>230405</v>
      </c>
      <c r="D17" s="181">
        <f t="shared" si="0"/>
        <v>5.4</v>
      </c>
    </row>
    <row r="18" spans="1:4" x14ac:dyDescent="0.2">
      <c r="A18">
        <v>2400</v>
      </c>
      <c r="B18" t="s">
        <v>746</v>
      </c>
      <c r="C18" s="178">
        <f>ROUND('DOE25'!L197+'DOE25'!L215+'DOE25'!L233+'DOE25'!L276+'DOE25'!L295+'DOE25'!L314,0)</f>
        <v>209623</v>
      </c>
      <c r="D18" s="181">
        <f t="shared" si="0"/>
        <v>4.9000000000000004</v>
      </c>
    </row>
    <row r="19" spans="1:4" x14ac:dyDescent="0.2">
      <c r="A19">
        <v>2500</v>
      </c>
      <c r="B19" t="s">
        <v>743</v>
      </c>
      <c r="C19" s="178">
        <f>ROUND('DOE25'!L198+'DOE25'!L216+'DOE25'!L234+'DOE25'!L277+'DOE25'!L296+'DOE25'!L315,0)</f>
        <v>0</v>
      </c>
      <c r="D19" s="181">
        <f t="shared" si="0"/>
        <v>0</v>
      </c>
    </row>
    <row r="20" spans="1:4" x14ac:dyDescent="0.2">
      <c r="A20">
        <v>2600</v>
      </c>
      <c r="B20" t="s">
        <v>744</v>
      </c>
      <c r="C20" s="178">
        <f>ROUND('DOE25'!L199+'DOE25'!L217+'DOE25'!L235+'DOE25'!L278+'DOE25'!L297+'DOE25'!L316,0)</f>
        <v>254363</v>
      </c>
      <c r="D20" s="181">
        <f t="shared" si="0"/>
        <v>6</v>
      </c>
    </row>
    <row r="21" spans="1:4" x14ac:dyDescent="0.2">
      <c r="A21">
        <v>2700</v>
      </c>
      <c r="B21" t="s">
        <v>745</v>
      </c>
      <c r="C21" s="178">
        <f>ROUND('DOE25'!L200+'DOE25'!L218+'DOE25'!L236+'DOE25'!L279+'DOE25'!L298+'DOE25'!L317,0)</f>
        <v>169133</v>
      </c>
      <c r="D21" s="181">
        <f t="shared" si="0"/>
        <v>4</v>
      </c>
    </row>
    <row r="22" spans="1:4" x14ac:dyDescent="0.2">
      <c r="A22">
        <v>2900</v>
      </c>
      <c r="B22" t="s">
        <v>747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749</v>
      </c>
      <c r="C23" s="178">
        <f>ROUND('DOE25'!L242+'DOE25'!L324,0)</f>
        <v>0</v>
      </c>
      <c r="D23" s="181">
        <f t="shared" si="0"/>
        <v>0</v>
      </c>
    </row>
    <row r="24" spans="1:4" x14ac:dyDescent="0.2">
      <c r="A24" s="182" t="s">
        <v>757</v>
      </c>
      <c r="B24" t="s">
        <v>750</v>
      </c>
      <c r="C24" s="178">
        <f>ROUND('DOE25'!L243+'DOE25'!L244+'DOE25'!L245+'DOE25'!L246+'DOE25'!L325+'DOE25'!L326+'DOE25'!L327,0)</f>
        <v>0</v>
      </c>
      <c r="D24" s="181">
        <f t="shared" si="0"/>
        <v>0</v>
      </c>
    </row>
    <row r="25" spans="1:4" x14ac:dyDescent="0.2">
      <c r="A25">
        <v>5120</v>
      </c>
      <c r="B25" t="s">
        <v>751</v>
      </c>
      <c r="C25" s="178">
        <f>ROUND('DOE25'!L253+'DOE25'!L334,0)</f>
        <v>2210</v>
      </c>
      <c r="D25" s="181">
        <f t="shared" si="0"/>
        <v>0.1</v>
      </c>
    </row>
    <row r="26" spans="1:4" x14ac:dyDescent="0.2">
      <c r="A26" s="182" t="s">
        <v>752</v>
      </c>
      <c r="B26" t="s">
        <v>753</v>
      </c>
      <c r="C26" s="178">
        <f>'DOE25'!L260+'DOE25'!L261+'DOE25'!L341+'DOE25'!L342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ROUND('DOE25'!L354-'DOE25'!L353,0)-SUM('DOE25'!G89:G102)</f>
        <v>475.63999999999942</v>
      </c>
      <c r="D27" s="181">
        <f t="shared" si="0"/>
        <v>0</v>
      </c>
    </row>
    <row r="28" spans="1:4" x14ac:dyDescent="0.2">
      <c r="B28" s="186" t="s">
        <v>754</v>
      </c>
      <c r="C28" s="179">
        <f>SUM(C10:C27)</f>
        <v>4254760.6399999997</v>
      </c>
      <c r="D28" s="183">
        <f>ROUND(SUM(D10:D27),0)</f>
        <v>100</v>
      </c>
    </row>
    <row r="29" spans="1:4" x14ac:dyDescent="0.2">
      <c r="A29">
        <v>4000</v>
      </c>
      <c r="B29" t="s">
        <v>759</v>
      </c>
      <c r="C29" s="178">
        <f>ROUND('DOE25'!L247+'DOE25'!L328+'DOE25'!L366+'DOE25'!L367+'DOE25'!L368+'DOE25'!L369+'DOE25'!L370+'DOE25'!L371+'DOE25'!L372,0)</f>
        <v>0</v>
      </c>
    </row>
    <row r="30" spans="1:4" x14ac:dyDescent="0.2">
      <c r="B30" s="186" t="s">
        <v>760</v>
      </c>
      <c r="C30" s="179">
        <f>SUM(C28:C29)</f>
        <v>4254760.6399999997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761</v>
      </c>
      <c r="C32" s="179">
        <f>ROUND('DOE25'!L252+'DOE25'!L333,0)</f>
        <v>84995</v>
      </c>
    </row>
    <row r="34" spans="1:4" x14ac:dyDescent="0.2">
      <c r="A34" s="186" t="s">
        <v>94</v>
      </c>
      <c r="B34" s="187" t="s">
        <v>893</v>
      </c>
      <c r="C34" s="180" t="s">
        <v>755</v>
      </c>
      <c r="D34" s="180" t="s">
        <v>756</v>
      </c>
    </row>
    <row r="35" spans="1:4" x14ac:dyDescent="0.2">
      <c r="A35">
        <v>1100</v>
      </c>
      <c r="B35" s="184" t="s">
        <v>762</v>
      </c>
      <c r="C35" s="178">
        <f>ROUND('DOE25'!F52+'DOE25'!G52+'DOE25'!H52+'DOE25'!I52+'DOE25'!J52,0)</f>
        <v>2616836</v>
      </c>
      <c r="D35" s="181">
        <f t="shared" ref="D35:D40" si="1">ROUND((C35/$C$41)*100,1)</f>
        <v>60.9</v>
      </c>
    </row>
    <row r="36" spans="1:4" x14ac:dyDescent="0.2">
      <c r="B36" s="184" t="s">
        <v>774</v>
      </c>
      <c r="C36" s="178">
        <f>SUM('DOE25'!F104:J104)-SUM('DOE25'!G89:G102)+('DOE25'!F166+'DOE25'!F167+'DOE25'!I166+'DOE25'!I167)-C35</f>
        <v>2888.4900000002235</v>
      </c>
      <c r="D36" s="181">
        <f t="shared" si="1"/>
        <v>0.1</v>
      </c>
    </row>
    <row r="37" spans="1:4" x14ac:dyDescent="0.2">
      <c r="A37" s="182" t="s">
        <v>890</v>
      </c>
      <c r="B37" s="184" t="s">
        <v>763</v>
      </c>
      <c r="C37" s="178">
        <f>ROUND('DOE25'!F109+'DOE25'!F110+'DOE25'!F111,0)</f>
        <v>1353885</v>
      </c>
      <c r="D37" s="181">
        <f t="shared" si="1"/>
        <v>31.5</v>
      </c>
    </row>
    <row r="38" spans="1:4" x14ac:dyDescent="0.2">
      <c r="A38" s="182" t="s">
        <v>769</v>
      </c>
      <c r="B38" s="184" t="s">
        <v>764</v>
      </c>
      <c r="C38" s="178">
        <f>ROUND(SUM('DOE25'!F132:J132)-SUM('DOE25'!F109:F111),0)</f>
        <v>134581</v>
      </c>
      <c r="D38" s="181">
        <f t="shared" si="1"/>
        <v>3.1</v>
      </c>
    </row>
    <row r="39" spans="1:4" x14ac:dyDescent="0.2">
      <c r="A39">
        <v>4000</v>
      </c>
      <c r="B39" s="184" t="s">
        <v>765</v>
      </c>
      <c r="C39" s="178">
        <f>ROUND('DOE25'!F161+'DOE25'!G161+'DOE25'!H161+'DOE25'!I161,0)</f>
        <v>189967</v>
      </c>
      <c r="D39" s="181">
        <f t="shared" si="1"/>
        <v>4.4000000000000004</v>
      </c>
    </row>
    <row r="40" spans="1:4" x14ac:dyDescent="0.2">
      <c r="A40" s="182" t="s">
        <v>770</v>
      </c>
      <c r="B40" s="184" t="s">
        <v>766</v>
      </c>
      <c r="C40" s="178">
        <f>ROUND(SUM('DOE25'!F181:F183)+SUM('DOE25'!G181:G183)+SUM('DOE25'!H181:H183)+SUM('DOE25'!I181:I183),0)</f>
        <v>0</v>
      </c>
      <c r="D40" s="181">
        <f t="shared" si="1"/>
        <v>0</v>
      </c>
    </row>
    <row r="41" spans="1:4" x14ac:dyDescent="0.2">
      <c r="B41" s="186" t="s">
        <v>767</v>
      </c>
      <c r="C41" s="179">
        <f>SUM(C35:C40)</f>
        <v>4298157.49</v>
      </c>
      <c r="D41" s="183">
        <f>SUM(D35:D40)</f>
        <v>100</v>
      </c>
    </row>
    <row r="42" spans="1:4" x14ac:dyDescent="0.2">
      <c r="A42" s="182" t="s">
        <v>772</v>
      </c>
      <c r="B42" s="184" t="s">
        <v>768</v>
      </c>
      <c r="C42" s="178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1B57-FF2C-4B71-9FD3-959D57E632F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801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88" t="s">
        <v>798</v>
      </c>
      <c r="B2" s="289"/>
      <c r="C2" s="289"/>
      <c r="D2" s="289"/>
      <c r="E2" s="289"/>
      <c r="F2" s="294" t="str">
        <f>'DOE25'!A2</f>
        <v>Mont Vernon SD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799</v>
      </c>
      <c r="B3" s="217" t="s">
        <v>800</v>
      </c>
      <c r="C3" s="292" t="s">
        <v>802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07"/>
      <c r="AB29" s="207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7"/>
      <c r="AO29" s="207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7"/>
      <c r="BB29" s="207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7"/>
      <c r="BO29" s="207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7"/>
      <c r="CB29" s="207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7"/>
      <c r="CO29" s="207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7"/>
      <c r="DB29" s="207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7"/>
      <c r="DO29" s="207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7"/>
      <c r="EB29" s="207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7"/>
      <c r="EO29" s="207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7"/>
      <c r="FB29" s="207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7"/>
      <c r="FO29" s="207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7"/>
      <c r="GB29" s="207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7"/>
      <c r="GO29" s="207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7"/>
      <c r="HB29" s="207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7"/>
      <c r="HO29" s="207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7"/>
      <c r="IB29" s="207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7"/>
      <c r="IO29" s="207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07"/>
      <c r="AB30" s="207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7"/>
      <c r="AO30" s="207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7"/>
      <c r="BB30" s="207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7"/>
      <c r="BO30" s="207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7"/>
      <c r="CB30" s="207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7"/>
      <c r="CO30" s="207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7"/>
      <c r="DB30" s="207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7"/>
      <c r="DO30" s="207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7"/>
      <c r="EB30" s="207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7"/>
      <c r="EO30" s="207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7"/>
      <c r="FB30" s="207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7"/>
      <c r="FO30" s="207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7"/>
      <c r="GB30" s="207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7"/>
      <c r="GO30" s="207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7"/>
      <c r="HB30" s="207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7"/>
      <c r="HO30" s="207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7"/>
      <c r="IB30" s="207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7"/>
      <c r="IO30" s="207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07"/>
      <c r="AB31" s="20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7"/>
      <c r="AO31" s="207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7"/>
      <c r="BB31" s="207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7"/>
      <c r="BO31" s="207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7"/>
      <c r="CB31" s="207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7"/>
      <c r="CO31" s="207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7"/>
      <c r="DB31" s="207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7"/>
      <c r="DO31" s="207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7"/>
      <c r="EB31" s="207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7"/>
      <c r="EO31" s="207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7"/>
      <c r="FB31" s="207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7"/>
      <c r="FO31" s="207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7"/>
      <c r="GB31" s="207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7"/>
      <c r="GO31" s="207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7"/>
      <c r="HB31" s="207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7"/>
      <c r="HO31" s="207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7"/>
      <c r="IB31" s="207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7"/>
      <c r="IO31" s="207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07"/>
      <c r="AB38" s="207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7"/>
      <c r="AO38" s="207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7"/>
      <c r="BB38" s="207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7"/>
      <c r="BO38" s="207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7"/>
      <c r="CB38" s="207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7"/>
      <c r="CO38" s="207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7"/>
      <c r="DB38" s="207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7"/>
      <c r="DO38" s="207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7"/>
      <c r="EB38" s="207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7"/>
      <c r="EO38" s="207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7"/>
      <c r="FB38" s="207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7"/>
      <c r="FO38" s="207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7"/>
      <c r="GB38" s="207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7"/>
      <c r="GO38" s="207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7"/>
      <c r="HB38" s="207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7"/>
      <c r="HO38" s="207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7"/>
      <c r="IB38" s="207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7"/>
      <c r="IO38" s="207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07"/>
      <c r="AB39" s="207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7"/>
      <c r="AO39" s="207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7"/>
      <c r="BB39" s="207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7"/>
      <c r="BO39" s="207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7"/>
      <c r="CB39" s="207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7"/>
      <c r="CO39" s="207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7"/>
      <c r="DB39" s="207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7"/>
      <c r="DO39" s="207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7"/>
      <c r="EB39" s="207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7"/>
      <c r="EO39" s="207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7"/>
      <c r="FB39" s="207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7"/>
      <c r="FO39" s="207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7"/>
      <c r="GB39" s="207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7"/>
      <c r="GO39" s="207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7"/>
      <c r="HB39" s="207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7"/>
      <c r="HO39" s="207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7"/>
      <c r="IB39" s="207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7"/>
      <c r="IO39" s="207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07"/>
      <c r="AB40" s="207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7"/>
      <c r="AO40" s="207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7"/>
      <c r="BB40" s="207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7"/>
      <c r="BO40" s="207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7"/>
      <c r="CB40" s="207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7"/>
      <c r="CO40" s="207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7"/>
      <c r="DB40" s="207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7"/>
      <c r="DO40" s="207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7"/>
      <c r="EB40" s="207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7"/>
      <c r="EO40" s="207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7"/>
      <c r="FB40" s="207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7"/>
      <c r="FO40" s="207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7"/>
      <c r="GB40" s="207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7"/>
      <c r="GO40" s="207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7"/>
      <c r="HB40" s="207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7"/>
      <c r="HO40" s="207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7"/>
      <c r="IB40" s="207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7"/>
      <c r="IO40" s="207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7" t="s">
        <v>879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799</v>
      </c>
      <c r="B73" s="210" t="s">
        <v>800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2011-11-07T17:55:17Z</cp:lastPrinted>
  <dcterms:created xsi:type="dcterms:W3CDTF">1997-12-04T19:04:30Z</dcterms:created>
  <dcterms:modified xsi:type="dcterms:W3CDTF">2025-01-10T20:15:22Z</dcterms:modified>
</cp:coreProperties>
</file>