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E975C5CD-B185-45C6-A714-22EC1BEF4DED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C2355919-0B2A-4F1F-8076-2A1C6D5383F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8" i="1" l="1"/>
  <c r="D11" i="13"/>
  <c r="E10" i="13"/>
  <c r="D39" i="13" s="1"/>
  <c r="C39" i="12"/>
  <c r="B39" i="12"/>
  <c r="B40" i="12" s="1"/>
  <c r="A40" i="12" s="1"/>
  <c r="C29" i="12"/>
  <c r="B29" i="12"/>
  <c r="B20" i="12"/>
  <c r="B19" i="12"/>
  <c r="B22" i="12" s="1"/>
  <c r="A22" i="12" s="1"/>
  <c r="B11" i="12"/>
  <c r="B10" i="12"/>
  <c r="B13" i="12" s="1"/>
  <c r="B12" i="12"/>
  <c r="G603" i="1"/>
  <c r="G602" i="1"/>
  <c r="L602" i="1" s="1"/>
  <c r="G601" i="1"/>
  <c r="F601" i="1"/>
  <c r="J455" i="1"/>
  <c r="J466" i="1" s="1"/>
  <c r="H616" i="1" s="1"/>
  <c r="G449" i="1"/>
  <c r="G432" i="1"/>
  <c r="J458" i="1"/>
  <c r="F455" i="1"/>
  <c r="F466" i="1" s="1"/>
  <c r="H612" i="1" s="1"/>
  <c r="J585" i="1"/>
  <c r="I585" i="1"/>
  <c r="I588" i="1" s="1"/>
  <c r="H640" i="1" s="1"/>
  <c r="H528" i="1"/>
  <c r="H526" i="1"/>
  <c r="L526" i="1" s="1"/>
  <c r="G522" i="1"/>
  <c r="G524" i="1" s="1"/>
  <c r="G535" i="1" s="1"/>
  <c r="G523" i="1"/>
  <c r="G521" i="1"/>
  <c r="F522" i="1"/>
  <c r="F523" i="1"/>
  <c r="F521" i="1"/>
  <c r="L521" i="1" s="1"/>
  <c r="H218" i="1"/>
  <c r="H208" i="1"/>
  <c r="H517" i="1" s="1"/>
  <c r="L517" i="1" s="1"/>
  <c r="G540" i="1" s="1"/>
  <c r="H200" i="1"/>
  <c r="L200" i="1" s="1"/>
  <c r="H190" i="1"/>
  <c r="L190" i="1" s="1"/>
  <c r="H352" i="1"/>
  <c r="L352" i="1" s="1"/>
  <c r="H350" i="1"/>
  <c r="L350" i="1" s="1"/>
  <c r="G150" i="1"/>
  <c r="D80" i="2" s="1"/>
  <c r="J88" i="1"/>
  <c r="F489" i="1"/>
  <c r="F488" i="1"/>
  <c r="K488" i="1" s="1"/>
  <c r="H392" i="1"/>
  <c r="L387" i="1"/>
  <c r="F268" i="1"/>
  <c r="H306" i="1"/>
  <c r="G306" i="1"/>
  <c r="G320" i="1" s="1"/>
  <c r="F306" i="1"/>
  <c r="H269" i="1"/>
  <c r="G269" i="1"/>
  <c r="C18" i="12" s="1"/>
  <c r="G514" i="1"/>
  <c r="F269" i="1"/>
  <c r="G268" i="1"/>
  <c r="G287" i="1"/>
  <c r="G301" i="1" s="1"/>
  <c r="F287" i="1"/>
  <c r="I268" i="1"/>
  <c r="I282" i="1" s="1"/>
  <c r="I330" i="1" s="1"/>
  <c r="I344" i="1" s="1"/>
  <c r="H102" i="1"/>
  <c r="E53" i="2" s="1"/>
  <c r="H151" i="1"/>
  <c r="H147" i="1"/>
  <c r="H146" i="1"/>
  <c r="E80" i="2" s="1"/>
  <c r="K258" i="1"/>
  <c r="L258" i="1" s="1"/>
  <c r="H236" i="1"/>
  <c r="J233" i="1"/>
  <c r="F12" i="13" s="1"/>
  <c r="J215" i="1"/>
  <c r="J197" i="1"/>
  <c r="K196" i="1"/>
  <c r="K203" i="1" s="1"/>
  <c r="K249" i="1" s="1"/>
  <c r="K263" i="1" s="1"/>
  <c r="K232" i="1"/>
  <c r="L232" i="1"/>
  <c r="K214" i="1"/>
  <c r="L214" i="1" s="1"/>
  <c r="I231" i="1"/>
  <c r="I213" i="1"/>
  <c r="I195" i="1"/>
  <c r="H231" i="1"/>
  <c r="G231" i="1"/>
  <c r="G239" i="1" s="1"/>
  <c r="G249" i="1" s="1"/>
  <c r="G263" i="1" s="1"/>
  <c r="F231" i="1"/>
  <c r="G213" i="1"/>
  <c r="F213" i="1"/>
  <c r="F221" i="1" s="1"/>
  <c r="F249" i="1" s="1"/>
  <c r="F263" i="1" s="1"/>
  <c r="G195" i="1"/>
  <c r="F195" i="1"/>
  <c r="J195" i="1"/>
  <c r="J203" i="1" s="1"/>
  <c r="J213" i="1"/>
  <c r="J231" i="1"/>
  <c r="F7" i="13" s="1"/>
  <c r="K231" i="1"/>
  <c r="K213" i="1"/>
  <c r="G7" i="13"/>
  <c r="J230" i="1"/>
  <c r="L230" i="1" s="1"/>
  <c r="J212" i="1"/>
  <c r="G6" i="13"/>
  <c r="K194" i="1"/>
  <c r="L194" i="1" s="1"/>
  <c r="H228" i="1"/>
  <c r="H239" i="1" s="1"/>
  <c r="J228" i="1"/>
  <c r="J239" i="1" s="1"/>
  <c r="J594" i="1" s="1"/>
  <c r="J595" i="1" s="1"/>
  <c r="J210" i="1"/>
  <c r="F5" i="13" s="1"/>
  <c r="K228" i="1"/>
  <c r="K239" i="1" s="1"/>
  <c r="K210" i="1"/>
  <c r="G5" i="13" s="1"/>
  <c r="K192" i="1"/>
  <c r="H227" i="1"/>
  <c r="L227" i="1"/>
  <c r="F91" i="1"/>
  <c r="F49" i="1"/>
  <c r="F42" i="1"/>
  <c r="C41" i="2" s="1"/>
  <c r="C37" i="10"/>
  <c r="C60" i="2"/>
  <c r="B2" i="13"/>
  <c r="F8" i="13"/>
  <c r="F13" i="13"/>
  <c r="E13" i="13" s="1"/>
  <c r="C13" i="13" s="1"/>
  <c r="G13" i="13"/>
  <c r="L198" i="1"/>
  <c r="L216" i="1"/>
  <c r="L234" i="1"/>
  <c r="F16" i="13"/>
  <c r="G16" i="13"/>
  <c r="L201" i="1"/>
  <c r="C117" i="2" s="1"/>
  <c r="L219" i="1"/>
  <c r="L237" i="1"/>
  <c r="E16" i="13"/>
  <c r="C16" i="13" s="1"/>
  <c r="L189" i="1"/>
  <c r="L191" i="1"/>
  <c r="C12" i="10" s="1"/>
  <c r="L192" i="1"/>
  <c r="C104" i="2" s="1"/>
  <c r="L207" i="1"/>
  <c r="L208" i="1"/>
  <c r="L209" i="1"/>
  <c r="L210" i="1"/>
  <c r="L225" i="1"/>
  <c r="L226" i="1"/>
  <c r="L228" i="1"/>
  <c r="L212" i="1"/>
  <c r="L195" i="1"/>
  <c r="L231" i="1"/>
  <c r="G12" i="13"/>
  <c r="L197" i="1"/>
  <c r="L215" i="1"/>
  <c r="F14" i="13"/>
  <c r="G14" i="13"/>
  <c r="L199" i="1"/>
  <c r="D14" i="13" s="1"/>
  <c r="C14" i="13" s="1"/>
  <c r="L217" i="1"/>
  <c r="L235" i="1"/>
  <c r="F15" i="13"/>
  <c r="G15" i="13"/>
  <c r="L218" i="1"/>
  <c r="L236" i="1"/>
  <c r="G641" i="1" s="1"/>
  <c r="J641" i="1" s="1"/>
  <c r="F17" i="13"/>
  <c r="G17" i="13"/>
  <c r="L243" i="1"/>
  <c r="C106" i="2" s="1"/>
  <c r="F18" i="13"/>
  <c r="G18" i="13"/>
  <c r="L244" i="1"/>
  <c r="D18" i="13" s="1"/>
  <c r="C18" i="13" s="1"/>
  <c r="F19" i="13"/>
  <c r="G19" i="13"/>
  <c r="L245" i="1"/>
  <c r="F29" i="13"/>
  <c r="G29" i="13"/>
  <c r="I359" i="1"/>
  <c r="I361" i="1" s="1"/>
  <c r="H624" i="1" s="1"/>
  <c r="J624" i="1" s="1"/>
  <c r="J282" i="1"/>
  <c r="J301" i="1"/>
  <c r="J320" i="1"/>
  <c r="F31" i="13"/>
  <c r="K282" i="1"/>
  <c r="G31" i="13" s="1"/>
  <c r="K301" i="1"/>
  <c r="K320" i="1"/>
  <c r="L268" i="1"/>
  <c r="L282" i="1" s="1"/>
  <c r="L269" i="1"/>
  <c r="E102" i="2" s="1"/>
  <c r="L270" i="1"/>
  <c r="L271" i="1"/>
  <c r="L273" i="1"/>
  <c r="E110" i="2" s="1"/>
  <c r="L274" i="1"/>
  <c r="L275" i="1"/>
  <c r="L276" i="1"/>
  <c r="L277" i="1"/>
  <c r="L278" i="1"/>
  <c r="C20" i="10" s="1"/>
  <c r="L279" i="1"/>
  <c r="L280" i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09" i="1"/>
  <c r="E104" i="2" s="1"/>
  <c r="L311" i="1"/>
  <c r="L312" i="1"/>
  <c r="L313" i="1"/>
  <c r="L314" i="1"/>
  <c r="E113" i="2" s="1"/>
  <c r="L315" i="1"/>
  <c r="C19" i="10" s="1"/>
  <c r="L316" i="1"/>
  <c r="L317" i="1"/>
  <c r="H652" i="1" s="1"/>
  <c r="L318" i="1"/>
  <c r="E117" i="2" s="1"/>
  <c r="L325" i="1"/>
  <c r="L326" i="1"/>
  <c r="L327" i="1"/>
  <c r="E106" i="2" s="1"/>
  <c r="L252" i="1"/>
  <c r="L253" i="1"/>
  <c r="C25" i="10" s="1"/>
  <c r="L333" i="1"/>
  <c r="L334" i="1"/>
  <c r="L247" i="1"/>
  <c r="C122" i="2" s="1"/>
  <c r="L328" i="1"/>
  <c r="E122" i="2" s="1"/>
  <c r="C11" i="13"/>
  <c r="C10" i="13"/>
  <c r="C9" i="13"/>
  <c r="L353" i="1"/>
  <c r="B4" i="12"/>
  <c r="B36" i="12"/>
  <c r="C36" i="12"/>
  <c r="C40" i="12"/>
  <c r="B27" i="12"/>
  <c r="A31" i="12" s="1"/>
  <c r="C27" i="12"/>
  <c r="B31" i="12"/>
  <c r="C31" i="12"/>
  <c r="B9" i="12"/>
  <c r="C13" i="12"/>
  <c r="B18" i="12"/>
  <c r="C22" i="12"/>
  <c r="B1" i="12"/>
  <c r="L379" i="1"/>
  <c r="L380" i="1"/>
  <c r="L381" i="1"/>
  <c r="L382" i="1"/>
  <c r="L383" i="1"/>
  <c r="L384" i="1"/>
  <c r="L385" i="1"/>
  <c r="L388" i="1"/>
  <c r="L393" i="1" s="1"/>
  <c r="C131" i="2" s="1"/>
  <c r="L389" i="1"/>
  <c r="L390" i="1"/>
  <c r="L391" i="1"/>
  <c r="L392" i="1"/>
  <c r="L395" i="1"/>
  <c r="L396" i="1"/>
  <c r="L397" i="1"/>
  <c r="L398" i="1"/>
  <c r="J52" i="1"/>
  <c r="J104" i="1" s="1"/>
  <c r="J185" i="1" s="1"/>
  <c r="G51" i="2"/>
  <c r="G53" i="2"/>
  <c r="F2" i="11"/>
  <c r="L603" i="1"/>
  <c r="L601" i="1"/>
  <c r="L604" i="1" s="1"/>
  <c r="C40" i="10"/>
  <c r="F52" i="1"/>
  <c r="C48" i="2" s="1"/>
  <c r="G52" i="1"/>
  <c r="H52" i="1"/>
  <c r="H104" i="1" s="1"/>
  <c r="H185" i="1" s="1"/>
  <c r="G619" i="1" s="1"/>
  <c r="J619" i="1" s="1"/>
  <c r="I52" i="1"/>
  <c r="I104" i="1" s="1"/>
  <c r="F71" i="1"/>
  <c r="C49" i="2" s="1"/>
  <c r="C54" i="2" s="1"/>
  <c r="F86" i="1"/>
  <c r="F103" i="1"/>
  <c r="G103" i="1"/>
  <c r="G104" i="1" s="1"/>
  <c r="H71" i="1"/>
  <c r="E49" i="2" s="1"/>
  <c r="E54" i="2" s="1"/>
  <c r="E55" i="2" s="1"/>
  <c r="H86" i="1"/>
  <c r="H103" i="1"/>
  <c r="I103" i="1"/>
  <c r="J103" i="1"/>
  <c r="F113" i="1"/>
  <c r="F132" i="1" s="1"/>
  <c r="C38" i="10" s="1"/>
  <c r="F128" i="1"/>
  <c r="G113" i="1"/>
  <c r="G128" i="1"/>
  <c r="H113" i="1"/>
  <c r="H128" i="1"/>
  <c r="I113" i="1"/>
  <c r="I128" i="1"/>
  <c r="I132" i="1" s="1"/>
  <c r="J113" i="1"/>
  <c r="J128" i="1"/>
  <c r="F139" i="1"/>
  <c r="F154" i="1"/>
  <c r="G139" i="1"/>
  <c r="G161" i="1" s="1"/>
  <c r="G154" i="1"/>
  <c r="H139" i="1"/>
  <c r="H154" i="1"/>
  <c r="I139" i="1"/>
  <c r="I161" i="1" s="1"/>
  <c r="I154" i="1"/>
  <c r="L242" i="1"/>
  <c r="C105" i="2" s="1"/>
  <c r="L324" i="1"/>
  <c r="E105" i="2" s="1"/>
  <c r="L246" i="1"/>
  <c r="L260" i="1"/>
  <c r="L261" i="1"/>
  <c r="C26" i="10" s="1"/>
  <c r="L341" i="1"/>
  <c r="L342" i="1"/>
  <c r="I655" i="1"/>
  <c r="I660" i="1"/>
  <c r="G652" i="1"/>
  <c r="I659" i="1"/>
  <c r="C42" i="10"/>
  <c r="C32" i="10"/>
  <c r="L366" i="1"/>
  <c r="L367" i="1"/>
  <c r="L368" i="1"/>
  <c r="L369" i="1"/>
  <c r="L370" i="1"/>
  <c r="L371" i="1"/>
  <c r="L372" i="1"/>
  <c r="B2" i="10"/>
  <c r="L336" i="1"/>
  <c r="E126" i="2" s="1"/>
  <c r="L337" i="1"/>
  <c r="L338" i="1"/>
  <c r="L339" i="1"/>
  <c r="K343" i="1"/>
  <c r="L512" i="1"/>
  <c r="F540" i="1"/>
  <c r="L513" i="1"/>
  <c r="F541" i="1"/>
  <c r="L518" i="1"/>
  <c r="G541" i="1" s="1"/>
  <c r="L522" i="1"/>
  <c r="H540" i="1" s="1"/>
  <c r="L523" i="1"/>
  <c r="H541" i="1"/>
  <c r="L528" i="1"/>
  <c r="I541" i="1" s="1"/>
  <c r="L531" i="1"/>
  <c r="J539" i="1"/>
  <c r="L532" i="1"/>
  <c r="L534" i="1" s="1"/>
  <c r="L533" i="1"/>
  <c r="J541" i="1"/>
  <c r="E124" i="2"/>
  <c r="E123" i="2"/>
  <c r="K262" i="1"/>
  <c r="J262" i="1"/>
  <c r="I262" i="1"/>
  <c r="L262" i="1" s="1"/>
  <c r="H262" i="1"/>
  <c r="G262" i="1"/>
  <c r="F262" i="1"/>
  <c r="C124" i="2"/>
  <c r="C123" i="2"/>
  <c r="A1" i="2"/>
  <c r="A2" i="2"/>
  <c r="C9" i="2"/>
  <c r="C19" i="2" s="1"/>
  <c r="D9" i="2"/>
  <c r="D19" i="2" s="1"/>
  <c r="D10" i="2"/>
  <c r="D12" i="2"/>
  <c r="D13" i="2"/>
  <c r="D14" i="2"/>
  <c r="D16" i="2"/>
  <c r="D17" i="2"/>
  <c r="D18" i="2"/>
  <c r="E9" i="2"/>
  <c r="E19" i="2" s="1"/>
  <c r="F9" i="2"/>
  <c r="I431" i="1"/>
  <c r="J9" i="1"/>
  <c r="G9" i="2" s="1"/>
  <c r="C10" i="2"/>
  <c r="E10" i="2"/>
  <c r="F10" i="2"/>
  <c r="I432" i="1"/>
  <c r="J10" i="1" s="1"/>
  <c r="C11" i="2"/>
  <c r="C12" i="2"/>
  <c r="E12" i="2"/>
  <c r="F12" i="2"/>
  <c r="I433" i="1"/>
  <c r="J12" i="1"/>
  <c r="G12" i="2" s="1"/>
  <c r="C13" i="2"/>
  <c r="E13" i="2"/>
  <c r="F13" i="2"/>
  <c r="I434" i="1"/>
  <c r="J13" i="1"/>
  <c r="G13" i="2"/>
  <c r="C14" i="2"/>
  <c r="E14" i="2"/>
  <c r="F14" i="2"/>
  <c r="I435" i="1"/>
  <c r="J14" i="1"/>
  <c r="G14" i="2" s="1"/>
  <c r="F15" i="2"/>
  <c r="C16" i="2"/>
  <c r="E16" i="2"/>
  <c r="F16" i="2"/>
  <c r="C17" i="2"/>
  <c r="E17" i="2"/>
  <c r="F17" i="2"/>
  <c r="I436" i="1"/>
  <c r="J17" i="1"/>
  <c r="G17" i="2" s="1"/>
  <c r="C18" i="2"/>
  <c r="E18" i="2"/>
  <c r="F18" i="2"/>
  <c r="I437" i="1"/>
  <c r="J18" i="1" s="1"/>
  <c r="G18" i="2" s="1"/>
  <c r="C22" i="2"/>
  <c r="D22" i="2"/>
  <c r="D32" i="2" s="1"/>
  <c r="E22" i="2"/>
  <c r="F22" i="2"/>
  <c r="I440" i="1"/>
  <c r="J23" i="1" s="1"/>
  <c r="C23" i="2"/>
  <c r="C32" i="2" s="1"/>
  <c r="D23" i="2"/>
  <c r="E23" i="2"/>
  <c r="E32" i="2" s="1"/>
  <c r="F23" i="2"/>
  <c r="I441" i="1"/>
  <c r="I444" i="1" s="1"/>
  <c r="I451" i="1" s="1"/>
  <c r="H632" i="1" s="1"/>
  <c r="J632" i="1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F32" i="2" s="1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D35" i="2"/>
  <c r="D42" i="2" s="1"/>
  <c r="D43" i="2" s="1"/>
  <c r="D36" i="2"/>
  <c r="D37" i="2"/>
  <c r="D38" i="2"/>
  <c r="D40" i="2"/>
  <c r="D41" i="2"/>
  <c r="E34" i="2"/>
  <c r="F34" i="2"/>
  <c r="C35" i="2"/>
  <c r="E35" i="2"/>
  <c r="F35" i="2"/>
  <c r="C36" i="2"/>
  <c r="C42" i="2" s="1"/>
  <c r="C43" i="2" s="1"/>
  <c r="E36" i="2"/>
  <c r="F36" i="2"/>
  <c r="I446" i="1"/>
  <c r="J37" i="1" s="1"/>
  <c r="C37" i="2"/>
  <c r="E37" i="2"/>
  <c r="F37" i="2"/>
  <c r="I447" i="1"/>
  <c r="J38" i="1" s="1"/>
  <c r="G37" i="2" s="1"/>
  <c r="C38" i="2"/>
  <c r="E38" i="2"/>
  <c r="E42" i="2" s="1"/>
  <c r="E43" i="2" s="1"/>
  <c r="F38" i="2"/>
  <c r="I448" i="1"/>
  <c r="J40" i="1"/>
  <c r="G39" i="2" s="1"/>
  <c r="C40" i="2"/>
  <c r="E40" i="2"/>
  <c r="F40" i="2"/>
  <c r="I449" i="1"/>
  <c r="J41" i="1" s="1"/>
  <c r="G40" i="2" s="1"/>
  <c r="E41" i="2"/>
  <c r="F41" i="2"/>
  <c r="D48" i="2"/>
  <c r="E48" i="2"/>
  <c r="F48" i="2"/>
  <c r="C50" i="2"/>
  <c r="E50" i="2"/>
  <c r="C51" i="2"/>
  <c r="D51" i="2"/>
  <c r="E51" i="2"/>
  <c r="F51" i="2"/>
  <c r="D52" i="2"/>
  <c r="D54" i="2" s="1"/>
  <c r="D55" i="2" s="1"/>
  <c r="C53" i="2"/>
  <c r="D53" i="2"/>
  <c r="F53" i="2"/>
  <c r="C58" i="2"/>
  <c r="C62" i="2" s="1"/>
  <c r="C59" i="2"/>
  <c r="C61" i="2"/>
  <c r="D61" i="2"/>
  <c r="D62" i="2" s="1"/>
  <c r="E61" i="2"/>
  <c r="E62" i="2"/>
  <c r="F61" i="2"/>
  <c r="F62" i="2" s="1"/>
  <c r="G61" i="2"/>
  <c r="G62" i="2" s="1"/>
  <c r="C64" i="2"/>
  <c r="C70" i="2" s="1"/>
  <c r="F64" i="2"/>
  <c r="F70" i="2" s="1"/>
  <c r="C65" i="2"/>
  <c r="F65" i="2"/>
  <c r="C66" i="2"/>
  <c r="C67" i="2"/>
  <c r="C68" i="2"/>
  <c r="E68" i="2"/>
  <c r="E70" i="2" s="1"/>
  <c r="E73" i="2" s="1"/>
  <c r="F68" i="2"/>
  <c r="C69" i="2"/>
  <c r="D69" i="2"/>
  <c r="D70" i="2"/>
  <c r="E69" i="2"/>
  <c r="F69" i="2"/>
  <c r="G69" i="2"/>
  <c r="G70" i="2" s="1"/>
  <c r="C71" i="2"/>
  <c r="D71" i="2"/>
  <c r="E71" i="2"/>
  <c r="C72" i="2"/>
  <c r="E72" i="2"/>
  <c r="C77" i="2"/>
  <c r="D77" i="2"/>
  <c r="D83" i="2" s="1"/>
  <c r="E77" i="2"/>
  <c r="C79" i="2"/>
  <c r="E79" i="2"/>
  <c r="F79" i="2"/>
  <c r="C80" i="2"/>
  <c r="F80" i="2"/>
  <c r="C81" i="2"/>
  <c r="D81" i="2"/>
  <c r="E81" i="2"/>
  <c r="F81" i="2"/>
  <c r="C82" i="2"/>
  <c r="C85" i="2"/>
  <c r="C95" i="2" s="1"/>
  <c r="F85" i="2"/>
  <c r="C86" i="2"/>
  <c r="F86" i="2"/>
  <c r="D88" i="2"/>
  <c r="E88" i="2"/>
  <c r="F88" i="2"/>
  <c r="F95" i="2" s="1"/>
  <c r="G88" i="2"/>
  <c r="G95" i="2" s="1"/>
  <c r="G89" i="2"/>
  <c r="G90" i="2"/>
  <c r="C89" i="2"/>
  <c r="D89" i="2"/>
  <c r="D95" i="2" s="1"/>
  <c r="E89" i="2"/>
  <c r="F89" i="2"/>
  <c r="C90" i="2"/>
  <c r="D90" i="2"/>
  <c r="E90" i="2"/>
  <c r="C91" i="2"/>
  <c r="D91" i="2"/>
  <c r="E91" i="2"/>
  <c r="F91" i="2"/>
  <c r="C92" i="2"/>
  <c r="D92" i="2"/>
  <c r="E92" i="2"/>
  <c r="E95" i="2" s="1"/>
  <c r="F92" i="2"/>
  <c r="C93" i="2"/>
  <c r="D93" i="2"/>
  <c r="E93" i="2"/>
  <c r="F93" i="2"/>
  <c r="C94" i="2"/>
  <c r="D94" i="2"/>
  <c r="E94" i="2"/>
  <c r="F94" i="2"/>
  <c r="E103" i="2"/>
  <c r="D107" i="2"/>
  <c r="F107" i="2"/>
  <c r="G107" i="2"/>
  <c r="E111" i="2"/>
  <c r="E112" i="2"/>
  <c r="C114" i="2"/>
  <c r="E114" i="2"/>
  <c r="C115" i="2"/>
  <c r="E116" i="2"/>
  <c r="F120" i="2"/>
  <c r="F137" i="2" s="1"/>
  <c r="G120" i="2"/>
  <c r="F122" i="2"/>
  <c r="F136" i="2" s="1"/>
  <c r="F126" i="2"/>
  <c r="D126" i="2"/>
  <c r="D136" i="2" s="1"/>
  <c r="K411" i="1"/>
  <c r="K419" i="1"/>
  <c r="K425" i="1"/>
  <c r="L255" i="1"/>
  <c r="C127" i="2" s="1"/>
  <c r="E127" i="2"/>
  <c r="L256" i="1"/>
  <c r="C128" i="2" s="1"/>
  <c r="L257" i="1"/>
  <c r="C129" i="2" s="1"/>
  <c r="E129" i="2"/>
  <c r="C134" i="2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C151" i="2"/>
  <c r="D151" i="2"/>
  <c r="E151" i="2"/>
  <c r="F151" i="2"/>
  <c r="B152" i="2"/>
  <c r="G152" i="2" s="1"/>
  <c r="C152" i="2"/>
  <c r="D152" i="2"/>
  <c r="E152" i="2"/>
  <c r="F152" i="2"/>
  <c r="G490" i="1"/>
  <c r="C153" i="2" s="1"/>
  <c r="H490" i="1"/>
  <c r="D153" i="2" s="1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C156" i="2" s="1"/>
  <c r="H493" i="1"/>
  <c r="D156" i="2" s="1"/>
  <c r="I493" i="1"/>
  <c r="E156" i="2" s="1"/>
  <c r="J493" i="1"/>
  <c r="F156" i="2" s="1"/>
  <c r="F19" i="1"/>
  <c r="G607" i="1"/>
  <c r="G19" i="1"/>
  <c r="H19" i="1"/>
  <c r="G609" i="1" s="1"/>
  <c r="I19" i="1"/>
  <c r="F33" i="1"/>
  <c r="G33" i="1"/>
  <c r="H33" i="1"/>
  <c r="I33" i="1"/>
  <c r="F43" i="1"/>
  <c r="G612" i="1" s="1"/>
  <c r="J612" i="1" s="1"/>
  <c r="G43" i="1"/>
  <c r="H43" i="1"/>
  <c r="H44" i="1"/>
  <c r="H609" i="1" s="1"/>
  <c r="I43" i="1"/>
  <c r="I44" i="1" s="1"/>
  <c r="H610" i="1" s="1"/>
  <c r="F169" i="1"/>
  <c r="F184" i="1" s="1"/>
  <c r="I169" i="1"/>
  <c r="F175" i="1"/>
  <c r="G175" i="1"/>
  <c r="H175" i="1"/>
  <c r="H184" i="1" s="1"/>
  <c r="I175" i="1"/>
  <c r="J175" i="1"/>
  <c r="J184" i="1"/>
  <c r="F180" i="1"/>
  <c r="G180" i="1"/>
  <c r="G184" i="1" s="1"/>
  <c r="H180" i="1"/>
  <c r="I180" i="1"/>
  <c r="I184" i="1"/>
  <c r="F203" i="1"/>
  <c r="G203" i="1"/>
  <c r="I203" i="1"/>
  <c r="I249" i="1" s="1"/>
  <c r="I263" i="1" s="1"/>
  <c r="G221" i="1"/>
  <c r="H221" i="1"/>
  <c r="I221" i="1"/>
  <c r="K221" i="1"/>
  <c r="F239" i="1"/>
  <c r="I239" i="1"/>
  <c r="F248" i="1"/>
  <c r="G248" i="1"/>
  <c r="H248" i="1"/>
  <c r="L248" i="1" s="1"/>
  <c r="I248" i="1"/>
  <c r="J248" i="1"/>
  <c r="K248" i="1"/>
  <c r="F282" i="1"/>
  <c r="H282" i="1"/>
  <c r="H330" i="1" s="1"/>
  <c r="H344" i="1" s="1"/>
  <c r="F301" i="1"/>
  <c r="H301" i="1"/>
  <c r="I301" i="1"/>
  <c r="F320" i="1"/>
  <c r="H320" i="1"/>
  <c r="I320" i="1"/>
  <c r="F329" i="1"/>
  <c r="G329" i="1"/>
  <c r="H329" i="1"/>
  <c r="L329" i="1" s="1"/>
  <c r="I329" i="1"/>
  <c r="J329" i="1"/>
  <c r="K329" i="1"/>
  <c r="J330" i="1"/>
  <c r="J344" i="1" s="1"/>
  <c r="F354" i="1"/>
  <c r="G354" i="1"/>
  <c r="I354" i="1"/>
  <c r="J354" i="1"/>
  <c r="K354" i="1"/>
  <c r="I360" i="1"/>
  <c r="F361" i="1"/>
  <c r="G361" i="1"/>
  <c r="H361" i="1"/>
  <c r="L373" i="1"/>
  <c r="L374" i="1"/>
  <c r="G626" i="1" s="1"/>
  <c r="J626" i="1" s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H393" i="1"/>
  <c r="I393" i="1"/>
  <c r="F399" i="1"/>
  <c r="G399" i="1"/>
  <c r="H399" i="1"/>
  <c r="I399" i="1"/>
  <c r="I400" i="1" s="1"/>
  <c r="G400" i="1"/>
  <c r="H635" i="1" s="1"/>
  <c r="J635" i="1" s="1"/>
  <c r="H400" i="1"/>
  <c r="L405" i="1"/>
  <c r="L406" i="1"/>
  <c r="L407" i="1"/>
  <c r="L408" i="1"/>
  <c r="L409" i="1"/>
  <c r="L411" i="1" s="1"/>
  <c r="L410" i="1"/>
  <c r="F411" i="1"/>
  <c r="G411" i="1"/>
  <c r="H411" i="1"/>
  <c r="I411" i="1"/>
  <c r="I426" i="1" s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J426" i="1" s="1"/>
  <c r="L421" i="1"/>
  <c r="L425" i="1" s="1"/>
  <c r="L422" i="1"/>
  <c r="L423" i="1"/>
  <c r="L424" i="1"/>
  <c r="F425" i="1"/>
  <c r="G425" i="1"/>
  <c r="G426" i="1"/>
  <c r="H425" i="1"/>
  <c r="I425" i="1"/>
  <c r="J425" i="1"/>
  <c r="F426" i="1"/>
  <c r="F438" i="1"/>
  <c r="G629" i="1"/>
  <c r="G438" i="1"/>
  <c r="H438" i="1"/>
  <c r="G631" i="1" s="1"/>
  <c r="J631" i="1" s="1"/>
  <c r="I438" i="1"/>
  <c r="F444" i="1"/>
  <c r="G444" i="1"/>
  <c r="G451" i="1" s="1"/>
  <c r="H630" i="1" s="1"/>
  <c r="H444" i="1"/>
  <c r="H451" i="1" s="1"/>
  <c r="H631" i="1" s="1"/>
  <c r="F450" i="1"/>
  <c r="F451" i="1" s="1"/>
  <c r="H629" i="1" s="1"/>
  <c r="G450" i="1"/>
  <c r="H450" i="1"/>
  <c r="I450" i="1"/>
  <c r="F460" i="1"/>
  <c r="G460" i="1"/>
  <c r="H460" i="1"/>
  <c r="I460" i="1"/>
  <c r="I466" i="1" s="1"/>
  <c r="H615" i="1" s="1"/>
  <c r="J615" i="1" s="1"/>
  <c r="J460" i="1"/>
  <c r="F464" i="1"/>
  <c r="G464" i="1"/>
  <c r="H464" i="1"/>
  <c r="I464" i="1"/>
  <c r="J464" i="1"/>
  <c r="K485" i="1"/>
  <c r="K486" i="1"/>
  <c r="K487" i="1"/>
  <c r="K489" i="1"/>
  <c r="K491" i="1"/>
  <c r="K492" i="1"/>
  <c r="F507" i="1"/>
  <c r="G507" i="1"/>
  <c r="H507" i="1"/>
  <c r="I507" i="1"/>
  <c r="I514" i="1"/>
  <c r="J514" i="1"/>
  <c r="J535" i="1" s="1"/>
  <c r="K514" i="1"/>
  <c r="F519" i="1"/>
  <c r="G519" i="1"/>
  <c r="I519" i="1"/>
  <c r="J519" i="1"/>
  <c r="K519" i="1"/>
  <c r="H524" i="1"/>
  <c r="I524" i="1"/>
  <c r="J524" i="1"/>
  <c r="K524" i="1"/>
  <c r="F529" i="1"/>
  <c r="G529" i="1"/>
  <c r="I529" i="1"/>
  <c r="I535" i="1" s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G561" i="1" s="1"/>
  <c r="H550" i="1"/>
  <c r="I550" i="1"/>
  <c r="J550" i="1"/>
  <c r="J561" i="1" s="1"/>
  <c r="K550" i="1"/>
  <c r="L552" i="1"/>
  <c r="L555" i="1" s="1"/>
  <c r="L553" i="1"/>
  <c r="L554" i="1"/>
  <c r="F555" i="1"/>
  <c r="F561" i="1" s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I561" i="1" s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J588" i="1"/>
  <c r="H641" i="1" s="1"/>
  <c r="K592" i="1"/>
  <c r="K593" i="1"/>
  <c r="F604" i="1"/>
  <c r="G604" i="1"/>
  <c r="H604" i="1"/>
  <c r="I604" i="1"/>
  <c r="J604" i="1"/>
  <c r="K604" i="1"/>
  <c r="G608" i="1"/>
  <c r="G610" i="1"/>
  <c r="G613" i="1"/>
  <c r="G614" i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J630" i="1" s="1"/>
  <c r="G632" i="1"/>
  <c r="G633" i="1"/>
  <c r="G634" i="1"/>
  <c r="J634" i="1" s="1"/>
  <c r="H634" i="1"/>
  <c r="G640" i="1"/>
  <c r="G642" i="1"/>
  <c r="H642" i="1"/>
  <c r="G643" i="1"/>
  <c r="J643" i="1" s="1"/>
  <c r="H643" i="1"/>
  <c r="G644" i="1"/>
  <c r="J644" i="1" s="1"/>
  <c r="H644" i="1"/>
  <c r="G645" i="1"/>
  <c r="H645" i="1"/>
  <c r="G44" i="1"/>
  <c r="H608" i="1" s="1"/>
  <c r="C83" i="2"/>
  <c r="F54" i="2"/>
  <c r="F55" i="2"/>
  <c r="G635" i="1"/>
  <c r="J645" i="1"/>
  <c r="G466" i="1"/>
  <c r="H613" i="1" s="1"/>
  <c r="H466" i="1"/>
  <c r="H614" i="1" s="1"/>
  <c r="F330" i="1"/>
  <c r="F344" i="1" s="1"/>
  <c r="H161" i="1"/>
  <c r="K588" i="1"/>
  <c r="G637" i="1" s="1"/>
  <c r="K535" i="1"/>
  <c r="H426" i="1"/>
  <c r="G132" i="1"/>
  <c r="H351" i="1"/>
  <c r="L351" i="1" s="1"/>
  <c r="G651" i="1" s="1"/>
  <c r="J642" i="1"/>
  <c r="H561" i="1"/>
  <c r="L343" i="1"/>
  <c r="F161" i="1"/>
  <c r="J132" i="1"/>
  <c r="C29" i="10"/>
  <c r="G54" i="2"/>
  <c r="H25" i="13"/>
  <c r="C25" i="13" s="1"/>
  <c r="K561" i="1"/>
  <c r="H132" i="1"/>
  <c r="L399" i="1"/>
  <c r="D19" i="13"/>
  <c r="C19" i="13" s="1"/>
  <c r="K426" i="1"/>
  <c r="G126" i="2" s="1"/>
  <c r="G136" i="2" s="1"/>
  <c r="C132" i="2"/>
  <c r="L511" i="1"/>
  <c r="F514" i="1"/>
  <c r="F42" i="2"/>
  <c r="F43" i="2" s="1"/>
  <c r="F19" i="2"/>
  <c r="F539" i="1"/>
  <c r="F542" i="1" s="1"/>
  <c r="L514" i="1"/>
  <c r="H514" i="1"/>
  <c r="C15" i="10" l="1"/>
  <c r="C110" i="2"/>
  <c r="J608" i="1"/>
  <c r="E83" i="2"/>
  <c r="E96" i="2" s="1"/>
  <c r="C73" i="2"/>
  <c r="D96" i="2"/>
  <c r="H653" i="1"/>
  <c r="H651" i="1"/>
  <c r="D73" i="2"/>
  <c r="J640" i="1"/>
  <c r="J609" i="1"/>
  <c r="G185" i="1"/>
  <c r="G618" i="1" s="1"/>
  <c r="J618" i="1" s="1"/>
  <c r="L400" i="1"/>
  <c r="E136" i="2"/>
  <c r="C21" i="10"/>
  <c r="F652" i="1"/>
  <c r="I652" i="1" s="1"/>
  <c r="H637" i="1"/>
  <c r="G639" i="1"/>
  <c r="J639" i="1" s="1"/>
  <c r="C116" i="2"/>
  <c r="D15" i="13"/>
  <c r="C15" i="13" s="1"/>
  <c r="G36" i="2"/>
  <c r="G42" i="2" s="1"/>
  <c r="J43" i="1"/>
  <c r="C11" i="10"/>
  <c r="C102" i="2"/>
  <c r="J629" i="1"/>
  <c r="G137" i="2"/>
  <c r="G33" i="13"/>
  <c r="G621" i="1"/>
  <c r="J621" i="1" s="1"/>
  <c r="G636" i="1"/>
  <c r="E120" i="2"/>
  <c r="D5" i="13"/>
  <c r="H594" i="1"/>
  <c r="L524" i="1"/>
  <c r="H539" i="1"/>
  <c r="H542" i="1" s="1"/>
  <c r="J19" i="1"/>
  <c r="G611" i="1" s="1"/>
  <c r="G10" i="2"/>
  <c r="G19" i="2" s="1"/>
  <c r="I185" i="1"/>
  <c r="G620" i="1" s="1"/>
  <c r="J620" i="1" s="1"/>
  <c r="J637" i="1"/>
  <c r="G22" i="2"/>
  <c r="C39" i="10"/>
  <c r="J614" i="1"/>
  <c r="L561" i="1"/>
  <c r="L426" i="1"/>
  <c r="G628" i="1" s="1"/>
  <c r="J628" i="1" s="1"/>
  <c r="K541" i="1"/>
  <c r="C55" i="2"/>
  <c r="C96" i="2" s="1"/>
  <c r="J613" i="1"/>
  <c r="G156" i="2"/>
  <c r="G73" i="2"/>
  <c r="J610" i="1"/>
  <c r="F73" i="2"/>
  <c r="F96" i="2" s="1"/>
  <c r="K540" i="1"/>
  <c r="L239" i="1"/>
  <c r="H650" i="1" s="1"/>
  <c r="H654" i="1" s="1"/>
  <c r="L354" i="1"/>
  <c r="D29" i="13"/>
  <c r="C29" i="13" s="1"/>
  <c r="F651" i="1"/>
  <c r="I651" i="1" s="1"/>
  <c r="D119" i="2"/>
  <c r="D120" i="2" s="1"/>
  <c r="D137" i="2" s="1"/>
  <c r="I539" i="1"/>
  <c r="L529" i="1"/>
  <c r="C103" i="2"/>
  <c r="F44" i="1"/>
  <c r="H607" i="1" s="1"/>
  <c r="J607" i="1" s="1"/>
  <c r="J540" i="1"/>
  <c r="J542" i="1" s="1"/>
  <c r="G48" i="2"/>
  <c r="G55" i="2" s="1"/>
  <c r="G96" i="2" s="1"/>
  <c r="C130" i="2"/>
  <c r="C13" i="10"/>
  <c r="D17" i="13"/>
  <c r="C17" i="13" s="1"/>
  <c r="G282" i="1"/>
  <c r="G330" i="1" s="1"/>
  <c r="G344" i="1" s="1"/>
  <c r="H203" i="1"/>
  <c r="H249" i="1" s="1"/>
  <c r="H263" i="1" s="1"/>
  <c r="C101" i="2"/>
  <c r="C9" i="12"/>
  <c r="A13" i="12" s="1"/>
  <c r="L233" i="1"/>
  <c r="C18" i="10" s="1"/>
  <c r="F6" i="13"/>
  <c r="D6" i="13" s="1"/>
  <c r="C6" i="13" s="1"/>
  <c r="L213" i="1"/>
  <c r="D7" i="13" s="1"/>
  <c r="C7" i="13" s="1"/>
  <c r="F524" i="1"/>
  <c r="F535" i="1" s="1"/>
  <c r="B151" i="2"/>
  <c r="G151" i="2" s="1"/>
  <c r="E115" i="2"/>
  <c r="F77" i="2"/>
  <c r="F83" i="2" s="1"/>
  <c r="J24" i="1"/>
  <c r="G23" i="2" s="1"/>
  <c r="K493" i="1"/>
  <c r="C24" i="10"/>
  <c r="L196" i="1"/>
  <c r="F490" i="1"/>
  <c r="L287" i="1"/>
  <c r="C10" i="10" s="1"/>
  <c r="G8" i="13"/>
  <c r="H354" i="1"/>
  <c r="H33" i="13"/>
  <c r="L320" i="1"/>
  <c r="F22" i="13"/>
  <c r="C22" i="13" s="1"/>
  <c r="C16" i="10"/>
  <c r="F104" i="1"/>
  <c r="F185" i="1" s="1"/>
  <c r="G617" i="1" s="1"/>
  <c r="J617" i="1" s="1"/>
  <c r="H529" i="1"/>
  <c r="J221" i="1"/>
  <c r="I594" i="1" s="1"/>
  <c r="I595" i="1" s="1"/>
  <c r="C23" i="10"/>
  <c r="H527" i="1"/>
  <c r="L527" i="1" s="1"/>
  <c r="I540" i="1" s="1"/>
  <c r="C35" i="10"/>
  <c r="K330" i="1"/>
  <c r="K344" i="1" s="1"/>
  <c r="H516" i="1"/>
  <c r="C135" i="2"/>
  <c r="C136" i="2" l="1"/>
  <c r="C17" i="10"/>
  <c r="C112" i="2"/>
  <c r="E8" i="13"/>
  <c r="C107" i="2"/>
  <c r="G32" i="2"/>
  <c r="K594" i="1"/>
  <c r="K595" i="1" s="1"/>
  <c r="G638" i="1" s="1"/>
  <c r="H595" i="1"/>
  <c r="F653" i="1"/>
  <c r="L221" i="1"/>
  <c r="G616" i="1"/>
  <c r="G43" i="2"/>
  <c r="C5" i="13"/>
  <c r="F33" i="13"/>
  <c r="H662" i="1"/>
  <c r="C6" i="10" s="1"/>
  <c r="H657" i="1"/>
  <c r="C133" i="2"/>
  <c r="C27" i="10"/>
  <c r="G625" i="1"/>
  <c r="J625" i="1" s="1"/>
  <c r="C111" i="2"/>
  <c r="C120" i="2" s="1"/>
  <c r="L203" i="1"/>
  <c r="H636" i="1"/>
  <c r="J636" i="1" s="1"/>
  <c r="G627" i="1"/>
  <c r="J627" i="1" s="1"/>
  <c r="C36" i="10"/>
  <c r="L301" i="1"/>
  <c r="E101" i="2"/>
  <c r="E107" i="2" s="1"/>
  <c r="E137" i="2" s="1"/>
  <c r="D12" i="13"/>
  <c r="C12" i="13" s="1"/>
  <c r="C113" i="2"/>
  <c r="L516" i="1"/>
  <c r="H519" i="1"/>
  <c r="H535" i="1" s="1"/>
  <c r="G653" i="1"/>
  <c r="K490" i="1"/>
  <c r="B153" i="2"/>
  <c r="G153" i="2" s="1"/>
  <c r="I542" i="1"/>
  <c r="J33" i="1"/>
  <c r="J44" i="1" s="1"/>
  <c r="H611" i="1" s="1"/>
  <c r="J611" i="1" s="1"/>
  <c r="J249" i="1"/>
  <c r="E33" i="13" l="1"/>
  <c r="D35" i="13" s="1"/>
  <c r="C8" i="13"/>
  <c r="F650" i="1"/>
  <c r="L249" i="1"/>
  <c r="L263" i="1" s="1"/>
  <c r="G622" i="1" s="1"/>
  <c r="J622" i="1" s="1"/>
  <c r="J638" i="1"/>
  <c r="G539" i="1"/>
  <c r="L519" i="1"/>
  <c r="L535" i="1" s="1"/>
  <c r="C137" i="2"/>
  <c r="D17" i="10"/>
  <c r="D27" i="10"/>
  <c r="L330" i="1"/>
  <c r="L344" i="1" s="1"/>
  <c r="G623" i="1" s="1"/>
  <c r="J623" i="1" s="1"/>
  <c r="D31" i="13"/>
  <c r="G650" i="1"/>
  <c r="G654" i="1" s="1"/>
  <c r="C28" i="10"/>
  <c r="H638" i="1"/>
  <c r="J263" i="1"/>
  <c r="J616" i="1"/>
  <c r="C41" i="10"/>
  <c r="I653" i="1"/>
  <c r="C31" i="13" l="1"/>
  <c r="D33" i="13"/>
  <c r="D36" i="13" s="1"/>
  <c r="D22" i="10"/>
  <c r="C30" i="10"/>
  <c r="D12" i="10"/>
  <c r="D25" i="10"/>
  <c r="D26" i="10"/>
  <c r="D19" i="10"/>
  <c r="D20" i="10"/>
  <c r="D10" i="10"/>
  <c r="D15" i="10"/>
  <c r="D18" i="10"/>
  <c r="D13" i="10"/>
  <c r="D24" i="10"/>
  <c r="D11" i="10"/>
  <c r="D16" i="10"/>
  <c r="D23" i="10"/>
  <c r="D21" i="10"/>
  <c r="F654" i="1"/>
  <c r="I650" i="1"/>
  <c r="I654" i="1" s="1"/>
  <c r="H646" i="1"/>
  <c r="G542" i="1"/>
  <c r="K539" i="1"/>
  <c r="K542" i="1" s="1"/>
  <c r="G657" i="1"/>
  <c r="G662" i="1"/>
  <c r="C5" i="10" s="1"/>
  <c r="D40" i="10"/>
  <c r="D37" i="10"/>
  <c r="D38" i="10"/>
  <c r="D39" i="10"/>
  <c r="D35" i="10"/>
  <c r="D36" i="10"/>
  <c r="D41" i="10" l="1"/>
  <c r="D28" i="10"/>
  <c r="I662" i="1"/>
  <c r="C7" i="10" s="1"/>
  <c r="I657" i="1"/>
  <c r="F657" i="1"/>
  <c r="F662" i="1"/>
  <c r="C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B0D59CAA-77CF-4252-8709-362575A220F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DA75406-58D7-4E18-B59D-F16336A7BD0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BDB064E-9904-4CE9-AFE8-C84F8086E93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36ED25C9-5BA8-4C5D-8748-5241ED6A3B6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59B8EAA-CADA-4BA1-A1AA-63C70A62272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3FE5859-8207-43BF-8C0E-22956DB2739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200DDBE-1D4E-4715-A751-7DF91EA93F8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99A7A7F-7963-46D1-99FB-6D4FFBDBE38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71C5DA9-7BA9-4F69-977F-5A85D0109D7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3C5D9E8-914E-47DF-A16D-200ED039E59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350B7B0-655B-4DF9-A03E-3796A4FE9FA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F816D02-78D7-45E8-B513-015BF206C88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<sst xmlns="http://schemas.openxmlformats.org/spreadsheetml/2006/main" count="3860" uniqueCount="897">
  <si>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</si>
  <si>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</si>
  <si>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</si>
  <si>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</si>
  <si>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</si>
  <si>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</si>
  <si>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</si>
  <si>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</si>
  <si>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</si>
  <si>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</si>
  <si>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</si>
  <si>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</si>
  <si>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</si>
  <si>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</si>
  <si>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</si>
  <si>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</si>
  <si>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</si>
  <si>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</si>
  <si>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</si>
  <si>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</si>
  <si>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</si>
  <si>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</si>
  <si>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</si>
  <si>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</si>
  <si>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</si>
  <si>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</si>
  <si>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</si>
  <si>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</si>
  <si>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</si>
  <si>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</si>
  <si>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</si>
  <si>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</si>
  <si>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</si>
  <si>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</si>
  <si>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</si>
  <si>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</si>
  <si>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</si>
  <si>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</si>
  <si>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</si>
  <si>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</si>
  <si>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</si>
  <si>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</si>
  <si>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</si>
  <si>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</si>
  <si>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</si>
  <si>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</si>
  <si>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</si>
  <si>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</si>
  <si>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</si>
  <si>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</si>
  <si>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</si>
  <si>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</si>
  <si>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</si>
  <si>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</si>
  <si>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</si>
  <si>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</si>
  <si>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</si>
  <si>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</si>
  <si>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</si>
  <si>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</si>
  <si>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</si>
  <si>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</si>
  <si>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</si>
  <si>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</si>
  <si>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</si>
  <si>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</si>
  <si>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</si>
  <si>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</si>
  <si>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</si>
  <si>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</si>
  <si>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</si>
  <si>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</si>
  <si>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</si>
  <si>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</si>
  <si>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</si>
  <si>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</si>
  <si>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</si>
  <si>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</si>
  <si>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</si>
  <si>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</si>
  <si>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</si>
  <si>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</si>
  <si>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</si>
  <si>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</si>
  <si>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</si>
  <si>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</si>
  <si>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</si>
  <si>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</si>
  <si>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</si>
  <si>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</si>
  <si>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</si>
  <si>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</si>
  <si>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</si>
  <si>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</si>
  <si>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</si>
  <si>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</si>
  <si>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</si>
  <si>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</si>
  <si>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</si>
  <si>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</si>
  <si>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</si>
  <si>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</si>
  <si>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</si>
  <si>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</si>
  <si>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</si>
  <si>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</si>
  <si>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</si>
  <si>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</si>
  <si>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</si>
  <si>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</si>
  <si>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</si>
  <si>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</si>
  <si>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</si>
  <si>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</si>
  <si>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</si>
  <si>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</si>
  <si>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</si>
  <si>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</si>
  <si>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</si>
  <si>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</si>
  <si>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</si>
  <si>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</si>
  <si>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</si>
  <si>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</si>
  <si>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</si>
  <si>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</si>
  <si>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</si>
  <si>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</si>
  <si>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</si>
  <si>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</si>
  <si>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</si>
  <si>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</si>
  <si>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</si>
  <si>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</si>
  <si>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</si>
  <si>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</si>
  <si>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</si>
  <si>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</si>
  <si>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</si>
  <si>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</si>
  <si>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</si>
  <si>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</si>
  <si>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</si>
  <si>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</si>
  <si>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</si>
  <si>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</si>
  <si>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</si>
  <si>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</si>
  <si>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</si>
  <si>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</si>
  <si>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</si>
  <si>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</si>
  <si>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</si>
  <si>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</si>
  <si>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</si>
  <si>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</si>
  <si>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</si>
  <si>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</si>
  <si>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</si>
  <si>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</si>
  <si>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</si>
  <si>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</si>
  <si>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</si>
  <si>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</si>
  <si>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</si>
  <si>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</si>
  <si>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</si>
  <si>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</si>
  <si>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</si>
  <si>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</si>
  <si>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</si>
  <si>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</si>
  <si>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</si>
  <si>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</si>
  <si>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</si>
  <si>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</si>
  <si>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</si>
  <si>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</si>
  <si>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</si>
  <si>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</si>
  <si>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</si>
  <si>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</si>
  <si>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</si>
  <si>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</si>
  <si>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</si>
  <si>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</si>
  <si>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</si>
  <si>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</si>
  <si>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</si>
  <si>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</si>
  <si>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</si>
  <si>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</si>
  <si>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</si>
  <si>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</si>
  <si>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</si>
  <si>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</si>
  <si>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</si>
  <si>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</si>
  <si>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</si>
  <si>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</si>
  <si>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</si>
  <si>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</si>
  <si>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</si>
  <si>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</si>
  <si>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</si>
  <si>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</si>
  <si>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</si>
  <si>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</si>
  <si>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</si>
  <si>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</si>
  <si>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</si>
  <si>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</si>
  <si>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</si>
  <si>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</si>
  <si>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</si>
  <si>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</si>
  <si>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</si>
  <si>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</si>
  <si>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</si>
  <si>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</si>
  <si>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</si>
  <si>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</si>
  <si>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</si>
  <si>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</si>
  <si>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</si>
  <si>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</si>
  <si>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</si>
  <si>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</si>
  <si>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</si>
  <si>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</si>
  <si>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</si>
  <si>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</si>
  <si>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</si>
  <si>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</si>
  <si>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</si>
  <si>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</si>
  <si>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</si>
  <si>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</si>
  <si>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</si>
  <si>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</si>
  <si>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</si>
  <si>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</si>
  <si>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</si>
  <si>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</si>
  <si>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</si>
  <si>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</si>
  <si>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</si>
  <si>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</si>
  <si>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</si>
  <si>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</si>
  <si>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</si>
  <si>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</si>
  <si>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</si>
  <si>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</si>
  <si>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</si>
  <si>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</si>
  <si>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</si>
  <si>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</si>
  <si>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</si>
  <si>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</si>
  <si>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</si>
  <si>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</si>
  <si>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</si>
  <si>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</si>
  <si>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</si>
  <si>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</si>
  <si>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</si>
  <si>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</si>
  <si>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</si>
  <si>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</si>
  <si>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</si>
  <si>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</si>
  <si>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</si>
  <si>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</si>
  <si>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</si>
  <si>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</si>
  <si>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</si>
  <si>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</si>
  <si>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</si>
  <si>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</si>
  <si>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</si>
  <si>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</si>
  <si>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</si>
  <si>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</si>
  <si>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</si>
  <si>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</si>
  <si>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</si>
  <si>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</si>
  <si>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</si>
  <si>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</si>
  <si>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</si>
  <si>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</si>
  <si>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</si>
  <si>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</si>
  <si>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</si>
  <si>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</si>
  <si>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</si>
  <si>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</si>
  <si>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</si>
  <si>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</si>
  <si>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</si>
  <si>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</si>
  <si>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</si>
  <si>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</si>
  <si>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</si>
  <si>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</si>
  <si>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</si>
  <si>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</si>
  <si>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</si>
  <si>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</si>
  <si>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</si>
  <si>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</si>
  <si>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</si>
  <si>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</si>
  <si>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</si>
  <si>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</si>
  <si>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</si>
  <si>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</si>
  <si>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</si>
  <si>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</si>
  <si>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</si>
  <si>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</si>
  <si>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</si>
  <si>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</si>
  <si>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</si>
  <si>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</si>
  <si>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</si>
  <si>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</si>
  <si>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</si>
  <si>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</si>
  <si>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</si>
  <si>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</si>
  <si>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</si>
  <si>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</si>
  <si>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</si>
  <si>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</si>
  <si>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</si>
  <si>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</si>
  <si>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</si>
  <si>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</si>
  <si>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</si>
  <si>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</si>
  <si>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</si>
  <si>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</si>
  <si>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</si>
  <si>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</si>
  <si>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</si>
  <si>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</si>
  <si>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</si>
  <si>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</si>
  <si>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</si>
  <si>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</si>
  <si>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</si>
  <si>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</si>
  <si>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</si>
  <si>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</si>
  <si>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</si>
  <si>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</si>
  <si>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</si>
  <si>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</si>
  <si>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</si>
  <si>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</si>
  <si>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</si>
  <si>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</si>
  <si>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</si>
  <si>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</si>
  <si>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</si>
  <si>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</si>
  <si>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</si>
  <si>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</si>
  <si>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</si>
  <si>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</si>
  <si>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</si>
  <si>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</si>
  <si>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</si>
  <si>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</si>
  <si>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</si>
  <si>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</si>
  <si>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</si>
  <si>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</si>
  <si>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</si>
  <si>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</si>
  <si>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</si>
  <si>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</si>
  <si>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</si>
  <si>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</si>
  <si>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</si>
  <si>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</si>
  <si>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</si>
  <si>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</si>
  <si>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</si>
  <si>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</si>
  <si>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</si>
  <si>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</si>
  <si>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</si>
  <si>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</si>
  <si>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</si>
  <si>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</si>
  <si>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</si>
  <si>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</si>
  <si>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</si>
  <si>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</si>
  <si>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</si>
  <si>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</si>
  <si>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</si>
  <si>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</si>
  <si>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</si>
  <si>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</si>
  <si>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</si>
  <si>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</si>
  <si>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</si>
  <si>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</si>
  <si>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</si>
  <si>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</si>
  <si>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</si>
  <si>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</si>
  <si>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</si>
  <si>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</si>
  <si>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</si>
  <si>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</si>
  <si>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</si>
  <si>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</si>
  <si>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</si>
  <si>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</si>
  <si>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</si>
  <si>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</si>
  <si>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</si>
  <si>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</si>
  <si>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</si>
  <si>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</si>
  <si>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</si>
  <si>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</si>
  <si>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</si>
  <si>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</si>
  <si>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</si>
  <si>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</si>
  <si>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</si>
  <si>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</si>
  <si>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</si>
  <si>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</si>
  <si>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</si>
  <si>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</si>
  <si>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</si>
  <si>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</si>
  <si>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</si>
  <si>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</si>
  <si>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</si>
  <si>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</si>
  <si>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</si>
  <si>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</si>
  <si>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</si>
  <si>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</si>
  <si>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</si>
  <si>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</si>
  <si>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</si>
  <si>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</si>
  <si>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</si>
  <si>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</si>
  <si>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</si>
  <si>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</si>
  <si>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</si>
  <si>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</si>
  <si>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</si>
  <si>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</si>
  <si>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</si>
  <si>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</si>
  <si>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</si>
  <si>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</si>
  <si>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</si>
  <si>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</si>
  <si>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</si>
  <si>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</si>
  <si>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</si>
  <si>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</si>
  <si>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</si>
  <si>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</si>
  <si>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</si>
  <si>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</si>
  <si>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</si>
  <si>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</si>
  <si>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</si>
  <si>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</si>
  <si>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</si>
  <si>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</si>
  <si>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</si>
  <si>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</si>
  <si>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</si>
  <si>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</si>
  <si>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</si>
  <si>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</si>
  <si>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</si>
  <si>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</si>
  <si>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</si>
  <si>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</si>
  <si>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</si>
  <si>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</si>
  <si>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</si>
  <si>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</si>
  <si>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</si>
  <si>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</si>
  <si>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</si>
  <si>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</si>
  <si>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</si>
  <si>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</si>
  <si>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</si>
  <si>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</si>
  <si>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</si>
  <si>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</si>
  <si>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</si>
  <si>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</si>
  <si>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</si>
  <si>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</si>
  <si>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</si>
  <si>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</si>
  <si>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</si>
  <si>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</si>
  <si>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</si>
  <si>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</si>
  <si>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</si>
  <si>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</si>
  <si>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</si>
  <si>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</si>
  <si>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</si>
  <si>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</si>
  <si>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</si>
  <si>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</si>
  <si>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</si>
  <si>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</si>
  <si>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</si>
  <si>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</si>
  <si>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</si>
  <si>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</si>
  <si>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</si>
  <si>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</si>
  <si>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</si>
  <si>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</si>
  <si>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</si>
  <si>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</si>
  <si>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</si>
  <si>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</si>
  <si>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</si>
  <si>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</si>
  <si>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</si>
  <si>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</si>
  <si>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</si>
  <si>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</si>
  <si>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</si>
  <si>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</si>
  <si>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</si>
  <si>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</si>
  <si>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</si>
  <si>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</si>
  <si>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</si>
  <si>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</si>
  <si>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</si>
  <si>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</si>
  <si>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</si>
  <si>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</si>
  <si>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</si>
  <si>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</si>
  <si>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</si>
  <si>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</si>
  <si>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</si>
  <si>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</si>
  <si>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</si>
  <si>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</si>
  <si>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</si>
  <si>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</si>
  <si>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</si>
  <si>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</si>
  <si>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</si>
  <si>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</si>
  <si>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</si>
  <si>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</si>
  <si>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</si>
  <si>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</si>
  <si>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</si>
  <si>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</si>
  <si>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</si>
  <si>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</si>
  <si>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</si>
  <si>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</si>
  <si>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</si>
  <si>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</si>
  <si>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</si>
  <si>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</si>
  <si>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</si>
  <si>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</si>
  <si>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</si>
  <si>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</si>
  <si>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</si>
  <si>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</si>
  <si>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</si>
  <si>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</si>
  <si>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</si>
  <si>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</si>
  <si>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</si>
  <si>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</si>
  <si>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</si>
  <si>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</si>
  <si>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</si>
  <si>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</si>
  <si>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</si>
  <si>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</si>
  <si>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</si>
  <si>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</si>
  <si>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</si>
  <si>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</si>
  <si>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</si>
  <si>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</si>
  <si>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</si>
  <si>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</si>
  <si>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</si>
  <si>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</si>
  <si>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</si>
  <si>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</si>
  <si>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</si>
  <si>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</si>
  <si>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</si>
  <si>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</si>
  <si>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</si>
  <si>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</si>
  <si>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</si>
  <si>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</si>
  <si>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</si>
  <si>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</si>
  <si>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</si>
  <si>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</si>
  <si>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</si>
  <si>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</si>
  <si>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</si>
  <si>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</si>
  <si>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</si>
  <si>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</si>
  <si>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</si>
  <si>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</si>
  <si>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</si>
  <si>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</si>
  <si>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</si>
  <si>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</si>
  <si>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</si>
  <si>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</si>
  <si>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</si>
  <si>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</si>
  <si>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</si>
  <si>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</si>
  <si>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</si>
  <si>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</si>
  <si>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</si>
  <si>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</si>
  <si>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</si>
  <si>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</si>
  <si>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</si>
  <si>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</si>
  <si>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</si>
  <si>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</si>
  <si>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</si>
  <si>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</si>
  <si>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</si>
  <si>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</si>
  <si>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</si>
  <si>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</si>
  <si>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</si>
  <si>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</si>
  <si>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</si>
  <si>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</si>
  <si>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</si>
  <si>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</si>
  <si>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</si>
  <si>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</si>
  <si>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</si>
  <si>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</si>
  <si>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</si>
  <si>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</si>
  <si>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</si>
  <si>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</si>
  <si>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</si>
  <si>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</si>
  <si>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</si>
  <si>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</si>
  <si>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</si>
  <si>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</si>
  <si>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</si>
  <si>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</si>
  <si>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</si>
  <si>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</si>
  <si>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</si>
  <si>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</si>
  <si>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</si>
  <si>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</si>
  <si>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</si>
  <si>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</si>
  <si>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</si>
  <si>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</si>
  <si>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</si>
  <si>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</si>
  <si>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</si>
  <si>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</si>
  <si>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</si>
  <si>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</si>
  <si>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</si>
  <si>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</si>
  <si>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</si>
  <si>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</si>
  <si>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</si>
  <si>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</si>
  <si>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</si>
  <si>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</si>
  <si>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</si>
  <si>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</si>
  <si>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</si>
  <si>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</si>
  <si>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</si>
  <si>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</si>
  <si>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</si>
  <si>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</si>
  <si>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</si>
  <si>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</si>
  <si>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</si>
  <si>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</si>
  <si>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</si>
  <si>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</si>
  <si>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</si>
  <si>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</si>
  <si>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</si>
  <si>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</si>
  <si>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</si>
  <si>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</si>
  <si>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</si>
  <si>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</si>
  <si>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</si>
  <si>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</si>
  <si>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</si>
  <si>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</si>
  <si>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</si>
  <si>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</si>
  <si>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</si>
  <si>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</si>
  <si>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</si>
  <si>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</si>
  <si>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</si>
  <si>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</si>
  <si>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</si>
  <si>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</si>
  <si>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</si>
  <si>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</si>
  <si>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</si>
  <si>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</si>
  <si>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</si>
  <si>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</si>
  <si>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</si>
  <si>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</si>
  <si>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</si>
  <si>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</si>
  <si>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</si>
  <si>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</si>
  <si>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</si>
  <si>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</si>
  <si>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</si>
  <si>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</si>
  <si>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</si>
  <si>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</si>
  <si>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</si>
  <si>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</si>
  <si>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</si>
  <si>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</si>
  <si>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</si>
  <si>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</si>
  <si>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</si>
  <si>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</si>
  <si>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</si>
  <si>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</si>
  <si>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</si>
  <si>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</si>
  <si>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</si>
  <si>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</si>
  <si>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</si>
  <si>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</si>
  <si>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</si>
  <si>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</si>
  <si>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</si>
  <si>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</si>
  <si>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</si>
  <si>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</si>
  <si>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</si>
  <si>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</si>
  <si>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</si>
  <si>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</si>
  <si>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</si>
  <si>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</si>
  <si>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</si>
  <si>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</si>
  <si>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</si>
  <si>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</si>
  <si>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</si>
  <si>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</si>
  <si>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</si>
  <si>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</si>
  <si>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</si>
  <si>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</si>
  <si>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</si>
  <si>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</si>
  <si>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</si>
  <si>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</si>
  <si>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</si>
  <si>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</si>
  <si>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</si>
  <si>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</si>
  <si>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</si>
  <si>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</si>
  <si>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</si>
  <si>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</si>
  <si>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</si>
  <si>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</si>
  <si>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</si>
  <si>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</si>
  <si>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</si>
  <si>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</si>
  <si>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</si>
  <si>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</si>
  <si>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</si>
  <si>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</si>
  <si>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</si>
  <si>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</si>
  <si>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</si>
  <si>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</si>
  <si>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</si>
  <si>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</si>
  <si>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</si>
  <si>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</si>
  <si>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</si>
  <si>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</si>
  <si>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</si>
  <si>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</si>
  <si>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</si>
  <si>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</si>
  <si>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</si>
  <si>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</si>
  <si>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</si>
  <si>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</si>
  <si>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</si>
  <si>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</si>
  <si>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</si>
  <si>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</si>
  <si>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</si>
  <si>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</si>
  <si>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</si>
  <si>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</si>
  <si>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</si>
  <si>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</si>
  <si>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</si>
  <si>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</si>
  <si>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</si>
  <si>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</si>
  <si>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</si>
  <si>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</si>
  <si>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</si>
  <si>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</si>
  <si>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</si>
  <si>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</si>
  <si>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</si>
  <si>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</si>
  <si>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</si>
  <si>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</si>
  <si>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</si>
  <si>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</si>
  <si>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</si>
  <si>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</si>
  <si>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</si>
  <si>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</si>
  <si>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</si>
  <si>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</si>
  <si>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</si>
  <si>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</si>
  <si>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</si>
  <si>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</si>
  <si>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</si>
  <si>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</si>
  <si>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</si>
  <si>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</si>
  <si>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</si>
  <si>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</si>
  <si>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</si>
  <si>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</si>
  <si>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</si>
  <si>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</si>
  <si>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</si>
  <si>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</si>
  <si>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</si>
  <si>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</si>
  <si>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</si>
  <si>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</si>
  <si>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</si>
  <si>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</si>
  <si>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04/03</t>
  </si>
  <si>
    <t>01/18</t>
  </si>
  <si>
    <t>Moultonborough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</si>
</sst>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1391-3085-4BC7-A385-08F1B6CDD734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369</v>
      </c>
      <c r="C2" s="21">
        <v>369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1316975.92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1428419.7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5326.27</v>
      </c>
      <c r="H13" s="18">
        <v>136081.17000000001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12730.94</v>
      </c>
      <c r="G14" s="18">
        <v>9348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1329706.8599999999</v>
      </c>
      <c r="G19" s="41">
        <f>SUM(G9:G18)</f>
        <v>14674.27</v>
      </c>
      <c r="H19" s="41">
        <f>SUM(H9:H18)</f>
        <v>136081.17000000001</v>
      </c>
      <c r="I19" s="41">
        <f>SUM(I9:I18)</f>
        <v>0</v>
      </c>
      <c r="J19" s="41">
        <f>SUM(J9:J18)</f>
        <v>1428419.7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336919.42</v>
      </c>
      <c r="G23" s="18">
        <v>11456.62</v>
      </c>
      <c r="H23" s="18">
        <v>117572.09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1739.07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26640</v>
      </c>
      <c r="G31" s="18"/>
      <c r="H31" s="18">
        <v>18509.080000000002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365298.49</v>
      </c>
      <c r="G33" s="41">
        <f>SUM(G23:G32)</f>
        <v>11456.62</v>
      </c>
      <c r="H33" s="41">
        <f>SUM(H23:H32)</f>
        <v>136081.16999999998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525947.9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3217.65</v>
      </c>
      <c r="H41" s="18"/>
      <c r="I41" s="18"/>
      <c r="J41" s="13">
        <f>SUM(I449)</f>
        <v>1428419.7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388461-0.53</f>
        <v>388460.47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964408.37</v>
      </c>
      <c r="G43" s="41">
        <f>SUM(G35:G42)</f>
        <v>3217.65</v>
      </c>
      <c r="H43" s="41">
        <f>SUM(H35:H42)</f>
        <v>0</v>
      </c>
      <c r="I43" s="41">
        <f>SUM(I35:I42)</f>
        <v>0</v>
      </c>
      <c r="J43" s="41">
        <f>SUM(J35:J42)</f>
        <v>1428419.7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1329706.8599999999</v>
      </c>
      <c r="G44" s="41">
        <f>G43+G33</f>
        <v>14674.27</v>
      </c>
      <c r="H44" s="41">
        <f>H43+H33</f>
        <v>136081.16999999998</v>
      </c>
      <c r="I44" s="41">
        <f>I43+I33</f>
        <v>0</v>
      </c>
      <c r="J44" s="41">
        <f>J43+J33</f>
        <v>1428419.7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12451736-6496384</f>
        <v>5955352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5955352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20675.36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22885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68343.399999999994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111903.76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956.03</v>
      </c>
      <c r="G88" s="18"/>
      <c r="H88" s="18"/>
      <c r="I88" s="18"/>
      <c r="J88" s="18">
        <f>5405+2385+620+110+2584.65</f>
        <v>11104.65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191179.92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f>81.59+2272.57</f>
        <v>2354.1600000000003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>
        <f>2908+13869.43</f>
        <v>16777.43</v>
      </c>
      <c r="I102" s="18"/>
      <c r="J102" s="18">
        <v>1508741.15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3310.1900000000005</v>
      </c>
      <c r="G103" s="41">
        <f>SUM(G88:G102)</f>
        <v>191179.92</v>
      </c>
      <c r="H103" s="41">
        <f>SUM(H88:H102)</f>
        <v>16777.43</v>
      </c>
      <c r="I103" s="41">
        <f>SUM(I88:I102)</f>
        <v>0</v>
      </c>
      <c r="J103" s="41">
        <f>SUM(J88:J102)</f>
        <v>1519845.7999999998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6070565.9500000002</v>
      </c>
      <c r="G104" s="41">
        <f>G52+G103</f>
        <v>191179.92</v>
      </c>
      <c r="H104" s="41">
        <f>H52+H71+H86+H103</f>
        <v>16777.43</v>
      </c>
      <c r="I104" s="41">
        <f>I52+I103</f>
        <v>0</v>
      </c>
      <c r="J104" s="41">
        <f>J52+J103</f>
        <v>1519845.7999999998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6496384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6496384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234308.7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52003.1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3003.74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3028.26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5700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295015.53999999998</v>
      </c>
      <c r="G128" s="41">
        <f>SUM(G115:G127)</f>
        <v>3028.26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6791399.54</v>
      </c>
      <c r="G132" s="41">
        <f>G113+SUM(G128:G129)</f>
        <v>3028.26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>
        <v>140243.04</v>
      </c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140243.04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6616.57+83570.21+7330.81</f>
        <v>97517.59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64893.77</f>
        <v>64893.77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60993.7+21246.78+9378.85</f>
        <v>91619.33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19587.13+2490.63+135748.4</f>
        <v>157826.16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51555.89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51555.89</v>
      </c>
      <c r="G154" s="41">
        <f>SUM(G142:G153)</f>
        <v>91619.33</v>
      </c>
      <c r="H154" s="41">
        <f>SUM(H142:H153)</f>
        <v>320237.52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51555.89</v>
      </c>
      <c r="G161" s="41">
        <f>G139+G154+SUM(G155:G160)</f>
        <v>91619.33</v>
      </c>
      <c r="H161" s="41">
        <f>H139+H154+SUM(H155:H160)</f>
        <v>460480.56000000006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52000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52000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52000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12913521.380000001</v>
      </c>
      <c r="G185" s="47">
        <f>G104+G132+G161+G184</f>
        <v>285827.51</v>
      </c>
      <c r="H185" s="47">
        <f>H104+H132+H161+H184</f>
        <v>477257.99000000005</v>
      </c>
      <c r="I185" s="47">
        <f>I104+I132+I161+I184</f>
        <v>0</v>
      </c>
      <c r="J185" s="47">
        <f>J104+J132+J184</f>
        <v>1571845.7999999998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1719912.13</v>
      </c>
      <c r="G189" s="18">
        <v>636231.74</v>
      </c>
      <c r="H189" s="18">
        <v>11035.25</v>
      </c>
      <c r="I189" s="18">
        <v>72798.09</v>
      </c>
      <c r="J189" s="18">
        <v>3689.39</v>
      </c>
      <c r="K189" s="18"/>
      <c r="L189" s="19">
        <f>SUM(F189:K189)</f>
        <v>2443666.6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679282.42</v>
      </c>
      <c r="G190" s="18">
        <v>213532.56</v>
      </c>
      <c r="H190" s="18">
        <f>100381.59-3352.55</f>
        <v>97029.04</v>
      </c>
      <c r="I190" s="18">
        <v>9404.99</v>
      </c>
      <c r="J190" s="18">
        <v>5231.4399999999996</v>
      </c>
      <c r="K190" s="18">
        <v>1450.44</v>
      </c>
      <c r="L190" s="19">
        <f>SUM(F190:K190)</f>
        <v>1005930.8899999999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7192.36</v>
      </c>
      <c r="G191" s="18">
        <v>550.26</v>
      </c>
      <c r="H191" s="18"/>
      <c r="I191" s="18">
        <v>674.03</v>
      </c>
      <c r="J191" s="18"/>
      <c r="K191" s="18"/>
      <c r="L191" s="19">
        <f>SUM(F191:K191)</f>
        <v>8416.65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26169.1</v>
      </c>
      <c r="G192" s="18">
        <v>3916.1</v>
      </c>
      <c r="H192" s="18">
        <v>2549.4</v>
      </c>
      <c r="I192" s="18">
        <v>1066.28</v>
      </c>
      <c r="J192" s="18"/>
      <c r="K192" s="18">
        <f>168</f>
        <v>168</v>
      </c>
      <c r="L192" s="19">
        <f>SUM(F192:K192)</f>
        <v>33868.879999999997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131280.43</v>
      </c>
      <c r="G194" s="18">
        <v>35191.4</v>
      </c>
      <c r="H194" s="18"/>
      <c r="I194" s="18">
        <v>3727.42</v>
      </c>
      <c r="J194" s="18">
        <v>1119</v>
      </c>
      <c r="K194" s="18">
        <f>144</f>
        <v>144</v>
      </c>
      <c r="L194" s="19">
        <f t="shared" ref="L194:L200" si="0">SUM(F194:K194)</f>
        <v>171462.25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118407.76+41080</f>
        <v>159487.76</v>
      </c>
      <c r="G195" s="18">
        <f>80184.76+13489+3026.14+3762.98+136.92</f>
        <v>100599.79999999999</v>
      </c>
      <c r="H195" s="18">
        <v>36764.589999999997</v>
      </c>
      <c r="I195" s="18">
        <f>30721.87</f>
        <v>30721.87</v>
      </c>
      <c r="J195" s="18">
        <f>1022.27+1511.75+34845.06</f>
        <v>37379.079999999994</v>
      </c>
      <c r="K195" s="18"/>
      <c r="L195" s="19">
        <f t="shared" si="0"/>
        <v>364953.10000000003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139822.96</v>
      </c>
      <c r="G196" s="18">
        <v>51195.26</v>
      </c>
      <c r="H196" s="18">
        <v>17726.39</v>
      </c>
      <c r="I196" s="18">
        <v>11203.07</v>
      </c>
      <c r="J196" s="18">
        <v>1313.3</v>
      </c>
      <c r="K196" s="18">
        <f>2185.27+2891+1302.2</f>
        <v>6378.47</v>
      </c>
      <c r="L196" s="19">
        <f t="shared" si="0"/>
        <v>227639.44999999998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213277.74</v>
      </c>
      <c r="G197" s="18">
        <v>77264.61</v>
      </c>
      <c r="H197" s="18">
        <v>9989.85</v>
      </c>
      <c r="I197" s="18">
        <v>1079.97</v>
      </c>
      <c r="J197" s="18">
        <f>361.6</f>
        <v>361.6</v>
      </c>
      <c r="K197" s="18"/>
      <c r="L197" s="19">
        <f t="shared" si="0"/>
        <v>301973.7699999999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178296.05</v>
      </c>
      <c r="G199" s="18">
        <v>67574.17</v>
      </c>
      <c r="H199" s="18">
        <v>187727.53</v>
      </c>
      <c r="I199" s="18">
        <v>121394.19</v>
      </c>
      <c r="J199" s="18"/>
      <c r="K199" s="18"/>
      <c r="L199" s="19">
        <f t="shared" si="0"/>
        <v>554991.93999999994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12439.06+138788+390.46+3352.55</f>
        <v>154970.06999999998</v>
      </c>
      <c r="I200" s="18"/>
      <c r="J200" s="18"/>
      <c r="K200" s="18"/>
      <c r="L200" s="19">
        <f t="shared" si="0"/>
        <v>154970.06999999998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3254720.95</v>
      </c>
      <c r="G203" s="41">
        <f t="shared" si="1"/>
        <v>1186055.9000000001</v>
      </c>
      <c r="H203" s="41">
        <f t="shared" si="1"/>
        <v>517792.12</v>
      </c>
      <c r="I203" s="41">
        <f t="shared" si="1"/>
        <v>252069.91</v>
      </c>
      <c r="J203" s="41">
        <f t="shared" si="1"/>
        <v>49093.81</v>
      </c>
      <c r="K203" s="41">
        <f t="shared" si="1"/>
        <v>8140.91</v>
      </c>
      <c r="L203" s="41">
        <f t="shared" si="1"/>
        <v>5267873.5999999996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571501.06999999995</v>
      </c>
      <c r="G207" s="18">
        <v>218929.08</v>
      </c>
      <c r="H207" s="18">
        <v>1825</v>
      </c>
      <c r="I207" s="18">
        <v>34063.360000000001</v>
      </c>
      <c r="J207" s="18">
        <v>4753.43</v>
      </c>
      <c r="K207" s="18"/>
      <c r="L207" s="19">
        <f>SUM(F207:K207)</f>
        <v>831071.94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214842.28</v>
      </c>
      <c r="G208" s="18">
        <v>72003.05</v>
      </c>
      <c r="H208" s="18">
        <f>7057.7-3400</f>
        <v>3657.7</v>
      </c>
      <c r="I208" s="18">
        <v>3811.08</v>
      </c>
      <c r="J208" s="18">
        <v>389.99</v>
      </c>
      <c r="K208" s="18"/>
      <c r="L208" s="19">
        <f>SUM(F208:K208)</f>
        <v>294704.10000000003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1906.96</v>
      </c>
      <c r="G209" s="18">
        <v>1849.87</v>
      </c>
      <c r="H209" s="18"/>
      <c r="I209" s="18"/>
      <c r="J209" s="18"/>
      <c r="K209" s="18"/>
      <c r="L209" s="19">
        <f>SUM(F209:K209)</f>
        <v>3756.83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42802.95</v>
      </c>
      <c r="G210" s="18">
        <v>5336.24</v>
      </c>
      <c r="H210" s="18">
        <v>4435</v>
      </c>
      <c r="I210" s="18">
        <v>18840.919999999998</v>
      </c>
      <c r="J210" s="18">
        <f>7265.8+1322.71</f>
        <v>8588.51</v>
      </c>
      <c r="K210" s="18">
        <f>440+2000</f>
        <v>2440</v>
      </c>
      <c r="L210" s="19">
        <f>SUM(F210:K210)</f>
        <v>82443.619999999981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92514.240000000005</v>
      </c>
      <c r="G212" s="18">
        <v>14444.28</v>
      </c>
      <c r="H212" s="18">
        <v>10</v>
      </c>
      <c r="I212" s="18">
        <v>1438.7</v>
      </c>
      <c r="J212" s="18">
        <f>1547</f>
        <v>1547</v>
      </c>
      <c r="K212" s="18"/>
      <c r="L212" s="19">
        <f t="shared" ref="L212:L218" si="2">SUM(F212:K212)</f>
        <v>109954.22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56146.12+44677.88</f>
        <v>100824</v>
      </c>
      <c r="G213" s="18">
        <f>31460.57+13489+3324.48+4116.51+141.93</f>
        <v>52532.490000000005</v>
      </c>
      <c r="H213" s="18">
        <v>7928.17</v>
      </c>
      <c r="I213" s="18">
        <f>13319.57</f>
        <v>13319.57</v>
      </c>
      <c r="J213" s="18">
        <f>3868+526.49+1187.74+15726.9</f>
        <v>21309.129999999997</v>
      </c>
      <c r="K213" s="18">
        <f>1287</f>
        <v>1287</v>
      </c>
      <c r="L213" s="19">
        <f t="shared" si="2"/>
        <v>197200.36000000002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67478.899999999994</v>
      </c>
      <c r="G214" s="18">
        <v>25466.67</v>
      </c>
      <c r="H214" s="18">
        <v>9159.02</v>
      </c>
      <c r="I214" s="18">
        <v>1598.4</v>
      </c>
      <c r="J214" s="18"/>
      <c r="K214" s="18">
        <f>720.09+957.49+433.39</f>
        <v>2110.9699999999998</v>
      </c>
      <c r="L214" s="19">
        <f t="shared" si="2"/>
        <v>105813.95999999999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58634.94</v>
      </c>
      <c r="G215" s="18">
        <v>22671.439999999999</v>
      </c>
      <c r="H215" s="18">
        <v>4736.8900000000003</v>
      </c>
      <c r="I215" s="18">
        <v>16.739999999999998</v>
      </c>
      <c r="J215" s="18">
        <f>29.99</f>
        <v>29.99</v>
      </c>
      <c r="K215" s="18"/>
      <c r="L215" s="19">
        <f t="shared" si="2"/>
        <v>86090.000000000015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81062.740000000005</v>
      </c>
      <c r="G217" s="18">
        <v>12380.78</v>
      </c>
      <c r="H217" s="18">
        <v>101822.53</v>
      </c>
      <c r="I217" s="18">
        <v>54430.5</v>
      </c>
      <c r="J217" s="18">
        <v>562.86</v>
      </c>
      <c r="K217" s="18"/>
      <c r="L217" s="19">
        <f t="shared" si="2"/>
        <v>250259.40999999997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16720+2293.51+350.85+47188+99.31+3400</f>
        <v>70051.67</v>
      </c>
      <c r="I218" s="18"/>
      <c r="J218" s="18"/>
      <c r="K218" s="18"/>
      <c r="L218" s="19">
        <f t="shared" si="2"/>
        <v>70051.67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1231568.0799999998</v>
      </c>
      <c r="G221" s="41">
        <f>SUM(G207:G220)</f>
        <v>425613.9</v>
      </c>
      <c r="H221" s="41">
        <f>SUM(H207:H220)</f>
        <v>203625.97999999998</v>
      </c>
      <c r="I221" s="41">
        <f>SUM(I207:I220)</f>
        <v>127519.27</v>
      </c>
      <c r="J221" s="41">
        <f>SUM(J207:J220)</f>
        <v>37180.909999999996</v>
      </c>
      <c r="K221" s="41">
        <f t="shared" si="3"/>
        <v>5837.9699999999993</v>
      </c>
      <c r="L221" s="41">
        <f t="shared" si="3"/>
        <v>2031346.1099999999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1401277.41</v>
      </c>
      <c r="G225" s="18">
        <v>551795.80000000005</v>
      </c>
      <c r="H225" s="18">
        <v>28980</v>
      </c>
      <c r="I225" s="18">
        <v>69386.62</v>
      </c>
      <c r="J225" s="18">
        <v>15161.53</v>
      </c>
      <c r="K225" s="18"/>
      <c r="L225" s="19">
        <f>SUM(F225:K225)</f>
        <v>2066601.36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358215.17</v>
      </c>
      <c r="G226" s="18">
        <v>120240.39</v>
      </c>
      <c r="H226" s="18">
        <v>97307.43</v>
      </c>
      <c r="I226" s="18">
        <v>795.32</v>
      </c>
      <c r="J226" s="18"/>
      <c r="K226" s="18"/>
      <c r="L226" s="19">
        <f>SUM(F226:K226)</f>
        <v>576558.30999999994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8795.7800000000007</v>
      </c>
      <c r="G227" s="18">
        <v>672.94</v>
      </c>
      <c r="H227" s="18">
        <f>18053.25</f>
        <v>18053.25</v>
      </c>
      <c r="I227" s="18">
        <v>19321.330000000002</v>
      </c>
      <c r="J227" s="18"/>
      <c r="K227" s="18"/>
      <c r="L227" s="19">
        <f>SUM(F227:K227)</f>
        <v>46843.3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108622.32</v>
      </c>
      <c r="G228" s="18">
        <v>15685.3</v>
      </c>
      <c r="H228" s="18">
        <f>1150+21447</f>
        <v>22597</v>
      </c>
      <c r="I228" s="18">
        <v>48857.29</v>
      </c>
      <c r="J228" s="18">
        <f>2058.95+1375.72</f>
        <v>3434.67</v>
      </c>
      <c r="K228" s="18">
        <f>980+6012.92</f>
        <v>6992.92</v>
      </c>
      <c r="L228" s="19">
        <f>SUM(F228:K228)</f>
        <v>206189.50000000003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100332.37</v>
      </c>
      <c r="G230" s="18">
        <v>35874.03</v>
      </c>
      <c r="H230" s="18">
        <v>308</v>
      </c>
      <c r="I230" s="18">
        <v>2035.03</v>
      </c>
      <c r="J230" s="18">
        <f>798.18+154.07</f>
        <v>952.25</v>
      </c>
      <c r="K230" s="18"/>
      <c r="L230" s="19">
        <f t="shared" ref="L230:L236" si="4">SUM(F230:K230)</f>
        <v>139501.68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84135.99+75489.96</f>
        <v>159625.95000000001</v>
      </c>
      <c r="G231" s="18">
        <f>72890.18+1000+5774.87+6916.67+239.61</f>
        <v>86821.329999999987</v>
      </c>
      <c r="H231" s="18">
        <f>26994.15</f>
        <v>26994.15</v>
      </c>
      <c r="I231" s="18">
        <f>30712.21</f>
        <v>30712.21</v>
      </c>
      <c r="J231" s="18">
        <f>930.81-10+1912.25+68074.02</f>
        <v>70907.08</v>
      </c>
      <c r="K231" s="18">
        <f>3510</f>
        <v>3510</v>
      </c>
      <c r="L231" s="19">
        <f t="shared" si="4"/>
        <v>378570.72000000003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94696.49</v>
      </c>
      <c r="G232" s="18">
        <v>33218.870000000003</v>
      </c>
      <c r="H232" s="18">
        <v>10820.6</v>
      </c>
      <c r="I232" s="18">
        <v>4000.14</v>
      </c>
      <c r="J232" s="18"/>
      <c r="K232" s="18">
        <f>1440.19+4388.51+925.8</f>
        <v>6754.5000000000009</v>
      </c>
      <c r="L232" s="19">
        <f t="shared" si="4"/>
        <v>149490.60000000003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180410.88</v>
      </c>
      <c r="G233" s="18">
        <v>81369.490000000005</v>
      </c>
      <c r="H233" s="18">
        <v>15913.47</v>
      </c>
      <c r="I233" s="18">
        <v>157.5</v>
      </c>
      <c r="J233" s="18">
        <f>306.69+179.3+107.98</f>
        <v>593.97</v>
      </c>
      <c r="K233" s="18">
        <v>7251.7</v>
      </c>
      <c r="L233" s="19">
        <f t="shared" si="4"/>
        <v>285697.00999999995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183899.19</v>
      </c>
      <c r="G235" s="18">
        <v>109304.49</v>
      </c>
      <c r="H235" s="18">
        <v>105267.74</v>
      </c>
      <c r="I235" s="18">
        <v>106630.07</v>
      </c>
      <c r="J235" s="18"/>
      <c r="K235" s="18"/>
      <c r="L235" s="19">
        <f t="shared" si="4"/>
        <v>505101.49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53422.6+23910.38+5789.83+1073.22+91600+371.95</f>
        <v>176167.98</v>
      </c>
      <c r="I236" s="18"/>
      <c r="J236" s="18"/>
      <c r="K236" s="18"/>
      <c r="L236" s="19">
        <f t="shared" si="4"/>
        <v>176167.98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2595875.56</v>
      </c>
      <c r="G239" s="41">
        <f t="shared" si="5"/>
        <v>1034982.64</v>
      </c>
      <c r="H239" s="41">
        <f t="shared" si="5"/>
        <v>502409.62</v>
      </c>
      <c r="I239" s="41">
        <f t="shared" si="5"/>
        <v>281895.51</v>
      </c>
      <c r="J239" s="41">
        <f t="shared" si="5"/>
        <v>91049.5</v>
      </c>
      <c r="K239" s="41">
        <f t="shared" si="5"/>
        <v>24509.120000000003</v>
      </c>
      <c r="L239" s="41">
        <f t="shared" si="5"/>
        <v>4530721.95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7082164.5899999999</v>
      </c>
      <c r="G249" s="41">
        <f t="shared" si="8"/>
        <v>2646652.4400000004</v>
      </c>
      <c r="H249" s="41">
        <f t="shared" si="8"/>
        <v>1223827.72</v>
      </c>
      <c r="I249" s="41">
        <f t="shared" si="8"/>
        <v>661484.68999999994</v>
      </c>
      <c r="J249" s="41">
        <f t="shared" si="8"/>
        <v>177324.22</v>
      </c>
      <c r="K249" s="41">
        <f t="shared" si="8"/>
        <v>38488</v>
      </c>
      <c r="L249" s="41">
        <f t="shared" si="8"/>
        <v>11829941.66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719276</v>
      </c>
      <c r="L252" s="19">
        <f>SUM(F252:K252)</f>
        <v>719276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256760</v>
      </c>
      <c r="L253" s="19">
        <f>SUM(F253:K253)</f>
        <v>256760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2000+50000</f>
        <v>52000</v>
      </c>
      <c r="L258" s="19">
        <f t="shared" si="9"/>
        <v>52000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1028036</v>
      </c>
      <c r="L262" s="41">
        <f t="shared" si="9"/>
        <v>1028036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7082164.5899999999</v>
      </c>
      <c r="G263" s="42">
        <f t="shared" si="11"/>
        <v>2646652.4400000004</v>
      </c>
      <c r="H263" s="42">
        <f t="shared" si="11"/>
        <v>1223827.72</v>
      </c>
      <c r="I263" s="42">
        <f t="shared" si="11"/>
        <v>661484.68999999994</v>
      </c>
      <c r="J263" s="42">
        <f t="shared" si="11"/>
        <v>177324.22</v>
      </c>
      <c r="K263" s="42">
        <f t="shared" si="11"/>
        <v>1066524</v>
      </c>
      <c r="L263" s="42">
        <f t="shared" si="11"/>
        <v>12857977.66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72894.47+55442.92+6771.1+6037.8</f>
        <v>141146.28999999998</v>
      </c>
      <c r="G268" s="18">
        <f>5754.76+4867.72+856.97+4147.36+4446.52+41.72+517.99+461.89+116.88</f>
        <v>21211.81</v>
      </c>
      <c r="H268" s="18"/>
      <c r="I268" s="18">
        <f>53.26</f>
        <v>53.26</v>
      </c>
      <c r="J268" s="18"/>
      <c r="K268" s="18"/>
      <c r="L268" s="19">
        <f>SUM(F268:K268)</f>
        <v>162411.35999999999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2490.63+97755.48+14690.08</f>
        <v>114936.19</v>
      </c>
      <c r="G269" s="18">
        <f>12260.52+6300.75+6628.77+1123.88+345.73</f>
        <v>26659.65</v>
      </c>
      <c r="H269" s="18">
        <f>12802.88+3427.44</f>
        <v>16230.32</v>
      </c>
      <c r="I269" s="18"/>
      <c r="J269" s="18"/>
      <c r="K269" s="18"/>
      <c r="L269" s="19">
        <f>SUM(F269:K269)</f>
        <v>157826.16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256082.47999999998</v>
      </c>
      <c r="G282" s="42">
        <f t="shared" si="13"/>
        <v>47871.460000000006</v>
      </c>
      <c r="H282" s="42">
        <f t="shared" si="13"/>
        <v>16230.32</v>
      </c>
      <c r="I282" s="42">
        <f t="shared" si="13"/>
        <v>53.26</v>
      </c>
      <c r="J282" s="42">
        <f t="shared" si="13"/>
        <v>0</v>
      </c>
      <c r="K282" s="42">
        <f t="shared" si="13"/>
        <v>0</v>
      </c>
      <c r="L282" s="41">
        <f t="shared" si="13"/>
        <v>320237.52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111766.79</f>
        <v>111766.79</v>
      </c>
      <c r="G287" s="18">
        <f>8820.64+9587.21+10068.4</f>
        <v>28476.25</v>
      </c>
      <c r="H287" s="18"/>
      <c r="I287" s="18"/>
      <c r="J287" s="18"/>
      <c r="K287" s="18"/>
      <c r="L287" s="19">
        <f>SUM(F287:K287)</f>
        <v>140243.03999999998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111766.79</v>
      </c>
      <c r="G301" s="42">
        <f t="shared" si="15"/>
        <v>28476.25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140243.03999999998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12267.34+2526.52</f>
        <v>14793.86</v>
      </c>
      <c r="G306" s="18">
        <f>938.48+193.28</f>
        <v>1131.76</v>
      </c>
      <c r="H306" s="18">
        <f>663.61+188.2</f>
        <v>851.81</v>
      </c>
      <c r="I306" s="18"/>
      <c r="J306" s="18"/>
      <c r="K306" s="18"/>
      <c r="L306" s="19">
        <f>SUM(F306:K306)</f>
        <v>16777.43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14793.86</v>
      </c>
      <c r="G320" s="42">
        <f t="shared" si="17"/>
        <v>1131.76</v>
      </c>
      <c r="H320" s="42">
        <f t="shared" si="17"/>
        <v>851.81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16777.43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382643.12999999995</v>
      </c>
      <c r="G330" s="41">
        <f t="shared" si="20"/>
        <v>77479.47</v>
      </c>
      <c r="H330" s="41">
        <f t="shared" si="20"/>
        <v>17082.13</v>
      </c>
      <c r="I330" s="41">
        <f t="shared" si="20"/>
        <v>53.26</v>
      </c>
      <c r="J330" s="41">
        <f t="shared" si="20"/>
        <v>0</v>
      </c>
      <c r="K330" s="41">
        <f t="shared" si="20"/>
        <v>0</v>
      </c>
      <c r="L330" s="41">
        <f t="shared" si="20"/>
        <v>477257.99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382643.12999999995</v>
      </c>
      <c r="G344" s="41">
        <f>G330</f>
        <v>77479.47</v>
      </c>
      <c r="H344" s="41">
        <f>H330</f>
        <v>17082.13</v>
      </c>
      <c r="I344" s="41">
        <f>I330</f>
        <v>53.26</v>
      </c>
      <c r="J344" s="41">
        <f>J330</f>
        <v>0</v>
      </c>
      <c r="K344" s="47">
        <f>K330+K343</f>
        <v>0</v>
      </c>
      <c r="L344" s="41">
        <f>L330+L343</f>
        <v>477257.99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f>285277.85*0.5</f>
        <v>142638.92499999999</v>
      </c>
      <c r="I350" s="18"/>
      <c r="J350" s="18"/>
      <c r="K350" s="18"/>
      <c r="L350" s="13">
        <f>SUM(F350:K350)</f>
        <v>142638.92499999999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f>285277.85-H350-H352</f>
        <v>48497.234499999991</v>
      </c>
      <c r="I351" s="18"/>
      <c r="J351" s="18"/>
      <c r="K351" s="18"/>
      <c r="L351" s="19">
        <f>SUM(F351:K351)</f>
        <v>48497.234499999991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f>285277.85*0.33</f>
        <v>94141.690499999997</v>
      </c>
      <c r="I352" s="18"/>
      <c r="J352" s="18"/>
      <c r="K352" s="18"/>
      <c r="L352" s="19">
        <f>SUM(F352:K352)</f>
        <v>94141.690499999997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285277.84999999998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285277.84999999998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v>2584.65</v>
      </c>
      <c r="I387" s="18">
        <v>1508741.15</v>
      </c>
      <c r="J387" s="24" t="s">
        <v>312</v>
      </c>
      <c r="K387" s="24" t="s">
        <v>312</v>
      </c>
      <c r="L387" s="56">
        <f t="shared" ref="L387:L392" si="26">SUM(F387:K387)</f>
        <v>1511325.7999999998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v>5405</v>
      </c>
      <c r="I388" s="18"/>
      <c r="J388" s="24" t="s">
        <v>312</v>
      </c>
      <c r="K388" s="24" t="s">
        <v>312</v>
      </c>
      <c r="L388" s="56">
        <f t="shared" si="26"/>
        <v>55405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2385</v>
      </c>
      <c r="I389" s="18"/>
      <c r="J389" s="24" t="s">
        <v>312</v>
      </c>
      <c r="K389" s="24" t="s">
        <v>312</v>
      </c>
      <c r="L389" s="56">
        <f t="shared" si="26"/>
        <v>2385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2000</v>
      </c>
      <c r="H392" s="18">
        <f>110+620</f>
        <v>730</v>
      </c>
      <c r="I392" s="18"/>
      <c r="J392" s="24" t="s">
        <v>312</v>
      </c>
      <c r="K392" s="24" t="s">
        <v>312</v>
      </c>
      <c r="L392" s="56">
        <f t="shared" si="26"/>
        <v>2730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52000</v>
      </c>
      <c r="H393" s="47">
        <f>SUM(H387:H392)</f>
        <v>11104.65</v>
      </c>
      <c r="I393" s="47">
        <f>SUM(I387:I392)</f>
        <v>1508741.15</v>
      </c>
      <c r="J393" s="45" t="s">
        <v>312</v>
      </c>
      <c r="K393" s="45" t="s">
        <v>312</v>
      </c>
      <c r="L393" s="47">
        <f>SUM(L387:L392)</f>
        <v>1571845.7999999998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52000</v>
      </c>
      <c r="H400" s="47">
        <f>H385+H393+H399</f>
        <v>11104.65</v>
      </c>
      <c r="I400" s="47">
        <f>I385+I393+I399</f>
        <v>1508741.15</v>
      </c>
      <c r="J400" s="24" t="s">
        <v>312</v>
      </c>
      <c r="K400" s="24" t="s">
        <v>312</v>
      </c>
      <c r="L400" s="47">
        <f>L385+L393+L399</f>
        <v>1571845.7999999998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>
        <v>1531341.08</v>
      </c>
      <c r="I413" s="18"/>
      <c r="J413" s="18"/>
      <c r="K413" s="18"/>
      <c r="L413" s="56">
        <f t="shared" ref="L413:L418" si="29">SUM(F413:K413)</f>
        <v>1531341.08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1531341.08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1531341.08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1531341.08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1531341.08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f>613285.7+527510+228657+43782+15185</f>
        <v>1428419.7</v>
      </c>
      <c r="H432" s="18"/>
      <c r="I432" s="56">
        <f t="shared" si="33"/>
        <v>1428419.7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1428419.7</v>
      </c>
      <c r="H438" s="13">
        <f>SUM(H431:H437)</f>
        <v>0</v>
      </c>
      <c r="I438" s="13">
        <f>SUM(I431:I437)</f>
        <v>1428419.7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1428419.7</f>
        <v>1428419.7</v>
      </c>
      <c r="H449" s="18"/>
      <c r="I449" s="56">
        <f>SUM(F449:H449)</f>
        <v>1428419.7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1428419.7</v>
      </c>
      <c r="H450" s="83">
        <f>SUM(H446:H449)</f>
        <v>0</v>
      </c>
      <c r="I450" s="83">
        <f>SUM(I446:I449)</f>
        <v>1428419.7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1428419.7</v>
      </c>
      <c r="H451" s="42">
        <f>H444+H450</f>
        <v>0</v>
      </c>
      <c r="I451" s="42">
        <f>I444+I450</f>
        <v>1428419.7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f>907561.81+1302.84</f>
        <v>908864.65</v>
      </c>
      <c r="G455" s="18">
        <v>2667.99</v>
      </c>
      <c r="H455" s="18">
        <v>0</v>
      </c>
      <c r="I455" s="18">
        <v>0</v>
      </c>
      <c r="J455" s="18">
        <f>472105+226272+43162+13075+633301-0.02</f>
        <v>1387914.98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12913521.380000001</v>
      </c>
      <c r="G458" s="18">
        <v>285827.51</v>
      </c>
      <c r="H458" s="18">
        <v>477257.99</v>
      </c>
      <c r="I458" s="18"/>
      <c r="J458" s="18">
        <f>50000+5405+2385+620+2000+110+1508741.15+2584.65</f>
        <v>1571845.7999999998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12913521.380000001</v>
      </c>
      <c r="G460" s="53">
        <f>SUM(G458:G459)</f>
        <v>285827.51</v>
      </c>
      <c r="H460" s="53">
        <f>SUM(H458:H459)</f>
        <v>477257.99</v>
      </c>
      <c r="I460" s="53">
        <f>SUM(I458:I459)</f>
        <v>0</v>
      </c>
      <c r="J460" s="53">
        <f>SUM(J458:J459)</f>
        <v>1571845.7999999998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12857977.66</v>
      </c>
      <c r="G462" s="18">
        <v>285277.84999999998</v>
      </c>
      <c r="H462" s="18">
        <v>477257.99</v>
      </c>
      <c r="I462" s="18"/>
      <c r="J462" s="18">
        <v>1531341.08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12857977.66</v>
      </c>
      <c r="G464" s="53">
        <f>SUM(G462:G463)</f>
        <v>285277.84999999998</v>
      </c>
      <c r="H464" s="53">
        <f>SUM(H462:H463)</f>
        <v>477257.99</v>
      </c>
      <c r="I464" s="53">
        <f>SUM(I462:I463)</f>
        <v>0</v>
      </c>
      <c r="J464" s="53">
        <f>SUM(J462:J463)</f>
        <v>1531341.08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964408.37000000104</v>
      </c>
      <c r="G466" s="53">
        <f>(G455+G460)- G464</f>
        <v>3217.6500000000233</v>
      </c>
      <c r="H466" s="53">
        <f>(H455+H460)- H464</f>
        <v>0</v>
      </c>
      <c r="I466" s="53">
        <f>(I455+I460)- I464</f>
        <v>0</v>
      </c>
      <c r="J466" s="53">
        <f>(J455+J460)- J464</f>
        <v>1428419.6999999997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11362231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3.98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5992184.21</v>
      </c>
      <c r="G485" s="18"/>
      <c r="H485" s="18"/>
      <c r="I485" s="18"/>
      <c r="J485" s="18"/>
      <c r="K485" s="53">
        <f>SUM(F485:J485)</f>
        <v>5992184.21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5992184.21-719276</f>
        <v>5272908.21</v>
      </c>
      <c r="G488" s="205"/>
      <c r="H488" s="205"/>
      <c r="I488" s="205"/>
      <c r="J488" s="205"/>
      <c r="K488" s="206">
        <f t="shared" si="34"/>
        <v>5272908.21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840068.43-256760</f>
        <v>583308.43000000005</v>
      </c>
      <c r="G489" s="18"/>
      <c r="H489" s="18"/>
      <c r="I489" s="18"/>
      <c r="J489" s="18"/>
      <c r="K489" s="53">
        <f t="shared" si="34"/>
        <v>583308.43000000005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5856216.6399999997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5856216.6399999997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748190</v>
      </c>
      <c r="G491" s="205"/>
      <c r="H491" s="205"/>
      <c r="I491" s="205"/>
      <c r="J491" s="205"/>
      <c r="K491" s="206">
        <f t="shared" si="34"/>
        <v>748190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227848</v>
      </c>
      <c r="G492" s="18"/>
      <c r="H492" s="18"/>
      <c r="I492" s="18"/>
      <c r="J492" s="18"/>
      <c r="K492" s="53">
        <f t="shared" si="34"/>
        <v>227848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976038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976038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725746.61</v>
      </c>
      <c r="G511" s="18">
        <v>214119.71</v>
      </c>
      <c r="H511" s="18">
        <v>5900</v>
      </c>
      <c r="I511" s="18">
        <v>9404.99</v>
      </c>
      <c r="J511" s="18">
        <v>5231.4399999999996</v>
      </c>
      <c r="K511" s="18">
        <v>1450.44</v>
      </c>
      <c r="L511" s="88">
        <f>SUM(F511:K511)</f>
        <v>961853.18999999983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191561.8</v>
      </c>
      <c r="G512" s="18">
        <v>63138.400000000001</v>
      </c>
      <c r="H512" s="18">
        <v>2693.7</v>
      </c>
      <c r="I512" s="18">
        <v>3811.08</v>
      </c>
      <c r="J512" s="18">
        <v>389.99</v>
      </c>
      <c r="K512" s="18">
        <v>0</v>
      </c>
      <c r="L512" s="88">
        <f>SUM(F512:K512)</f>
        <v>261594.96999999997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313023.65000000002</v>
      </c>
      <c r="G513" s="18">
        <v>103032.54</v>
      </c>
      <c r="H513" s="18">
        <v>24011.93</v>
      </c>
      <c r="I513" s="18">
        <v>795.32</v>
      </c>
      <c r="J513" s="18">
        <v>0</v>
      </c>
      <c r="K513" s="18">
        <v>0</v>
      </c>
      <c r="L513" s="88">
        <f>SUM(F513:K513)</f>
        <v>440863.44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1230332.06</v>
      </c>
      <c r="G514" s="108">
        <f t="shared" ref="G514:L514" si="35">SUM(G511:G513)</f>
        <v>380290.64999999997</v>
      </c>
      <c r="H514" s="108">
        <f>SUM(H511:H513)</f>
        <v>32605.63</v>
      </c>
      <c r="I514" s="108">
        <f t="shared" si="35"/>
        <v>14011.39</v>
      </c>
      <c r="J514" s="108">
        <f t="shared" si="35"/>
        <v>5621.4299999999994</v>
      </c>
      <c r="K514" s="108">
        <f t="shared" si="35"/>
        <v>1450.44</v>
      </c>
      <c r="L514" s="89">
        <f t="shared" si="35"/>
        <v>1664311.5999999996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H190+H269-3352.55-5900-2693.7</f>
        <v>101313.10999999999</v>
      </c>
      <c r="I516" s="18"/>
      <c r="J516" s="18"/>
      <c r="K516" s="18"/>
      <c r="L516" s="88">
        <f>SUM(F516:K516)</f>
        <v>101313.10999999999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f>H208-3400</f>
        <v>257.69999999999982</v>
      </c>
      <c r="I517" s="18"/>
      <c r="J517" s="18"/>
      <c r="K517" s="18"/>
      <c r="L517" s="88">
        <f>SUM(F517:K517)</f>
        <v>257.69999999999982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f>H226-24011.93</f>
        <v>73295.5</v>
      </c>
      <c r="I518" s="18"/>
      <c r="J518" s="18"/>
      <c r="K518" s="18"/>
      <c r="L518" s="88">
        <f>SUM(F518:K518)</f>
        <v>73295.5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>SUM(H516:H518)</f>
        <v>174866.31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174866.31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136944*0.5</f>
        <v>68472</v>
      </c>
      <c r="G521" s="18">
        <f>52145*0.5</f>
        <v>26072.5</v>
      </c>
      <c r="H521" s="18"/>
      <c r="I521" s="18"/>
      <c r="J521" s="18"/>
      <c r="K521" s="18"/>
      <c r="L521" s="88">
        <f>SUM(F521:K521)</f>
        <v>94544.5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136944-F521-F523</f>
        <v>23280.479999999996</v>
      </c>
      <c r="G522" s="18">
        <f>52145-G521-G523</f>
        <v>8864.6499999999978</v>
      </c>
      <c r="H522" s="18"/>
      <c r="I522" s="18"/>
      <c r="J522" s="18"/>
      <c r="K522" s="18"/>
      <c r="L522" s="88">
        <f>SUM(F522:K522)</f>
        <v>32145.129999999994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136944*0.33</f>
        <v>45191.520000000004</v>
      </c>
      <c r="G523" s="18">
        <f>52145*0.33</f>
        <v>17207.850000000002</v>
      </c>
      <c r="H523" s="18"/>
      <c r="I523" s="18"/>
      <c r="J523" s="18"/>
      <c r="K523" s="18"/>
      <c r="L523" s="88">
        <f>SUM(F523:K523)</f>
        <v>62399.37000000001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136944</v>
      </c>
      <c r="G524" s="89">
        <f t="shared" ref="G524:L524" si="37">SUM(G521:G523)</f>
        <v>52145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189089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4500*0.5</f>
        <v>2250</v>
      </c>
      <c r="I526" s="18"/>
      <c r="J526" s="18"/>
      <c r="K526" s="18"/>
      <c r="L526" s="88">
        <f>SUM(F526:K526)</f>
        <v>2250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f>4500-H526-H528</f>
        <v>765</v>
      </c>
      <c r="I527" s="18"/>
      <c r="J527" s="18"/>
      <c r="K527" s="18"/>
      <c r="L527" s="88">
        <f>SUM(F527:K527)</f>
        <v>765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f>4500*0.33</f>
        <v>1485</v>
      </c>
      <c r="I528" s="18"/>
      <c r="J528" s="18"/>
      <c r="K528" s="18"/>
      <c r="L528" s="88">
        <f>SUM(F528:K528)</f>
        <v>1485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4500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4500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3352.55</v>
      </c>
      <c r="I531" s="18"/>
      <c r="J531" s="18"/>
      <c r="K531" s="18"/>
      <c r="L531" s="88">
        <f>SUM(F531:K531)</f>
        <v>3352.55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3400</v>
      </c>
      <c r="I532" s="18"/>
      <c r="J532" s="18"/>
      <c r="K532" s="18"/>
      <c r="L532" s="88">
        <f>SUM(F532:K532)</f>
        <v>3400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6752.55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6752.55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1367276.06</v>
      </c>
      <c r="G535" s="89">
        <f t="shared" ref="G535:L535" si="40">G514+G519+G524+G529+G534</f>
        <v>432435.64999999997</v>
      </c>
      <c r="H535" s="89">
        <f t="shared" si="40"/>
        <v>218724.49</v>
      </c>
      <c r="I535" s="89">
        <f t="shared" si="40"/>
        <v>14011.39</v>
      </c>
      <c r="J535" s="89">
        <f t="shared" si="40"/>
        <v>5621.4299999999994</v>
      </c>
      <c r="K535" s="89">
        <f t="shared" si="40"/>
        <v>1450.44</v>
      </c>
      <c r="L535" s="89">
        <f t="shared" si="40"/>
        <v>2039519.4599999997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961853.18999999983</v>
      </c>
      <c r="G539" s="87">
        <f>L516</f>
        <v>101313.10999999999</v>
      </c>
      <c r="H539" s="87">
        <f>L521</f>
        <v>94544.5</v>
      </c>
      <c r="I539" s="87">
        <f>L526</f>
        <v>2250</v>
      </c>
      <c r="J539" s="87">
        <f>L531</f>
        <v>3352.55</v>
      </c>
      <c r="K539" s="87">
        <f>SUM(F539:J539)</f>
        <v>1163313.3499999999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261594.96999999997</v>
      </c>
      <c r="G540" s="87">
        <f>L517</f>
        <v>257.69999999999982</v>
      </c>
      <c r="H540" s="87">
        <f>L522</f>
        <v>32145.129999999994</v>
      </c>
      <c r="I540" s="87">
        <f>L527</f>
        <v>765</v>
      </c>
      <c r="J540" s="87">
        <f>L532</f>
        <v>3400</v>
      </c>
      <c r="K540" s="87">
        <f>SUM(F540:J540)</f>
        <v>298162.8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440863.44</v>
      </c>
      <c r="G541" s="87">
        <f>L518</f>
        <v>73295.5</v>
      </c>
      <c r="H541" s="87">
        <f>L523</f>
        <v>62399.37000000001</v>
      </c>
      <c r="I541" s="87">
        <f>L528</f>
        <v>1485</v>
      </c>
      <c r="J541" s="87">
        <f>L533</f>
        <v>0</v>
      </c>
      <c r="K541" s="87">
        <f>SUM(F541:J541)</f>
        <v>578043.31000000006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1664311.5999999996</v>
      </c>
      <c r="G542" s="89">
        <f t="shared" si="41"/>
        <v>174866.31</v>
      </c>
      <c r="H542" s="89">
        <f t="shared" si="41"/>
        <v>189089</v>
      </c>
      <c r="I542" s="89">
        <f t="shared" si="41"/>
        <v>4500</v>
      </c>
      <c r="J542" s="89">
        <f t="shared" si="41"/>
        <v>6752.55</v>
      </c>
      <c r="K542" s="89">
        <f t="shared" si="41"/>
        <v>2039519.46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5900</v>
      </c>
      <c r="G572" s="18">
        <v>2893.7</v>
      </c>
      <c r="H572" s="18">
        <v>24011.93</v>
      </c>
      <c r="I572" s="87">
        <f t="shared" si="46"/>
        <v>32805.630000000005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18053.25</v>
      </c>
      <c r="I574" s="87">
        <f t="shared" si="46"/>
        <v>18053.25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138788</v>
      </c>
      <c r="I581" s="18">
        <v>47188</v>
      </c>
      <c r="J581" s="18">
        <v>91600</v>
      </c>
      <c r="K581" s="104">
        <f t="shared" ref="K581:K587" si="47">SUM(H581:J581)</f>
        <v>277576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3352.55</v>
      </c>
      <c r="I582" s="18">
        <v>3400</v>
      </c>
      <c r="J582" s="18"/>
      <c r="K582" s="104">
        <f t="shared" si="47"/>
        <v>6752.55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53422.6</v>
      </c>
      <c r="K583" s="104">
        <f t="shared" si="47"/>
        <v>53422.6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16720</v>
      </c>
      <c r="J584" s="18">
        <v>23910.38</v>
      </c>
      <c r="K584" s="104">
        <f t="shared" si="47"/>
        <v>40630.380000000005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12439.06</v>
      </c>
      <c r="I585" s="18">
        <f>2293.51+350.85</f>
        <v>2644.36</v>
      </c>
      <c r="J585" s="18">
        <f>5789.83+1073.22</f>
        <v>6863.05</v>
      </c>
      <c r="K585" s="104">
        <f t="shared" si="47"/>
        <v>21946.47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390.46</v>
      </c>
      <c r="I587" s="18">
        <v>99.31</v>
      </c>
      <c r="J587" s="18">
        <v>371.95</v>
      </c>
      <c r="K587" s="104">
        <f t="shared" si="47"/>
        <v>861.72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154970.06999999998</v>
      </c>
      <c r="I588" s="108">
        <f>SUM(I581:I587)</f>
        <v>70051.67</v>
      </c>
      <c r="J588" s="108">
        <f>SUM(J581:J587)</f>
        <v>176167.98</v>
      </c>
      <c r="K588" s="108">
        <f>SUM(K581:K587)</f>
        <v>401189.72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</f>
        <v>49093.81</v>
      </c>
      <c r="I594" s="18">
        <f>J221</f>
        <v>37180.909999999996</v>
      </c>
      <c r="J594" s="18">
        <f>J239</f>
        <v>91049.5</v>
      </c>
      <c r="K594" s="104">
        <f>SUM(H594:J594)</f>
        <v>177324.22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49093.81</v>
      </c>
      <c r="I595" s="108">
        <f>SUM(I592:I594)</f>
        <v>37180.909999999996</v>
      </c>
      <c r="J595" s="108">
        <f>SUM(J592:J594)</f>
        <v>91049.5</v>
      </c>
      <c r="K595" s="108">
        <f>SUM(K592:K594)</f>
        <v>177324.22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1990.3+4216.75+1625+4515.4+6037.8</f>
        <v>18385.25</v>
      </c>
      <c r="G601" s="18">
        <f>F601*15.67%</f>
        <v>2880.9686750000001</v>
      </c>
      <c r="H601" s="18"/>
      <c r="I601" s="18"/>
      <c r="J601" s="18"/>
      <c r="K601" s="18"/>
      <c r="L601" s="88">
        <f>SUM(F601:K601)</f>
        <v>21266.218675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4171.7299999999996</v>
      </c>
      <c r="G602" s="18">
        <f>F602*15.67%</f>
        <v>653.71009099999992</v>
      </c>
      <c r="H602" s="18"/>
      <c r="I602" s="18"/>
      <c r="J602" s="18"/>
      <c r="K602" s="18"/>
      <c r="L602" s="88">
        <f>SUM(F602:K602)</f>
        <v>4825.4400909999995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10235.709999999999</v>
      </c>
      <c r="G603" s="18">
        <f>F603*15.67%</f>
        <v>1603.935757</v>
      </c>
      <c r="H603" s="18"/>
      <c r="I603" s="18"/>
      <c r="J603" s="18"/>
      <c r="K603" s="18"/>
      <c r="L603" s="88">
        <f>SUM(F603:K603)</f>
        <v>11839.645756999998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32792.69</v>
      </c>
      <c r="G604" s="108">
        <f t="shared" si="48"/>
        <v>5138.6145230000002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37931.304522999999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1329706.8599999999</v>
      </c>
      <c r="H607" s="109">
        <f>SUM(F44)</f>
        <v>1329706.8599999999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14674.27</v>
      </c>
      <c r="H608" s="109">
        <f>SUM(G44)</f>
        <v>14674.27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136081.17000000001</v>
      </c>
      <c r="H609" s="109">
        <f>SUM(H44)</f>
        <v>136081.16999999998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1428419.7</v>
      </c>
      <c r="H611" s="109">
        <f>SUM(J44)</f>
        <v>1428419.7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964408.37</v>
      </c>
      <c r="H612" s="109">
        <f>F466</f>
        <v>964408.37000000104</v>
      </c>
      <c r="I612" s="121" t="s">
        <v>106</v>
      </c>
      <c r="J612" s="109">
        <f t="shared" ref="J612:J645" si="49">G612-H612</f>
        <v>-1.0477378964424133E-9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3217.65</v>
      </c>
      <c r="H613" s="109">
        <f>G466</f>
        <v>3217.6500000000233</v>
      </c>
      <c r="I613" s="121" t="s">
        <v>108</v>
      </c>
      <c r="J613" s="109">
        <f t="shared" si="49"/>
        <v>-2.319211489520967E-11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1428419.7</v>
      </c>
      <c r="H616" s="109">
        <f>J466</f>
        <v>1428419.6999999997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12913521.380000001</v>
      </c>
      <c r="H617" s="104">
        <f>SUM(F458)</f>
        <v>12913521.380000001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285827.51</v>
      </c>
      <c r="H618" s="104">
        <f>SUM(G458)</f>
        <v>285827.51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477257.99000000005</v>
      </c>
      <c r="H619" s="104">
        <f>SUM(H458)</f>
        <v>477257.99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1571845.7999999998</v>
      </c>
      <c r="H621" s="104">
        <f>SUM(J458)</f>
        <v>1571845.7999999998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12857977.66</v>
      </c>
      <c r="H622" s="104">
        <f>SUM(F462)</f>
        <v>12857977.66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477257.99</v>
      </c>
      <c r="H623" s="104">
        <f>SUM(H462)</f>
        <v>477257.99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285277.84999999998</v>
      </c>
      <c r="H625" s="104">
        <f>SUM(G462)</f>
        <v>285277.84999999998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1571845.7999999998</v>
      </c>
      <c r="H627" s="164">
        <f>SUM(J458)</f>
        <v>1571845.7999999998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1531341.08</v>
      </c>
      <c r="H628" s="164">
        <f>SUM(J462)</f>
        <v>1531341.08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1428419.7</v>
      </c>
      <c r="H630" s="104">
        <f>SUM(G451)</f>
        <v>1428419.7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1428419.7</v>
      </c>
      <c r="H632" s="104">
        <f>SUM(I451)</f>
        <v>1428419.7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11104.65</v>
      </c>
      <c r="H634" s="104">
        <f>H400</f>
        <v>11104.65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52000</v>
      </c>
      <c r="H635" s="104">
        <f>G400</f>
        <v>52000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1571845.7999999998</v>
      </c>
      <c r="H636" s="104">
        <f>L400</f>
        <v>1571845.7999999998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401189.72</v>
      </c>
      <c r="H637" s="104">
        <f>L200+L218+L236</f>
        <v>401189.72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177324.22</v>
      </c>
      <c r="H638" s="104">
        <f>(J249+J330)-(J247+J328)</f>
        <v>177324.22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154970.06999999998</v>
      </c>
      <c r="H639" s="104">
        <f>H588</f>
        <v>154970.06999999998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70051.67</v>
      </c>
      <c r="H640" s="104">
        <f>I588</f>
        <v>70051.67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176167.98</v>
      </c>
      <c r="H641" s="104">
        <f>J588</f>
        <v>176167.98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52000</v>
      </c>
      <c r="H645" s="104">
        <f>K258+K339</f>
        <v>52000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5730750.044999999</v>
      </c>
      <c r="G650" s="19">
        <f>(L221+L301+L351)</f>
        <v>2220086.3844999997</v>
      </c>
      <c r="H650" s="19">
        <f>(L239+L320+L352)</f>
        <v>4641641.0704999994</v>
      </c>
      <c r="I650" s="19">
        <f>SUM(F650:H650)</f>
        <v>12592477.499999998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95589.96</v>
      </c>
      <c r="G651" s="19">
        <f>(L351/IF(SUM(L350:L352)=0,1,SUM(L350:L352))*(SUM(G89:G102)))</f>
        <v>32500.5864</v>
      </c>
      <c r="H651" s="19">
        <f>(L352/IF(SUM(L350:L352)=0,1,SUM(L350:L352))*(SUM(G89:G102)))</f>
        <v>63089.373600000006</v>
      </c>
      <c r="I651" s="19">
        <f>SUM(F651:H651)</f>
        <v>191179.92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154970.06999999998</v>
      </c>
      <c r="G652" s="19">
        <f>(L218+L298)-(J218+J298)</f>
        <v>70051.67</v>
      </c>
      <c r="H652" s="19">
        <f>(L236+L317)-(J236+J317)</f>
        <v>176167.98</v>
      </c>
      <c r="I652" s="19">
        <f>SUM(F652:H652)</f>
        <v>401189.72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76260.028674999994</v>
      </c>
      <c r="G653" s="200">
        <f>SUM(G565:G577)+SUM(I592:I594)+L602</f>
        <v>44900.05009099999</v>
      </c>
      <c r="H653" s="200">
        <f>SUM(H565:H577)+SUM(J592:J594)+L603</f>
        <v>144954.32575699998</v>
      </c>
      <c r="I653" s="19">
        <f>SUM(F653:H653)</f>
        <v>266114.404523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5403929.9863249995</v>
      </c>
      <c r="G654" s="19">
        <f>G650-SUM(G651:G653)</f>
        <v>2072634.0780089996</v>
      </c>
      <c r="H654" s="19">
        <f>H650-SUM(H651:H653)</f>
        <v>4257429.3911429998</v>
      </c>
      <c r="I654" s="19">
        <f>I650-SUM(I651:I653)</f>
        <v>11733993.455476997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292.76</v>
      </c>
      <c r="G655" s="249">
        <v>99.54</v>
      </c>
      <c r="H655" s="249">
        <v>239.59</v>
      </c>
      <c r="I655" s="19">
        <f>SUM(F655:H655)</f>
        <v>631.89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18458.57</v>
      </c>
      <c r="G657" s="19">
        <f>ROUND(G654/G655,2)</f>
        <v>20822.12</v>
      </c>
      <c r="H657" s="19">
        <f>ROUND(H654/H655,2)</f>
        <v>17769.650000000001</v>
      </c>
      <c r="I657" s="19">
        <f>ROUND(I654/I655,2)</f>
        <v>18569.68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-2.36</v>
      </c>
      <c r="I660" s="19">
        <f>SUM(F660:H660)</f>
        <v>-2.36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18458.57</v>
      </c>
      <c r="G662" s="19">
        <f>ROUND((G654+G659)/(G655+G660),2)</f>
        <v>20822.12</v>
      </c>
      <c r="H662" s="19">
        <f>ROUND((H654+H659)/(H655+H660),2)</f>
        <v>17946.419999999998</v>
      </c>
      <c r="I662" s="19">
        <f>ROUND((I654+I659)/(I655+I660),2)</f>
        <v>18639.29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566E-D515-47F6-A096-D6EA9CF64741}">
  <sheetPr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Moultonborough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3960397.5499999993</v>
      </c>
      <c r="C9" s="230">
        <f>'DOE25'!G189+'DOE25'!G207+'DOE25'!G225+'DOE25'!G268+'DOE25'!G287+'DOE25'!G306</f>
        <v>1457776.4400000002</v>
      </c>
    </row>
    <row r="10" spans="1:3" x14ac:dyDescent="0.2">
      <c r="A10" t="s">
        <v>810</v>
      </c>
      <c r="B10" s="241">
        <f>1484381.46+522839.66+1361912.51+72894.47+55442.92+6771.1+111766.79+6037.8</f>
        <v>3622046.71</v>
      </c>
      <c r="C10" s="241">
        <v>1281475.68</v>
      </c>
    </row>
    <row r="11" spans="1:3" x14ac:dyDescent="0.2">
      <c r="A11" t="s">
        <v>811</v>
      </c>
      <c r="B11" s="241">
        <f>193705.67+15293.08+2490.63+35.89</f>
        <v>211525.27000000002</v>
      </c>
      <c r="C11" s="241">
        <v>162168.16</v>
      </c>
    </row>
    <row r="12" spans="1:3" x14ac:dyDescent="0.2">
      <c r="A12" t="s">
        <v>812</v>
      </c>
      <c r="B12" s="241">
        <f>41825+33368.33+39364.9+12267.34</f>
        <v>126825.57</v>
      </c>
      <c r="C12" s="241">
        <v>14132.6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3960397.55</v>
      </c>
      <c r="C13" s="232">
        <f>SUM(C10:C12)</f>
        <v>1457776.44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1367276.06</v>
      </c>
      <c r="C18" s="230">
        <f>'DOE25'!G190+'DOE25'!G208+'DOE25'!G226+'DOE25'!G269+'DOE25'!G288+'DOE25'!G307</f>
        <v>432435.65</v>
      </c>
    </row>
    <row r="19" spans="1:3" x14ac:dyDescent="0.2">
      <c r="A19" t="s">
        <v>810</v>
      </c>
      <c r="B19" s="241">
        <f>424066.75+125806.38+268824.06+33819.03+17493.06</f>
        <v>870009.28</v>
      </c>
      <c r="C19" s="241">
        <v>283376.46999999997</v>
      </c>
    </row>
    <row r="20" spans="1:3" x14ac:dyDescent="0.2">
      <c r="A20" t="s">
        <v>811</v>
      </c>
      <c r="B20" s="241">
        <f>180477.73+71542.84+89391.11+2490.63+97755.48+14690.08</f>
        <v>456347.87</v>
      </c>
      <c r="C20" s="241">
        <v>142178.79</v>
      </c>
    </row>
    <row r="21" spans="1:3" x14ac:dyDescent="0.2">
      <c r="A21" t="s">
        <v>812</v>
      </c>
      <c r="B21" s="241">
        <v>40918.910000000003</v>
      </c>
      <c r="C21" s="241">
        <v>6880.39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1367276.0599999998</v>
      </c>
      <c r="C22" s="232">
        <f>SUM(C19:C21)</f>
        <v>432435.65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17895.099999999999</v>
      </c>
      <c r="C27" s="235">
        <f>'DOE25'!G191+'DOE25'!G209+'DOE25'!G227+'DOE25'!G270+'DOE25'!G289+'DOE25'!G308</f>
        <v>3073.07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>
        <f>5092.74+7192.36+1906.96+3703.04</f>
        <v>17895.099999999999</v>
      </c>
      <c r="C29" s="241">
        <f>1704+550.26+145.87+672.94</f>
        <v>3073.07</v>
      </c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17895.099999999999</v>
      </c>
      <c r="C31" s="232">
        <f>SUM(C28:C30)</f>
        <v>3073.07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177594.37</v>
      </c>
      <c r="C36" s="236">
        <f>'DOE25'!G192+'DOE25'!G210+'DOE25'!G228+'DOE25'!G271+'DOE25'!G290+'DOE25'!G309</f>
        <v>24937.64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f>26169.1+12968.61+28364.62+19290+67634+1650+1650+8894.34+10973.7</f>
        <v>177594.37000000002</v>
      </c>
      <c r="C39" s="241">
        <f>2001.99+1107.79+2320.41+1914.11+488.76+2460.57+1621.39+5280.75+1179.24+3525.56+1000+806.73+965.68+132.33+132.33</f>
        <v>24937.640000000003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177594.37000000002</v>
      </c>
      <c r="C40" s="232">
        <f>SUM(C37:C39)</f>
        <v>24937.640000000003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4DB5-F14E-42A7-BFCE-C946A598030C}">
  <sheetPr>
    <tabColor indexed="11"/>
  </sheetPr>
  <dimension ref="A1:I51"/>
  <sheetViews>
    <sheetView workbookViewId="0">
      <pane ySplit="4" topLeftCell="A23" activePane="bottomLeft" state="frozen"/>
      <selection pane="bottomLeft" activeCell="E35" sqref="E3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Moultonborough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7600051.9799999995</v>
      </c>
      <c r="D5" s="20">
        <f>SUM('DOE25'!L189:L192)+SUM('DOE25'!L207:L210)+SUM('DOE25'!L225:L228)-F5-G5</f>
        <v>7547751.6599999992</v>
      </c>
      <c r="E5" s="244"/>
      <c r="F5" s="256">
        <f>SUM('DOE25'!J189:J192)+SUM('DOE25'!J207:J210)+SUM('DOE25'!J225:J228)</f>
        <v>41248.960000000006</v>
      </c>
      <c r="G5" s="53">
        <f>SUM('DOE25'!K189:K192)+SUM('DOE25'!K207:K210)+SUM('DOE25'!K225:K228)</f>
        <v>11051.36</v>
      </c>
      <c r="H5" s="260"/>
    </row>
    <row r="6" spans="1:9" x14ac:dyDescent="0.2">
      <c r="A6" s="32">
        <v>2100</v>
      </c>
      <c r="B6" t="s">
        <v>832</v>
      </c>
      <c r="C6" s="246">
        <f t="shared" si="0"/>
        <v>420918.14999999997</v>
      </c>
      <c r="D6" s="20">
        <f>'DOE25'!L194+'DOE25'!L212+'DOE25'!L230-F6-G6</f>
        <v>417155.89999999997</v>
      </c>
      <c r="E6" s="244"/>
      <c r="F6" s="256">
        <f>'DOE25'!J194+'DOE25'!J212+'DOE25'!J230</f>
        <v>3618.25</v>
      </c>
      <c r="G6" s="53">
        <f>'DOE25'!K194+'DOE25'!K212+'DOE25'!K230</f>
        <v>144</v>
      </c>
      <c r="H6" s="260"/>
    </row>
    <row r="7" spans="1:9" x14ac:dyDescent="0.2">
      <c r="A7" s="32">
        <v>2200</v>
      </c>
      <c r="B7" t="s">
        <v>865</v>
      </c>
      <c r="C7" s="246">
        <f t="shared" si="0"/>
        <v>940724.18000000017</v>
      </c>
      <c r="D7" s="20">
        <f>'DOE25'!L195+'DOE25'!L213+'DOE25'!L231-F7-G7</f>
        <v>806331.89000000013</v>
      </c>
      <c r="E7" s="244"/>
      <c r="F7" s="256">
        <f>'DOE25'!J195+'DOE25'!J213+'DOE25'!J231</f>
        <v>129595.29</v>
      </c>
      <c r="G7" s="53">
        <f>'DOE25'!K195+'DOE25'!K213+'DOE25'!K231</f>
        <v>4797</v>
      </c>
      <c r="H7" s="260"/>
    </row>
    <row r="8" spans="1:9" x14ac:dyDescent="0.2">
      <c r="A8" s="32">
        <v>2300</v>
      </c>
      <c r="B8" t="s">
        <v>833</v>
      </c>
      <c r="C8" s="246">
        <f t="shared" si="0"/>
        <v>222050.11000000002</v>
      </c>
      <c r="D8" s="244"/>
      <c r="E8" s="20">
        <f>'DOE25'!L196+'DOE25'!L214+'DOE25'!L232-F8-G8-D9-D11</f>
        <v>205492.87000000002</v>
      </c>
      <c r="F8" s="256">
        <f>'DOE25'!J196+'DOE25'!J214+'DOE25'!J232</f>
        <v>1313.3</v>
      </c>
      <c r="G8" s="53">
        <f>'DOE25'!K196+'DOE25'!K214+'DOE25'!K232</f>
        <v>15243.940000000002</v>
      </c>
      <c r="H8" s="260"/>
    </row>
    <row r="9" spans="1:9" x14ac:dyDescent="0.2">
      <c r="A9" s="32">
        <v>2310</v>
      </c>
      <c r="B9" t="s">
        <v>849</v>
      </c>
      <c r="C9" s="246">
        <f t="shared" si="0"/>
        <v>36013.49</v>
      </c>
      <c r="D9" s="245">
        <v>36013.49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9700</v>
      </c>
      <c r="D10" s="244"/>
      <c r="E10" s="245">
        <f>4850+1616.66+3233.34</f>
        <v>9700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224880.41</v>
      </c>
      <c r="D11" s="245">
        <f>13489+17700+891+891+46440+117866+27603.41</f>
        <v>224880.41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673760.7799999998</v>
      </c>
      <c r="D12" s="20">
        <f>'DOE25'!L197+'DOE25'!L215+'DOE25'!L233-F12-G12</f>
        <v>665523.51999999979</v>
      </c>
      <c r="E12" s="244"/>
      <c r="F12" s="256">
        <f>'DOE25'!J197+'DOE25'!J215+'DOE25'!J233</f>
        <v>985.56000000000006</v>
      </c>
      <c r="G12" s="53">
        <f>'DOE25'!K197+'DOE25'!K215+'DOE25'!K233</f>
        <v>7251.7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1310352.8399999999</v>
      </c>
      <c r="D14" s="20">
        <f>'DOE25'!L199+'DOE25'!L217+'DOE25'!L235-F14-G14</f>
        <v>1309789.9799999997</v>
      </c>
      <c r="E14" s="244"/>
      <c r="F14" s="256">
        <f>'DOE25'!J199+'DOE25'!J217+'DOE25'!J235</f>
        <v>562.86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401189.72</v>
      </c>
      <c r="D15" s="20">
        <f>'DOE25'!L200+'DOE25'!L218+'DOE25'!L236-F15-G15</f>
        <v>401189.72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976036</v>
      </c>
      <c r="D25" s="244"/>
      <c r="E25" s="244"/>
      <c r="F25" s="259"/>
      <c r="G25" s="257"/>
      <c r="H25" s="258">
        <f>'DOE25'!L252+'DOE25'!L253+'DOE25'!L333+'DOE25'!L334</f>
        <v>976036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285277.84999999998</v>
      </c>
      <c r="D29" s="20">
        <f>'DOE25'!L350+'DOE25'!L351+'DOE25'!L352-'DOE25'!I359-F29-G29</f>
        <v>285277.84999999998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477257.99</v>
      </c>
      <c r="D31" s="20">
        <f>'DOE25'!L282+'DOE25'!L301+'DOE25'!L320+'DOE25'!L325+'DOE25'!L326+'DOE25'!L327-F31-G31</f>
        <v>477257.99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12171172.41</v>
      </c>
      <c r="E33" s="247">
        <f>SUM(E5:E31)</f>
        <v>215192.87000000002</v>
      </c>
      <c r="F33" s="247">
        <f>SUM(F5:F31)</f>
        <v>177324.21999999997</v>
      </c>
      <c r="G33" s="247">
        <f>SUM(G5:G31)</f>
        <v>38488</v>
      </c>
      <c r="H33" s="247">
        <f>SUM(H5:H31)</f>
        <v>976036</v>
      </c>
    </row>
    <row r="35" spans="2:8" ht="12" thickBot="1" x14ac:dyDescent="0.25">
      <c r="B35" s="254" t="s">
        <v>878</v>
      </c>
      <c r="D35" s="255">
        <f>E33</f>
        <v>215192.87000000002</v>
      </c>
      <c r="E35" s="250"/>
    </row>
    <row r="36" spans="2:8" ht="12" thickTop="1" x14ac:dyDescent="0.2">
      <c r="B36" t="s">
        <v>846</v>
      </c>
      <c r="D36" s="20">
        <f>D33</f>
        <v>12171172.41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6C7E-825C-4F07-AD54-52CA1A20225C}">
  <sheetPr transitionEvaluation="1" codeName="Sheet2">
    <tabColor indexed="10"/>
  </sheetPr>
  <dimension ref="A1:I156"/>
  <sheetViews>
    <sheetView zoomScale="75" workbookViewId="0">
      <pane ySplit="2" topLeftCell="A120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Moultonborough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1316975.92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1428419.7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5326.27</v>
      </c>
      <c r="E13" s="95">
        <f>'DOE25'!H13</f>
        <v>136081.17000000001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12730.94</v>
      </c>
      <c r="D14" s="95">
        <f>'DOE25'!G14</f>
        <v>9348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1329706.8599999999</v>
      </c>
      <c r="D19" s="41">
        <f>SUM(D9:D18)</f>
        <v>14674.27</v>
      </c>
      <c r="E19" s="41">
        <f>SUM(E9:E18)</f>
        <v>136081.17000000001</v>
      </c>
      <c r="F19" s="41">
        <f>SUM(F9:F18)</f>
        <v>0</v>
      </c>
      <c r="G19" s="41">
        <f>SUM(G9:G18)</f>
        <v>1428419.7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336919.42</v>
      </c>
      <c r="D22" s="95">
        <f>'DOE25'!G23</f>
        <v>11456.62</v>
      </c>
      <c r="E22" s="95">
        <f>'DOE25'!H23</f>
        <v>117572.09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1739.07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26640</v>
      </c>
      <c r="D30" s="95">
        <f>'DOE25'!G31</f>
        <v>0</v>
      </c>
      <c r="E30" s="95">
        <f>'DOE25'!H31</f>
        <v>18509.080000000002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365298.49</v>
      </c>
      <c r="D32" s="41">
        <f>SUM(D22:D31)</f>
        <v>11456.62</v>
      </c>
      <c r="E32" s="41">
        <f>SUM(E22:E31)</f>
        <v>136081.16999999998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525947.9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3217.65</v>
      </c>
      <c r="E40" s="95">
        <f>'DOE25'!H41</f>
        <v>0</v>
      </c>
      <c r="F40" s="95">
        <f>'DOE25'!I41</f>
        <v>0</v>
      </c>
      <c r="G40" s="95">
        <f>'DOE25'!J41</f>
        <v>1428419.7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388460.47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964408.37</v>
      </c>
      <c r="D42" s="41">
        <f>SUM(D34:D41)</f>
        <v>3217.65</v>
      </c>
      <c r="E42" s="41">
        <f>SUM(E34:E41)</f>
        <v>0</v>
      </c>
      <c r="F42" s="41">
        <f>SUM(F34:F41)</f>
        <v>0</v>
      </c>
      <c r="G42" s="41">
        <f>SUM(G34:G41)</f>
        <v>1428419.7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1329706.8599999999</v>
      </c>
      <c r="D43" s="41">
        <f>D42+D32</f>
        <v>14674.27</v>
      </c>
      <c r="E43" s="41">
        <f>E42+E32</f>
        <v>136081.16999999998</v>
      </c>
      <c r="F43" s="41">
        <f>F42+F32</f>
        <v>0</v>
      </c>
      <c r="G43" s="41">
        <f>G42+G32</f>
        <v>1428419.7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5955352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111903.76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956.03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11104.65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191179.92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2354.1600000000003</v>
      </c>
      <c r="D53" s="95">
        <f>SUM('DOE25'!G90:G102)</f>
        <v>0</v>
      </c>
      <c r="E53" s="95">
        <f>SUM('DOE25'!H90:H102)</f>
        <v>16777.43</v>
      </c>
      <c r="F53" s="95">
        <f>SUM('DOE25'!I90:I102)</f>
        <v>0</v>
      </c>
      <c r="G53" s="95">
        <f>SUM('DOE25'!J90:J102)</f>
        <v>1508741.15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115213.95</v>
      </c>
      <c r="D54" s="130">
        <f>SUM(D49:D53)</f>
        <v>191179.92</v>
      </c>
      <c r="E54" s="130">
        <f>SUM(E49:E53)</f>
        <v>16777.43</v>
      </c>
      <c r="F54" s="130">
        <f>SUM(F49:F53)</f>
        <v>0</v>
      </c>
      <c r="G54" s="130">
        <f>SUM(G49:G53)</f>
        <v>1519845.7999999998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6070565.9500000002</v>
      </c>
      <c r="D55" s="22">
        <f>D48+D54</f>
        <v>191179.92</v>
      </c>
      <c r="E55" s="22">
        <f>E48+E54</f>
        <v>16777.43</v>
      </c>
      <c r="F55" s="22">
        <f>F48+F54</f>
        <v>0</v>
      </c>
      <c r="G55" s="22">
        <f>G48+G54</f>
        <v>1519845.7999999998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6496384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6496384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234308.7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52003.1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3003.74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5700</v>
      </c>
      <c r="D69" s="95">
        <f>SUM('DOE25'!G123:G127)</f>
        <v>3028.26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295015.53999999998</v>
      </c>
      <c r="D70" s="130">
        <f>SUM(D64:D69)</f>
        <v>3028.26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6791399.54</v>
      </c>
      <c r="D73" s="130">
        <f>SUM(D71:D72)+D70+D62</f>
        <v>3028.26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140243.04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51555.89</v>
      </c>
      <c r="D80" s="95">
        <f>SUM('DOE25'!G145:G153)</f>
        <v>91619.33</v>
      </c>
      <c r="E80" s="95">
        <f>SUM('DOE25'!H145:H153)</f>
        <v>320237.52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51555.89</v>
      </c>
      <c r="D83" s="131">
        <f>SUM(D77:D82)</f>
        <v>91619.33</v>
      </c>
      <c r="E83" s="131">
        <f>SUM(E77:E82)</f>
        <v>460480.56000000006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52000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52000</v>
      </c>
    </row>
    <row r="96" spans="1:7" ht="12.75" thickTop="1" thickBot="1" x14ac:dyDescent="0.25">
      <c r="A96" s="33" t="s">
        <v>796</v>
      </c>
      <c r="C96" s="86">
        <f>C55+C73+C83+C95</f>
        <v>12913521.380000001</v>
      </c>
      <c r="D96" s="86">
        <f>D55+D73+D83+D95</f>
        <v>285827.51</v>
      </c>
      <c r="E96" s="86">
        <f>E55+E73+E83+E95</f>
        <v>477257.99000000005</v>
      </c>
      <c r="F96" s="86">
        <f>F55+F73+F83+F95</f>
        <v>0</v>
      </c>
      <c r="G96" s="86">
        <f>G55+G73+G95</f>
        <v>1571845.7999999998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5341339.9000000004</v>
      </c>
      <c r="D101" s="24" t="s">
        <v>312</v>
      </c>
      <c r="E101" s="95">
        <f>('DOE25'!L268)+('DOE25'!L287)+('DOE25'!L306)</f>
        <v>319431.82999999996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1877193.2999999998</v>
      </c>
      <c r="D102" s="24" t="s">
        <v>312</v>
      </c>
      <c r="E102" s="95">
        <f>('DOE25'!L269)+('DOE25'!L288)+('DOE25'!L307)</f>
        <v>157826.16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59016.78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322502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7600051.9800000004</v>
      </c>
      <c r="D107" s="86">
        <f>SUM(D101:D106)</f>
        <v>0</v>
      </c>
      <c r="E107" s="86">
        <f>SUM(E101:E106)</f>
        <v>477257.99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420918.14999999997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940724.18000000017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482944.01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673760.7799999998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1310352.8399999999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401189.72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285277.84999999998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4229889.68</v>
      </c>
      <c r="D120" s="86">
        <f>SUM(D110:D119)</f>
        <v>285277.84999999998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719276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256760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1571845.7999999998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-1519845.7999999998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1028036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12857977.66</v>
      </c>
      <c r="D137" s="86">
        <f>(D107+D120+D136)</f>
        <v>285277.84999999998</v>
      </c>
      <c r="E137" s="86">
        <f>(E107+E120+E136)</f>
        <v>477257.99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04/03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01/18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11362231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3.98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5992184.21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5992184.21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5272908.21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5272908.21</v>
      </c>
    </row>
    <row r="152" spans="1:7" x14ac:dyDescent="0.2">
      <c r="A152" s="22" t="s">
        <v>36</v>
      </c>
      <c r="B152" s="137">
        <f>'DOE25'!F489</f>
        <v>583308.43000000005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583308.43000000005</v>
      </c>
    </row>
    <row r="153" spans="1:7" x14ac:dyDescent="0.2">
      <c r="A153" s="22" t="s">
        <v>37</v>
      </c>
      <c r="B153" s="137">
        <f>'DOE25'!F490</f>
        <v>5856216.6399999997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5856216.6399999997</v>
      </c>
    </row>
    <row r="154" spans="1:7" x14ac:dyDescent="0.2">
      <c r="A154" s="22" t="s">
        <v>38</v>
      </c>
      <c r="B154" s="137">
        <f>'DOE25'!F491</f>
        <v>748190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748190</v>
      </c>
    </row>
    <row r="155" spans="1:7" x14ac:dyDescent="0.2">
      <c r="A155" s="22" t="s">
        <v>39</v>
      </c>
      <c r="B155" s="137">
        <f>'DOE25'!F492</f>
        <v>227848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227848</v>
      </c>
    </row>
    <row r="156" spans="1:7" x14ac:dyDescent="0.2">
      <c r="A156" s="22" t="s">
        <v>269</v>
      </c>
      <c r="B156" s="137">
        <f>'DOE25'!F493</f>
        <v>976038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976038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4E6B-C0C4-43E0-B634-831471A40083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Moultonborough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18459</v>
      </c>
    </row>
    <row r="5" spans="1:4" x14ac:dyDescent="0.2">
      <c r="B5" t="s">
        <v>735</v>
      </c>
      <c r="C5" s="179">
        <f>IF('DOE25'!G655+'DOE25'!G660=0,0,ROUND('DOE25'!G662,0))</f>
        <v>20822</v>
      </c>
    </row>
    <row r="6" spans="1:4" x14ac:dyDescent="0.2">
      <c r="B6" t="s">
        <v>62</v>
      </c>
      <c r="C6" s="179">
        <f>IF('DOE25'!H655+'DOE25'!H660=0,0,ROUND('DOE25'!H662,0))</f>
        <v>17946</v>
      </c>
    </row>
    <row r="7" spans="1:4" x14ac:dyDescent="0.2">
      <c r="B7" t="s">
        <v>736</v>
      </c>
      <c r="C7" s="179">
        <f>IF('DOE25'!I655+'DOE25'!I660=0,0,ROUND('DOE25'!I662,0))</f>
        <v>18639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5660772</v>
      </c>
      <c r="D10" s="182">
        <f>ROUND((C10/$C$28)*100,1)</f>
        <v>44.7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2035019</v>
      </c>
      <c r="D11" s="182">
        <f>ROUND((C11/$C$28)*100,1)</f>
        <v>16.100000000000001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59017</v>
      </c>
      <c r="D12" s="182">
        <f>ROUND((C12/$C$28)*100,1)</f>
        <v>0.5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322502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420918</v>
      </c>
      <c r="D15" s="182">
        <f t="shared" ref="D15:D27" si="0">ROUND((C15/$C$28)*100,1)</f>
        <v>3.3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940724</v>
      </c>
      <c r="D16" s="182">
        <f t="shared" si="0"/>
        <v>7.4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482944</v>
      </c>
      <c r="D17" s="182">
        <f t="shared" si="0"/>
        <v>3.8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673761</v>
      </c>
      <c r="D18" s="182">
        <f t="shared" si="0"/>
        <v>5.3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1310353</v>
      </c>
      <c r="D20" s="182">
        <f t="shared" si="0"/>
        <v>10.4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401190</v>
      </c>
      <c r="D21" s="182">
        <f t="shared" si="0"/>
        <v>3.2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256760</v>
      </c>
      <c r="D25" s="182">
        <f t="shared" si="0"/>
        <v>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94098.079999999987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12658058.08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12658058.08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719276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5955352</v>
      </c>
      <c r="D35" s="182">
        <f t="shared" ref="D35:D40" si="1">ROUND((C35/$C$41)*100,1)</f>
        <v>39.700000000000003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1651837.1799999997</v>
      </c>
      <c r="D36" s="182">
        <f t="shared" si="1"/>
        <v>11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6496384</v>
      </c>
      <c r="D37" s="182">
        <f t="shared" si="1"/>
        <v>43.3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298044</v>
      </c>
      <c r="D38" s="182">
        <f t="shared" si="1"/>
        <v>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603656</v>
      </c>
      <c r="D39" s="182">
        <f t="shared" si="1"/>
        <v>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15005273.18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ACC4-07A2-4FD9-BE8B-E47EAC34144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Moultonborough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2011-11-07T17:55:47Z</cp:lastPrinted>
  <dcterms:created xsi:type="dcterms:W3CDTF">1997-12-04T19:04:30Z</dcterms:created>
  <dcterms:modified xsi:type="dcterms:W3CDTF">2025-01-10T20:15:17Z</dcterms:modified>
</cp:coreProperties>
</file>