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0E50A3E0-CD4E-46A1-B688-2719611CE558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368FC635-3A23-4398-87EF-8599ED63500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2" l="1"/>
  <c r="B39" i="12"/>
  <c r="B40" i="12" s="1"/>
  <c r="C36" i="12"/>
  <c r="C39" i="12" s="1"/>
  <c r="C40" i="12" s="1"/>
  <c r="C27" i="12"/>
  <c r="C30" i="12" s="1"/>
  <c r="C31" i="12" s="1"/>
  <c r="C18" i="12"/>
  <c r="C21" i="12" s="1"/>
  <c r="C22" i="12" s="1"/>
  <c r="C9" i="12"/>
  <c r="C12" i="12"/>
  <c r="B27" i="12"/>
  <c r="B30" i="12"/>
  <c r="B31" i="12" s="1"/>
  <c r="B18" i="12"/>
  <c r="B21" i="12"/>
  <c r="B9" i="12"/>
  <c r="B12" i="12" s="1"/>
  <c r="B13" i="12" s="1"/>
  <c r="A13" i="12" s="1"/>
  <c r="B29" i="12"/>
  <c r="B20" i="12"/>
  <c r="B37" i="12"/>
  <c r="B28" i="12"/>
  <c r="B19" i="12"/>
  <c r="B10" i="12"/>
  <c r="G645" i="1"/>
  <c r="J581" i="1"/>
  <c r="J588" i="1" s="1"/>
  <c r="H641" i="1" s="1"/>
  <c r="I581" i="1"/>
  <c r="H581" i="1"/>
  <c r="H588" i="1" s="1"/>
  <c r="H639" i="1" s="1"/>
  <c r="H236" i="1"/>
  <c r="L236" i="1" s="1"/>
  <c r="H228" i="1"/>
  <c r="H239" i="1" s="1"/>
  <c r="H218" i="1"/>
  <c r="H210" i="1"/>
  <c r="F102" i="1"/>
  <c r="H55" i="1"/>
  <c r="F243" i="1"/>
  <c r="F2" i="11"/>
  <c r="B2" i="10"/>
  <c r="C37" i="10"/>
  <c r="C40" i="10"/>
  <c r="C42" i="10"/>
  <c r="A1" i="2"/>
  <c r="A2" i="2"/>
  <c r="C9" i="2"/>
  <c r="D9" i="2"/>
  <c r="E9" i="2"/>
  <c r="F9" i="2"/>
  <c r="C10" i="2"/>
  <c r="D10" i="2"/>
  <c r="E10" i="2"/>
  <c r="E19" i="2" s="1"/>
  <c r="F10" i="2"/>
  <c r="F19" i="2" s="1"/>
  <c r="C11" i="2"/>
  <c r="C12" i="2"/>
  <c r="D12" i="2"/>
  <c r="E12" i="2"/>
  <c r="F12" i="2"/>
  <c r="C13" i="2"/>
  <c r="D13" i="2"/>
  <c r="E13" i="2"/>
  <c r="F13" i="2"/>
  <c r="C14" i="2"/>
  <c r="D14" i="2"/>
  <c r="D19" i="2" s="1"/>
  <c r="E14" i="2"/>
  <c r="F14" i="2"/>
  <c r="F15" i="2"/>
  <c r="C16" i="2"/>
  <c r="D16" i="2"/>
  <c r="E16" i="2"/>
  <c r="F16" i="2"/>
  <c r="C17" i="2"/>
  <c r="D17" i="2"/>
  <c r="E17" i="2"/>
  <c r="F17" i="2"/>
  <c r="C18" i="2"/>
  <c r="C19" i="2" s="1"/>
  <c r="D18" i="2"/>
  <c r="E18" i="2"/>
  <c r="F18" i="2"/>
  <c r="C22" i="2"/>
  <c r="D22" i="2"/>
  <c r="E22" i="2"/>
  <c r="F22" i="2"/>
  <c r="C23" i="2"/>
  <c r="C32" i="2" s="1"/>
  <c r="D23" i="2"/>
  <c r="D32" i="2" s="1"/>
  <c r="E23" i="2"/>
  <c r="F23" i="2"/>
  <c r="F32" i="2" s="1"/>
  <c r="C24" i="2"/>
  <c r="D24" i="2"/>
  <c r="E24" i="2"/>
  <c r="E32" i="2" s="1"/>
  <c r="F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4" i="2"/>
  <c r="C42" i="2" s="1"/>
  <c r="C43" i="2" s="1"/>
  <c r="D34" i="2"/>
  <c r="D42" i="2" s="1"/>
  <c r="D43" i="2" s="1"/>
  <c r="E34" i="2"/>
  <c r="F34" i="2"/>
  <c r="F42" i="2" s="1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D40" i="2"/>
  <c r="E40" i="2"/>
  <c r="F40" i="2"/>
  <c r="C41" i="2"/>
  <c r="D41" i="2"/>
  <c r="E41" i="2"/>
  <c r="F41" i="2"/>
  <c r="E42" i="2"/>
  <c r="C51" i="2"/>
  <c r="D51" i="2"/>
  <c r="D54" i="2" s="1"/>
  <c r="D55" i="2" s="1"/>
  <c r="E51" i="2"/>
  <c r="F51" i="2"/>
  <c r="G51" i="2"/>
  <c r="D52" i="2"/>
  <c r="C53" i="2"/>
  <c r="D53" i="2"/>
  <c r="E53" i="2"/>
  <c r="F53" i="2"/>
  <c r="G53" i="2"/>
  <c r="F54" i="2"/>
  <c r="G54" i="2"/>
  <c r="C58" i="2"/>
  <c r="C59" i="2"/>
  <c r="C62" i="2" s="1"/>
  <c r="C60" i="2"/>
  <c r="C61" i="2"/>
  <c r="D61" i="2"/>
  <c r="D62" i="2" s="1"/>
  <c r="E61" i="2"/>
  <c r="F61" i="2"/>
  <c r="G61" i="2"/>
  <c r="E62" i="2"/>
  <c r="E73" i="2" s="1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D69" i="2"/>
  <c r="D70" i="2" s="1"/>
  <c r="E69" i="2"/>
  <c r="F69" i="2"/>
  <c r="G69" i="2"/>
  <c r="G70" i="2" s="1"/>
  <c r="G73" i="2" s="1"/>
  <c r="E70" i="2"/>
  <c r="C71" i="2"/>
  <c r="D71" i="2"/>
  <c r="E71" i="2"/>
  <c r="C72" i="2"/>
  <c r="E72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D95" i="2" s="1"/>
  <c r="E88" i="2"/>
  <c r="E95" i="2" s="1"/>
  <c r="F88" i="2"/>
  <c r="G88" i="2"/>
  <c r="G95" i="2" s="1"/>
  <c r="C89" i="2"/>
  <c r="D89" i="2"/>
  <c r="E89" i="2"/>
  <c r="F89" i="2"/>
  <c r="F95" i="2" s="1"/>
  <c r="G89" i="2"/>
  <c r="C90" i="2"/>
  <c r="D90" i="2"/>
  <c r="E90" i="2"/>
  <c r="G90" i="2"/>
  <c r="C91" i="2"/>
  <c r="C95" i="2" s="1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107" i="2"/>
  <c r="F107" i="2"/>
  <c r="G107" i="2"/>
  <c r="G137" i="2" s="1"/>
  <c r="F120" i="2"/>
  <c r="F137" i="2" s="1"/>
  <c r="G120" i="2"/>
  <c r="D126" i="2"/>
  <c r="F126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B2" i="13"/>
  <c r="F5" i="13"/>
  <c r="G5" i="13"/>
  <c r="D5" i="13" s="1"/>
  <c r="F6" i="13"/>
  <c r="F33" i="13" s="1"/>
  <c r="G6" i="13"/>
  <c r="F7" i="13"/>
  <c r="G7" i="13"/>
  <c r="F8" i="13"/>
  <c r="G8" i="13"/>
  <c r="C9" i="13"/>
  <c r="C10" i="13"/>
  <c r="C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9" i="13"/>
  <c r="G29" i="13"/>
  <c r="D39" i="13"/>
  <c r="B1" i="12"/>
  <c r="B4" i="12"/>
  <c r="C13" i="12"/>
  <c r="B22" i="12"/>
  <c r="A22" i="12" s="1"/>
  <c r="F19" i="1"/>
  <c r="G19" i="1"/>
  <c r="H19" i="1"/>
  <c r="G609" i="1" s="1"/>
  <c r="I19" i="1"/>
  <c r="G610" i="1" s="1"/>
  <c r="J610" i="1" s="1"/>
  <c r="F33" i="1"/>
  <c r="G33" i="1"/>
  <c r="H33" i="1"/>
  <c r="I33" i="1"/>
  <c r="F43" i="1"/>
  <c r="F44" i="1" s="1"/>
  <c r="H607" i="1" s="1"/>
  <c r="J607" i="1" s="1"/>
  <c r="G43" i="1"/>
  <c r="G44" i="1" s="1"/>
  <c r="H608" i="1" s="1"/>
  <c r="J608" i="1" s="1"/>
  <c r="H43" i="1"/>
  <c r="I43" i="1"/>
  <c r="H44" i="1"/>
  <c r="H609" i="1" s="1"/>
  <c r="I44" i="1"/>
  <c r="H610" i="1" s="1"/>
  <c r="F52" i="1"/>
  <c r="G52" i="1"/>
  <c r="D48" i="2"/>
  <c r="H52" i="1"/>
  <c r="E48" i="2" s="1"/>
  <c r="I52" i="1"/>
  <c r="F48" i="2" s="1"/>
  <c r="F55" i="2" s="1"/>
  <c r="J52" i="1"/>
  <c r="G48" i="2"/>
  <c r="G55" i="2"/>
  <c r="G96" i="2" s="1"/>
  <c r="F71" i="1"/>
  <c r="C49" i="2"/>
  <c r="C54" i="2" s="1"/>
  <c r="C55" i="2" s="1"/>
  <c r="H71" i="1"/>
  <c r="E49" i="2" s="1"/>
  <c r="E54" i="2" s="1"/>
  <c r="F86" i="1"/>
  <c r="C50" i="2" s="1"/>
  <c r="H86" i="1"/>
  <c r="E50" i="2"/>
  <c r="F103" i="1"/>
  <c r="F104" i="1" s="1"/>
  <c r="G103" i="1"/>
  <c r="G104" i="1" s="1"/>
  <c r="H103" i="1"/>
  <c r="I103" i="1"/>
  <c r="I104" i="1" s="1"/>
  <c r="J103" i="1"/>
  <c r="J104" i="1" s="1"/>
  <c r="J185" i="1" s="1"/>
  <c r="F113" i="1"/>
  <c r="F132" i="1" s="1"/>
  <c r="G113" i="1"/>
  <c r="H113" i="1"/>
  <c r="H132" i="1" s="1"/>
  <c r="I113" i="1"/>
  <c r="I132" i="1" s="1"/>
  <c r="J113" i="1"/>
  <c r="F128" i="1"/>
  <c r="G128" i="1"/>
  <c r="G132" i="1" s="1"/>
  <c r="H128" i="1"/>
  <c r="I128" i="1"/>
  <c r="J128" i="1"/>
  <c r="J132" i="1"/>
  <c r="F139" i="1"/>
  <c r="C77" i="2" s="1"/>
  <c r="C83" i="2" s="1"/>
  <c r="G139" i="1"/>
  <c r="D77" i="2"/>
  <c r="D83" i="2" s="1"/>
  <c r="H139" i="1"/>
  <c r="E77" i="2" s="1"/>
  <c r="E83" i="2" s="1"/>
  <c r="I139" i="1"/>
  <c r="F77" i="2" s="1"/>
  <c r="F83" i="2" s="1"/>
  <c r="F154" i="1"/>
  <c r="G154" i="1"/>
  <c r="H154" i="1"/>
  <c r="H161" i="1" s="1"/>
  <c r="I154" i="1"/>
  <c r="I161" i="1" s="1"/>
  <c r="G161" i="1"/>
  <c r="F169" i="1"/>
  <c r="I169" i="1"/>
  <c r="F175" i="1"/>
  <c r="F184" i="1" s="1"/>
  <c r="G175" i="1"/>
  <c r="G184" i="1" s="1"/>
  <c r="H175" i="1"/>
  <c r="H184" i="1" s="1"/>
  <c r="I175" i="1"/>
  <c r="J175" i="1"/>
  <c r="F180" i="1"/>
  <c r="G180" i="1"/>
  <c r="H180" i="1"/>
  <c r="I180" i="1"/>
  <c r="I184" i="1"/>
  <c r="J184" i="1"/>
  <c r="L189" i="1"/>
  <c r="L190" i="1"/>
  <c r="L191" i="1"/>
  <c r="L192" i="1"/>
  <c r="L194" i="1"/>
  <c r="L195" i="1"/>
  <c r="C111" i="2" s="1"/>
  <c r="L196" i="1"/>
  <c r="C17" i="10" s="1"/>
  <c r="L197" i="1"/>
  <c r="L198" i="1"/>
  <c r="C19" i="10" s="1"/>
  <c r="L199" i="1"/>
  <c r="C20" i="10" s="1"/>
  <c r="L200" i="1"/>
  <c r="L201" i="1"/>
  <c r="C117" i="2" s="1"/>
  <c r="F203" i="1"/>
  <c r="F249" i="1" s="1"/>
  <c r="F263" i="1" s="1"/>
  <c r="G203" i="1"/>
  <c r="H203" i="1"/>
  <c r="I203" i="1"/>
  <c r="J203" i="1"/>
  <c r="K203" i="1"/>
  <c r="K249" i="1" s="1"/>
  <c r="K263" i="1" s="1"/>
  <c r="L203" i="1"/>
  <c r="F650" i="1" s="1"/>
  <c r="L207" i="1"/>
  <c r="L208" i="1"/>
  <c r="L221" i="1" s="1"/>
  <c r="L209" i="1"/>
  <c r="C103" i="2" s="1"/>
  <c r="L210" i="1"/>
  <c r="C104" i="2" s="1"/>
  <c r="L212" i="1"/>
  <c r="C15" i="10" s="1"/>
  <c r="L213" i="1"/>
  <c r="L214" i="1"/>
  <c r="L215" i="1"/>
  <c r="L216" i="1"/>
  <c r="L217" i="1"/>
  <c r="L218" i="1"/>
  <c r="G640" i="1" s="1"/>
  <c r="J640" i="1" s="1"/>
  <c r="L219" i="1"/>
  <c r="F221" i="1"/>
  <c r="G221" i="1"/>
  <c r="G249" i="1" s="1"/>
  <c r="G263" i="1" s="1"/>
  <c r="H221" i="1"/>
  <c r="I221" i="1"/>
  <c r="J221" i="1"/>
  <c r="K221" i="1"/>
  <c r="L225" i="1"/>
  <c r="L226" i="1"/>
  <c r="L227" i="1"/>
  <c r="L228" i="1"/>
  <c r="L230" i="1"/>
  <c r="D6" i="13" s="1"/>
  <c r="C6" i="13" s="1"/>
  <c r="L231" i="1"/>
  <c r="L232" i="1"/>
  <c r="L233" i="1"/>
  <c r="D12" i="13" s="1"/>
  <c r="C12" i="13" s="1"/>
  <c r="L234" i="1"/>
  <c r="L235" i="1"/>
  <c r="L237" i="1"/>
  <c r="F239" i="1"/>
  <c r="G239" i="1"/>
  <c r="I239" i="1"/>
  <c r="J239" i="1"/>
  <c r="K239" i="1"/>
  <c r="L242" i="1"/>
  <c r="C105" i="2"/>
  <c r="L243" i="1"/>
  <c r="C106" i="2" s="1"/>
  <c r="L244" i="1"/>
  <c r="D18" i="13" s="1"/>
  <c r="C18" i="13" s="1"/>
  <c r="L245" i="1"/>
  <c r="D19" i="13" s="1"/>
  <c r="C19" i="13" s="1"/>
  <c r="L246" i="1"/>
  <c r="L247" i="1"/>
  <c r="F22" i="13" s="1"/>
  <c r="C22" i="13" s="1"/>
  <c r="F248" i="1"/>
  <c r="G248" i="1"/>
  <c r="L248" i="1" s="1"/>
  <c r="H248" i="1"/>
  <c r="I248" i="1"/>
  <c r="J248" i="1"/>
  <c r="K248" i="1"/>
  <c r="I249" i="1"/>
  <c r="I263" i="1" s="1"/>
  <c r="J249" i="1"/>
  <c r="J263" i="1" s="1"/>
  <c r="L252" i="1"/>
  <c r="C32" i="10" s="1"/>
  <c r="L253" i="1"/>
  <c r="C25" i="10" s="1"/>
  <c r="L255" i="1"/>
  <c r="C127" i="2" s="1"/>
  <c r="L256" i="1"/>
  <c r="C128" i="2"/>
  <c r="L257" i="1"/>
  <c r="C129" i="2" s="1"/>
  <c r="L258" i="1"/>
  <c r="L260" i="1"/>
  <c r="C26" i="10" s="1"/>
  <c r="L261" i="1"/>
  <c r="C135" i="2"/>
  <c r="F262" i="1"/>
  <c r="L262" i="1" s="1"/>
  <c r="G262" i="1"/>
  <c r="H262" i="1"/>
  <c r="I262" i="1"/>
  <c r="J262" i="1"/>
  <c r="K262" i="1"/>
  <c r="L268" i="1"/>
  <c r="L269" i="1"/>
  <c r="L270" i="1"/>
  <c r="L271" i="1"/>
  <c r="L273" i="1"/>
  <c r="L274" i="1"/>
  <c r="E111" i="2" s="1"/>
  <c r="L275" i="1"/>
  <c r="E112" i="2" s="1"/>
  <c r="L276" i="1"/>
  <c r="L277" i="1"/>
  <c r="L278" i="1"/>
  <c r="L279" i="1"/>
  <c r="E116" i="2" s="1"/>
  <c r="L280" i="1"/>
  <c r="E117" i="2" s="1"/>
  <c r="F282" i="1"/>
  <c r="G282" i="1"/>
  <c r="H282" i="1"/>
  <c r="I282" i="1"/>
  <c r="J282" i="1"/>
  <c r="K282" i="1"/>
  <c r="G31" i="13" s="1"/>
  <c r="L282" i="1"/>
  <c r="L287" i="1"/>
  <c r="L288" i="1"/>
  <c r="L301" i="1" s="1"/>
  <c r="L330" i="1" s="1"/>
  <c r="L344" i="1" s="1"/>
  <c r="G623" i="1" s="1"/>
  <c r="J623" i="1" s="1"/>
  <c r="L289" i="1"/>
  <c r="E103" i="2" s="1"/>
  <c r="L290" i="1"/>
  <c r="L292" i="1"/>
  <c r="L293" i="1"/>
  <c r="L294" i="1"/>
  <c r="L295" i="1"/>
  <c r="L296" i="1"/>
  <c r="L297" i="1"/>
  <c r="L298" i="1"/>
  <c r="L299" i="1"/>
  <c r="F301" i="1"/>
  <c r="G301" i="1"/>
  <c r="G330" i="1" s="1"/>
  <c r="G344" i="1" s="1"/>
  <c r="H301" i="1"/>
  <c r="H330" i="1" s="1"/>
  <c r="H344" i="1" s="1"/>
  <c r="I301" i="1"/>
  <c r="I330" i="1" s="1"/>
  <c r="I344" i="1" s="1"/>
  <c r="J301" i="1"/>
  <c r="F31" i="13" s="1"/>
  <c r="K301" i="1"/>
  <c r="L306" i="1"/>
  <c r="L307" i="1"/>
  <c r="L308" i="1"/>
  <c r="L309" i="1"/>
  <c r="L320" i="1" s="1"/>
  <c r="L311" i="1"/>
  <c r="E110" i="2" s="1"/>
  <c r="E120" i="2" s="1"/>
  <c r="L312" i="1"/>
  <c r="L313" i="1"/>
  <c r="L314" i="1"/>
  <c r="L315" i="1"/>
  <c r="L316" i="1"/>
  <c r="L317" i="1"/>
  <c r="L318" i="1"/>
  <c r="F320" i="1"/>
  <c r="G320" i="1"/>
  <c r="H320" i="1"/>
  <c r="I320" i="1"/>
  <c r="J320" i="1"/>
  <c r="K320" i="1"/>
  <c r="L324" i="1"/>
  <c r="C23" i="10"/>
  <c r="L325" i="1"/>
  <c r="E106" i="2" s="1"/>
  <c r="L326" i="1"/>
  <c r="L327" i="1"/>
  <c r="L328" i="1"/>
  <c r="E122" i="2"/>
  <c r="F329" i="1"/>
  <c r="L329" i="1" s="1"/>
  <c r="G329" i="1"/>
  <c r="H329" i="1"/>
  <c r="I329" i="1"/>
  <c r="J329" i="1"/>
  <c r="K329" i="1"/>
  <c r="K330" i="1"/>
  <c r="K344" i="1" s="1"/>
  <c r="L333" i="1"/>
  <c r="E123" i="2"/>
  <c r="L334" i="1"/>
  <c r="E124" i="2"/>
  <c r="L336" i="1"/>
  <c r="E126" i="2" s="1"/>
  <c r="E136" i="2" s="1"/>
  <c r="L337" i="1"/>
  <c r="E127" i="2"/>
  <c r="L338" i="1"/>
  <c r="E129" i="2"/>
  <c r="L339" i="1"/>
  <c r="L343" i="1" s="1"/>
  <c r="L341" i="1"/>
  <c r="E134" i="2" s="1"/>
  <c r="L342" i="1"/>
  <c r="E135" i="2"/>
  <c r="K343" i="1"/>
  <c r="L350" i="1"/>
  <c r="L351" i="1"/>
  <c r="G651" i="1" s="1"/>
  <c r="L352" i="1"/>
  <c r="H651" i="1" s="1"/>
  <c r="L353" i="1"/>
  <c r="F354" i="1"/>
  <c r="G354" i="1"/>
  <c r="H354" i="1"/>
  <c r="I354" i="1"/>
  <c r="J354" i="1"/>
  <c r="K354" i="1"/>
  <c r="L354" i="1"/>
  <c r="C27" i="10"/>
  <c r="I359" i="1"/>
  <c r="I360" i="1"/>
  <c r="I361" i="1" s="1"/>
  <c r="H624" i="1" s="1"/>
  <c r="F361" i="1"/>
  <c r="G361" i="1"/>
  <c r="H361" i="1"/>
  <c r="L366" i="1"/>
  <c r="L374" i="1" s="1"/>
  <c r="G626" i="1" s="1"/>
  <c r="J626" i="1" s="1"/>
  <c r="L367" i="1"/>
  <c r="L368" i="1"/>
  <c r="L369" i="1"/>
  <c r="L370" i="1"/>
  <c r="F122" i="2" s="1"/>
  <c r="F136" i="2" s="1"/>
  <c r="L371" i="1"/>
  <c r="L372" i="1"/>
  <c r="L373" i="1"/>
  <c r="F374" i="1"/>
  <c r="G374" i="1"/>
  <c r="H374" i="1"/>
  <c r="I374" i="1"/>
  <c r="J374" i="1"/>
  <c r="K374" i="1"/>
  <c r="L379" i="1"/>
  <c r="L380" i="1"/>
  <c r="L385" i="1" s="1"/>
  <c r="L381" i="1"/>
  <c r="L382" i="1"/>
  <c r="L383" i="1"/>
  <c r="L384" i="1"/>
  <c r="F385" i="1"/>
  <c r="F400" i="1" s="1"/>
  <c r="H633" i="1" s="1"/>
  <c r="G385" i="1"/>
  <c r="G400" i="1" s="1"/>
  <c r="H635" i="1" s="1"/>
  <c r="H385" i="1"/>
  <c r="H400" i="1" s="1"/>
  <c r="H634" i="1" s="1"/>
  <c r="J634" i="1" s="1"/>
  <c r="I385" i="1"/>
  <c r="L387" i="1"/>
  <c r="L388" i="1"/>
  <c r="L393" i="1" s="1"/>
  <c r="C131" i="2" s="1"/>
  <c r="L389" i="1"/>
  <c r="L390" i="1"/>
  <c r="L391" i="1"/>
  <c r="L392" i="1"/>
  <c r="F393" i="1"/>
  <c r="G393" i="1"/>
  <c r="H393" i="1"/>
  <c r="I393" i="1"/>
  <c r="L395" i="1"/>
  <c r="L396" i="1"/>
  <c r="L399" i="1" s="1"/>
  <c r="C132" i="2" s="1"/>
  <c r="L397" i="1"/>
  <c r="L398" i="1"/>
  <c r="F399" i="1"/>
  <c r="G399" i="1"/>
  <c r="H399" i="1"/>
  <c r="I399" i="1"/>
  <c r="I400" i="1"/>
  <c r="L405" i="1"/>
  <c r="L406" i="1"/>
  <c r="L411" i="1" s="1"/>
  <c r="L407" i="1"/>
  <c r="L408" i="1"/>
  <c r="L409" i="1"/>
  <c r="L410" i="1"/>
  <c r="F411" i="1"/>
  <c r="G411" i="1"/>
  <c r="H411" i="1"/>
  <c r="I411" i="1"/>
  <c r="J411" i="1"/>
  <c r="J426" i="1" s="1"/>
  <c r="K411" i="1"/>
  <c r="K426" i="1" s="1"/>
  <c r="G126" i="2" s="1"/>
  <c r="G136" i="2" s="1"/>
  <c r="L413" i="1"/>
  <c r="L414" i="1"/>
  <c r="L419" i="1" s="1"/>
  <c r="L415" i="1"/>
  <c r="L416" i="1"/>
  <c r="L417" i="1"/>
  <c r="L418" i="1"/>
  <c r="F419" i="1"/>
  <c r="G419" i="1"/>
  <c r="H419" i="1"/>
  <c r="I419" i="1"/>
  <c r="I426" i="1" s="1"/>
  <c r="J419" i="1"/>
  <c r="K419" i="1"/>
  <c r="L421" i="1"/>
  <c r="L425" i="1" s="1"/>
  <c r="L422" i="1"/>
  <c r="L423" i="1"/>
  <c r="L424" i="1"/>
  <c r="F425" i="1"/>
  <c r="G425" i="1"/>
  <c r="H425" i="1"/>
  <c r="I425" i="1"/>
  <c r="J425" i="1"/>
  <c r="K425" i="1"/>
  <c r="F426" i="1"/>
  <c r="G426" i="1"/>
  <c r="H426" i="1"/>
  <c r="I431" i="1"/>
  <c r="J9" i="1" s="1"/>
  <c r="I432" i="1"/>
  <c r="J10" i="1"/>
  <c r="G10" i="2"/>
  <c r="I433" i="1"/>
  <c r="J12" i="1" s="1"/>
  <c r="G12" i="2" s="1"/>
  <c r="I434" i="1"/>
  <c r="J13" i="1" s="1"/>
  <c r="G13" i="2" s="1"/>
  <c r="I435" i="1"/>
  <c r="J14" i="1"/>
  <c r="G14" i="2"/>
  <c r="I436" i="1"/>
  <c r="J17" i="1"/>
  <c r="G17" i="2"/>
  <c r="I437" i="1"/>
  <c r="J18" i="1" s="1"/>
  <c r="G18" i="2" s="1"/>
  <c r="F438" i="1"/>
  <c r="G438" i="1"/>
  <c r="H438" i="1"/>
  <c r="I440" i="1"/>
  <c r="J23" i="1"/>
  <c r="G22" i="2" s="1"/>
  <c r="I441" i="1"/>
  <c r="J24" i="1"/>
  <c r="I442" i="1"/>
  <c r="J25" i="1"/>
  <c r="G24" i="2" s="1"/>
  <c r="I443" i="1"/>
  <c r="J32" i="1" s="1"/>
  <c r="G31" i="2" s="1"/>
  <c r="F444" i="1"/>
  <c r="G444" i="1"/>
  <c r="H444" i="1"/>
  <c r="H451" i="1" s="1"/>
  <c r="H631" i="1" s="1"/>
  <c r="I444" i="1"/>
  <c r="I451" i="1" s="1"/>
  <c r="H632" i="1" s="1"/>
  <c r="I446" i="1"/>
  <c r="J37" i="1"/>
  <c r="I447" i="1"/>
  <c r="I450" i="1" s="1"/>
  <c r="J38" i="1"/>
  <c r="G37" i="2" s="1"/>
  <c r="I448" i="1"/>
  <c r="J40" i="1" s="1"/>
  <c r="I449" i="1"/>
  <c r="J41" i="1"/>
  <c r="F450" i="1"/>
  <c r="F451" i="1" s="1"/>
  <c r="H629" i="1" s="1"/>
  <c r="G450" i="1"/>
  <c r="G451" i="1" s="1"/>
  <c r="H630" i="1" s="1"/>
  <c r="J630" i="1" s="1"/>
  <c r="H450" i="1"/>
  <c r="F460" i="1"/>
  <c r="G460" i="1"/>
  <c r="H460" i="1"/>
  <c r="I460" i="1"/>
  <c r="J460" i="1"/>
  <c r="J466" i="1" s="1"/>
  <c r="H616" i="1" s="1"/>
  <c r="F464" i="1"/>
  <c r="F466" i="1" s="1"/>
  <c r="H612" i="1" s="1"/>
  <c r="G464" i="1"/>
  <c r="H464" i="1"/>
  <c r="H466" i="1" s="1"/>
  <c r="H614" i="1" s="1"/>
  <c r="I464" i="1"/>
  <c r="I466" i="1" s="1"/>
  <c r="H615" i="1" s="1"/>
  <c r="J615" i="1" s="1"/>
  <c r="J464" i="1"/>
  <c r="G466" i="1"/>
  <c r="K485" i="1"/>
  <c r="K486" i="1"/>
  <c r="K487" i="1"/>
  <c r="K488" i="1"/>
  <c r="K489" i="1"/>
  <c r="F490" i="1"/>
  <c r="K490" i="1" s="1"/>
  <c r="B153" i="2"/>
  <c r="G490" i="1"/>
  <c r="C153" i="2" s="1"/>
  <c r="G153" i="2" s="1"/>
  <c r="H490" i="1"/>
  <c r="D153" i="2"/>
  <c r="I490" i="1"/>
  <c r="E153" i="2"/>
  <c r="J490" i="1"/>
  <c r="F153" i="2"/>
  <c r="K491" i="1"/>
  <c r="K492" i="1"/>
  <c r="F493" i="1"/>
  <c r="K493" i="1" s="1"/>
  <c r="G493" i="1"/>
  <c r="C156" i="2" s="1"/>
  <c r="H493" i="1"/>
  <c r="D156" i="2" s="1"/>
  <c r="I493" i="1"/>
  <c r="E156" i="2"/>
  <c r="J493" i="1"/>
  <c r="F156" i="2" s="1"/>
  <c r="F507" i="1"/>
  <c r="G507" i="1"/>
  <c r="H507" i="1"/>
  <c r="I507" i="1"/>
  <c r="L511" i="1"/>
  <c r="L512" i="1"/>
  <c r="F540" i="1" s="1"/>
  <c r="L513" i="1"/>
  <c r="F514" i="1"/>
  <c r="G514" i="1"/>
  <c r="G535" i="1" s="1"/>
  <c r="H514" i="1"/>
  <c r="H535" i="1" s="1"/>
  <c r="I514" i="1"/>
  <c r="J514" i="1"/>
  <c r="J535" i="1" s="1"/>
  <c r="K514" i="1"/>
  <c r="K535" i="1" s="1"/>
  <c r="L514" i="1"/>
  <c r="L516" i="1"/>
  <c r="L519" i="1" s="1"/>
  <c r="L517" i="1"/>
  <c r="L518" i="1"/>
  <c r="F519" i="1"/>
  <c r="F535" i="1" s="1"/>
  <c r="G519" i="1"/>
  <c r="H519" i="1"/>
  <c r="I519" i="1"/>
  <c r="J519" i="1"/>
  <c r="K519" i="1"/>
  <c r="L521" i="1"/>
  <c r="H539" i="1" s="1"/>
  <c r="H542" i="1" s="1"/>
  <c r="L522" i="1"/>
  <c r="L523" i="1"/>
  <c r="H541" i="1" s="1"/>
  <c r="F524" i="1"/>
  <c r="G524" i="1"/>
  <c r="H524" i="1"/>
  <c r="I524" i="1"/>
  <c r="J524" i="1"/>
  <c r="K524" i="1"/>
  <c r="L524" i="1"/>
  <c r="L526" i="1"/>
  <c r="L529" i="1" s="1"/>
  <c r="L527" i="1"/>
  <c r="I540" i="1" s="1"/>
  <c r="L528" i="1"/>
  <c r="I541" i="1" s="1"/>
  <c r="F529" i="1"/>
  <c r="G529" i="1"/>
  <c r="H529" i="1"/>
  <c r="I529" i="1"/>
  <c r="J529" i="1"/>
  <c r="K529" i="1"/>
  <c r="L531" i="1"/>
  <c r="L534" i="1" s="1"/>
  <c r="L532" i="1"/>
  <c r="J540" i="1" s="1"/>
  <c r="L533" i="1"/>
  <c r="F534" i="1"/>
  <c r="G534" i="1"/>
  <c r="H534" i="1"/>
  <c r="I534" i="1"/>
  <c r="J534" i="1"/>
  <c r="K534" i="1"/>
  <c r="I535" i="1"/>
  <c r="F539" i="1"/>
  <c r="G539" i="1"/>
  <c r="I539" i="1"/>
  <c r="G540" i="1"/>
  <c r="H540" i="1"/>
  <c r="F541" i="1"/>
  <c r="G541" i="1"/>
  <c r="J541" i="1"/>
  <c r="G542" i="1"/>
  <c r="L547" i="1"/>
  <c r="L550" i="1" s="1"/>
  <c r="L548" i="1"/>
  <c r="L549" i="1"/>
  <c r="F550" i="1"/>
  <c r="G550" i="1"/>
  <c r="H550" i="1"/>
  <c r="I550" i="1"/>
  <c r="J550" i="1"/>
  <c r="J561" i="1" s="1"/>
  <c r="K550" i="1"/>
  <c r="K561" i="1" s="1"/>
  <c r="L552" i="1"/>
  <c r="L553" i="1"/>
  <c r="L554" i="1"/>
  <c r="F555" i="1"/>
  <c r="F561" i="1" s="1"/>
  <c r="G555" i="1"/>
  <c r="H555" i="1"/>
  <c r="I555" i="1"/>
  <c r="I561" i="1" s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I588" i="1"/>
  <c r="H640" i="1" s="1"/>
  <c r="K592" i="1"/>
  <c r="K593" i="1"/>
  <c r="K594" i="1"/>
  <c r="H595" i="1"/>
  <c r="I595" i="1"/>
  <c r="J595" i="1"/>
  <c r="K595" i="1"/>
  <c r="G638" i="1" s="1"/>
  <c r="L601" i="1"/>
  <c r="F653" i="1" s="1"/>
  <c r="I653" i="1" s="1"/>
  <c r="L602" i="1"/>
  <c r="L603" i="1"/>
  <c r="F604" i="1"/>
  <c r="G604" i="1"/>
  <c r="H604" i="1"/>
  <c r="I604" i="1"/>
  <c r="J604" i="1"/>
  <c r="K604" i="1"/>
  <c r="G607" i="1"/>
  <c r="G608" i="1"/>
  <c r="G613" i="1"/>
  <c r="H613" i="1"/>
  <c r="J613" i="1"/>
  <c r="G614" i="1"/>
  <c r="G615" i="1"/>
  <c r="H617" i="1"/>
  <c r="H618" i="1"/>
  <c r="H619" i="1"/>
  <c r="H620" i="1"/>
  <c r="H621" i="1"/>
  <c r="H622" i="1"/>
  <c r="H623" i="1"/>
  <c r="G624" i="1"/>
  <c r="J624" i="1" s="1"/>
  <c r="G625" i="1"/>
  <c r="J625" i="1" s="1"/>
  <c r="H625" i="1"/>
  <c r="H626" i="1"/>
  <c r="H627" i="1"/>
  <c r="H628" i="1"/>
  <c r="G629" i="1"/>
  <c r="J629" i="1" s="1"/>
  <c r="G630" i="1"/>
  <c r="G631" i="1"/>
  <c r="J631" i="1" s="1"/>
  <c r="G633" i="1"/>
  <c r="J633" i="1" s="1"/>
  <c r="G634" i="1"/>
  <c r="G635" i="1"/>
  <c r="J635" i="1" s="1"/>
  <c r="G639" i="1"/>
  <c r="J639" i="1" s="1"/>
  <c r="G642" i="1"/>
  <c r="H642" i="1"/>
  <c r="J642" i="1"/>
  <c r="G643" i="1"/>
  <c r="J643" i="1" s="1"/>
  <c r="H643" i="1"/>
  <c r="G644" i="1"/>
  <c r="J644" i="1" s="1"/>
  <c r="H644" i="1"/>
  <c r="H645" i="1"/>
  <c r="J645" i="1"/>
  <c r="F651" i="1"/>
  <c r="I651" i="1" s="1"/>
  <c r="G653" i="1"/>
  <c r="H653" i="1"/>
  <c r="I655" i="1"/>
  <c r="I659" i="1"/>
  <c r="I660" i="1"/>
  <c r="D17" i="13"/>
  <c r="C17" i="13"/>
  <c r="C123" i="2"/>
  <c r="H25" i="13"/>
  <c r="C124" i="2"/>
  <c r="C18" i="10"/>
  <c r="C16" i="10"/>
  <c r="C12" i="10"/>
  <c r="C11" i="10"/>
  <c r="C10" i="10"/>
  <c r="D14" i="13"/>
  <c r="C14" i="13" s="1"/>
  <c r="C115" i="2"/>
  <c r="E13" i="13"/>
  <c r="C13" i="13"/>
  <c r="C114" i="2"/>
  <c r="D7" i="13"/>
  <c r="C7" i="13"/>
  <c r="C101" i="2"/>
  <c r="C25" i="13"/>
  <c r="H33" i="13"/>
  <c r="D29" i="13"/>
  <c r="C29" i="13"/>
  <c r="E105" i="2"/>
  <c r="E114" i="2"/>
  <c r="E115" i="2"/>
  <c r="E113" i="2"/>
  <c r="E102" i="2"/>
  <c r="E101" i="2"/>
  <c r="C48" i="2"/>
  <c r="G40" i="2"/>
  <c r="G36" i="2"/>
  <c r="G23" i="2"/>
  <c r="C35" i="10"/>
  <c r="C134" i="2"/>
  <c r="C5" i="13" l="1"/>
  <c r="C36" i="10"/>
  <c r="C41" i="10" s="1"/>
  <c r="K541" i="1"/>
  <c r="J43" i="1"/>
  <c r="G39" i="2"/>
  <c r="G42" i="2" s="1"/>
  <c r="G43" i="2" s="1"/>
  <c r="L400" i="1"/>
  <c r="C130" i="2"/>
  <c r="C133" i="2" s="1"/>
  <c r="J609" i="1"/>
  <c r="D31" i="13"/>
  <c r="C31" i="13" s="1"/>
  <c r="I650" i="1"/>
  <c r="G650" i="1"/>
  <c r="G641" i="1"/>
  <c r="J641" i="1" s="1"/>
  <c r="H652" i="1"/>
  <c r="C116" i="2"/>
  <c r="H637" i="1"/>
  <c r="G32" i="2"/>
  <c r="G33" i="13"/>
  <c r="A31" i="12"/>
  <c r="I542" i="1"/>
  <c r="L239" i="1"/>
  <c r="H650" i="1" s="1"/>
  <c r="C96" i="2"/>
  <c r="K540" i="1"/>
  <c r="H249" i="1"/>
  <c r="H263" i="1" s="1"/>
  <c r="C38" i="10"/>
  <c r="E107" i="2"/>
  <c r="E137" i="2" s="1"/>
  <c r="G636" i="1"/>
  <c r="G621" i="1"/>
  <c r="J621" i="1" s="1"/>
  <c r="G9" i="2"/>
  <c r="G19" i="2" s="1"/>
  <c r="J19" i="1"/>
  <c r="G611" i="1" s="1"/>
  <c r="L426" i="1"/>
  <c r="G628" i="1" s="1"/>
  <c r="J628" i="1" s="1"/>
  <c r="I185" i="1"/>
  <c r="G620" i="1" s="1"/>
  <c r="J620" i="1" s="1"/>
  <c r="E43" i="2"/>
  <c r="L561" i="1"/>
  <c r="L535" i="1"/>
  <c r="F96" i="2"/>
  <c r="D73" i="2"/>
  <c r="D96" i="2" s="1"/>
  <c r="F43" i="2"/>
  <c r="A40" i="12"/>
  <c r="J614" i="1"/>
  <c r="C21" i="10"/>
  <c r="G185" i="1"/>
  <c r="G618" i="1" s="1"/>
  <c r="J618" i="1" s="1"/>
  <c r="E55" i="2"/>
  <c r="E96" i="2" s="1"/>
  <c r="C73" i="2"/>
  <c r="C112" i="2"/>
  <c r="G652" i="1"/>
  <c r="G612" i="1"/>
  <c r="J612" i="1" s="1"/>
  <c r="F542" i="1"/>
  <c r="I438" i="1"/>
  <c r="G632" i="1" s="1"/>
  <c r="J632" i="1" s="1"/>
  <c r="J330" i="1"/>
  <c r="J344" i="1" s="1"/>
  <c r="E8" i="13"/>
  <c r="D15" i="13"/>
  <c r="C15" i="13" s="1"/>
  <c r="F652" i="1"/>
  <c r="I652" i="1" s="1"/>
  <c r="L604" i="1"/>
  <c r="C29" i="10"/>
  <c r="D119" i="2"/>
  <c r="D120" i="2" s="1"/>
  <c r="D137" i="2" s="1"/>
  <c r="C102" i="2"/>
  <c r="C107" i="2" s="1"/>
  <c r="C113" i="2"/>
  <c r="J539" i="1"/>
  <c r="J542" i="1" s="1"/>
  <c r="E16" i="13"/>
  <c r="C16" i="13" s="1"/>
  <c r="C122" i="2"/>
  <c r="K581" i="1"/>
  <c r="K588" i="1" s="1"/>
  <c r="G637" i="1" s="1"/>
  <c r="J637" i="1" s="1"/>
  <c r="F330" i="1"/>
  <c r="F344" i="1" s="1"/>
  <c r="H104" i="1"/>
  <c r="H185" i="1" s="1"/>
  <c r="G619" i="1" s="1"/>
  <c r="J619" i="1" s="1"/>
  <c r="J33" i="1"/>
  <c r="B156" i="2"/>
  <c r="G156" i="2" s="1"/>
  <c r="E104" i="2"/>
  <c r="C110" i="2"/>
  <c r="F161" i="1"/>
  <c r="C39" i="10" s="1"/>
  <c r="C13" i="10"/>
  <c r="L249" i="1"/>
  <c r="L263" i="1" s="1"/>
  <c r="G622" i="1" s="1"/>
  <c r="J622" i="1" s="1"/>
  <c r="C24" i="10"/>
  <c r="D40" i="10" l="1"/>
  <c r="D37" i="10"/>
  <c r="D35" i="10"/>
  <c r="D24" i="10"/>
  <c r="H654" i="1"/>
  <c r="G654" i="1"/>
  <c r="D39" i="10"/>
  <c r="C120" i="2"/>
  <c r="D21" i="10"/>
  <c r="C8" i="13"/>
  <c r="E33" i="13"/>
  <c r="D35" i="13" s="1"/>
  <c r="C136" i="2"/>
  <c r="G616" i="1"/>
  <c r="J616" i="1" s="1"/>
  <c r="J44" i="1"/>
  <c r="H611" i="1" s="1"/>
  <c r="J611" i="1"/>
  <c r="G627" i="1"/>
  <c r="J627" i="1" s="1"/>
  <c r="H636" i="1"/>
  <c r="J636" i="1" s="1"/>
  <c r="H638" i="1"/>
  <c r="J638" i="1" s="1"/>
  <c r="F654" i="1"/>
  <c r="I654" i="1"/>
  <c r="D38" i="10"/>
  <c r="D33" i="13"/>
  <c r="D36" i="13" s="1"/>
  <c r="C28" i="10"/>
  <c r="F185" i="1"/>
  <c r="G617" i="1" s="1"/>
  <c r="J617" i="1" s="1"/>
  <c r="D36" i="10"/>
  <c r="C137" i="2"/>
  <c r="K539" i="1"/>
  <c r="K542" i="1" s="1"/>
  <c r="I657" i="1" l="1"/>
  <c r="I662" i="1"/>
  <c r="C7" i="10" s="1"/>
  <c r="F662" i="1"/>
  <c r="C4" i="10" s="1"/>
  <c r="F657" i="1"/>
  <c r="H646" i="1"/>
  <c r="G662" i="1"/>
  <c r="C5" i="10" s="1"/>
  <c r="G657" i="1"/>
  <c r="D41" i="10"/>
  <c r="H657" i="1"/>
  <c r="H662" i="1"/>
  <c r="C6" i="10" s="1"/>
  <c r="D23" i="10"/>
  <c r="D10" i="10"/>
  <c r="D12" i="10"/>
  <c r="D11" i="10"/>
  <c r="C30" i="10"/>
  <c r="D22" i="10"/>
  <c r="D16" i="10"/>
  <c r="D20" i="10"/>
  <c r="D19" i="10"/>
  <c r="D15" i="10"/>
  <c r="D25" i="10"/>
  <c r="D18" i="10"/>
  <c r="D27" i="10"/>
  <c r="D17" i="10"/>
  <c r="D26" i="10"/>
  <c r="D13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3550CCF-EC30-4F80-9163-E7F8B783C898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77089BF-A106-4C39-B242-541CF0ED7BA7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EFC5C39-456A-423C-8EE1-6D118B3F39A3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A5881B4-0D57-4D67-A0D1-B5993D925F48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B769A3BD-6656-4702-96A9-F2F802F97AFD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4952A63-D895-4B36-A097-16ED13D88913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BED219FF-C529-4DC2-ACA0-B9E2D52F6A19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588FEB5F-1C7E-48F5-9FA9-8314143D1C13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4A13D31F-45CE-45ED-9024-8043BE6668BD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581FFF37-C9F2-4C9C-A52D-8A085A3740D5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821B6D0C-E1BF-4E43-912B-69C8E1640B01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8B03C15-7DEB-44B3-B622-2CC560E37BD8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<sst xmlns="http://schemas.openxmlformats.org/spreadsheetml/2006/main" count="3865" uniqueCount="901">
  <si>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</si>
  <si>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</si>
  <si>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</si>
  <si>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</si>
  <si>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</si>
  <si>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</si>
  <si>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</si>
  <si>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</si>
  <si>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</si>
  <si>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</si>
  <si>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</si>
  <si>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</si>
  <si>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</si>
  <si>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</si>
  <si>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</si>
  <si>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</si>
  <si>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</si>
  <si>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</si>
  <si>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</si>
  <si>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</si>
  <si>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</si>
  <si>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</si>
  <si>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</si>
  <si>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</si>
  <si>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</si>
  <si>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</si>
  <si>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</si>
  <si>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</si>
  <si>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</si>
  <si>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</si>
  <si>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</si>
  <si>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</si>
  <si>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</si>
  <si>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</si>
  <si>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</si>
  <si>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</si>
  <si>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</si>
  <si>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</si>
  <si>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</si>
  <si>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</si>
  <si>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</si>
  <si>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</si>
  <si>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</si>
  <si>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</si>
  <si>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</si>
  <si>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</si>
  <si>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</si>
  <si>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</si>
  <si>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</si>
  <si>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</si>
  <si>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</si>
  <si>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</si>
  <si>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</si>
  <si>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</si>
  <si>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</si>
  <si>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</si>
  <si>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</si>
  <si>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</si>
  <si>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</si>
  <si>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</si>
  <si>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</si>
  <si>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</si>
  <si>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</si>
  <si>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</si>
  <si>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</si>
  <si>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</si>
  <si>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</si>
  <si>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</si>
  <si>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</si>
  <si>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</si>
  <si>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</si>
  <si>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</si>
  <si>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</si>
  <si>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</si>
  <si>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</si>
  <si>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</si>
  <si>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</si>
  <si>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</si>
  <si>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</si>
  <si>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</si>
  <si>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</si>
  <si>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</si>
  <si>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</si>
  <si>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</si>
  <si>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</si>
  <si>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</si>
  <si>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</si>
  <si>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</si>
  <si>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</si>
  <si>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</si>
  <si>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</si>
  <si>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</si>
  <si>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</si>
  <si>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</si>
  <si>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</si>
  <si>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</si>
  <si>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</si>
  <si>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</si>
  <si>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</si>
  <si>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</si>
  <si>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</si>
  <si>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</si>
  <si>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</si>
  <si>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</si>
  <si>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</si>
  <si>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</si>
  <si>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</si>
  <si>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</si>
  <si>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</si>
  <si>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</si>
  <si>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</si>
  <si>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</si>
  <si>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</si>
  <si>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</si>
  <si>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</si>
  <si>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</si>
  <si>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</si>
  <si>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</si>
  <si>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</si>
  <si>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</si>
  <si>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</si>
  <si>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</si>
  <si>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</si>
  <si>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</si>
  <si>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</si>
  <si>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</si>
  <si>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</si>
  <si>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</si>
  <si>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</si>
  <si>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</si>
  <si>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</si>
  <si>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</si>
  <si>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</si>
  <si>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</si>
  <si>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</si>
  <si>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</si>
  <si>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</si>
  <si>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</si>
  <si>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</si>
  <si>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</si>
  <si>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</si>
  <si>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</si>
  <si>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</si>
  <si>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</si>
  <si>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</si>
  <si>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</si>
  <si>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</si>
  <si>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</si>
  <si>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</si>
  <si>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</si>
  <si>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</si>
  <si>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</si>
  <si>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</si>
  <si>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</si>
  <si>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</si>
  <si>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</si>
  <si>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</si>
  <si>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</si>
  <si>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</si>
  <si>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</si>
  <si>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</si>
  <si>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</si>
  <si>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</si>
  <si>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</si>
  <si>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</si>
  <si>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</si>
  <si>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</si>
  <si>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</si>
  <si>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</si>
  <si>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</si>
  <si>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</si>
  <si>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</si>
  <si>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</si>
  <si>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</si>
  <si>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</si>
  <si>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</si>
  <si>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</si>
  <si>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</si>
  <si>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</si>
  <si>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</si>
  <si>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</si>
  <si>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</si>
  <si>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</si>
  <si>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</si>
  <si>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</si>
  <si>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</si>
  <si>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</si>
  <si>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</si>
  <si>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</si>
  <si>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</si>
  <si>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</si>
  <si>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</si>
  <si>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</si>
  <si>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</si>
  <si>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</si>
  <si>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</si>
  <si>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</si>
  <si>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</si>
  <si>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</si>
  <si>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</si>
  <si>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</si>
  <si>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</si>
  <si>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</si>
  <si>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</si>
  <si>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</si>
  <si>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</si>
  <si>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</si>
  <si>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</si>
  <si>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</si>
  <si>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</si>
  <si>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</si>
  <si>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</si>
  <si>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</si>
  <si>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</si>
  <si>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</si>
  <si>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</si>
  <si>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</si>
  <si>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</si>
  <si>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</si>
  <si>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</si>
  <si>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</si>
  <si>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</si>
  <si>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</si>
  <si>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</si>
  <si>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</si>
  <si>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</si>
  <si>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</si>
  <si>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</si>
  <si>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</si>
  <si>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</si>
  <si>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</si>
  <si>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</si>
  <si>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</si>
  <si>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</si>
  <si>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</si>
  <si>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</si>
  <si>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</si>
  <si>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</si>
  <si>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</si>
  <si>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</si>
  <si>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</si>
  <si>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</si>
  <si>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</si>
  <si>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</si>
  <si>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</si>
  <si>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</si>
  <si>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</si>
  <si>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</si>
  <si>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</si>
  <si>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</si>
  <si>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</si>
  <si>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</si>
  <si>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</si>
  <si>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</si>
  <si>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</si>
  <si>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</si>
  <si>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</si>
  <si>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</si>
  <si>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</si>
  <si>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</si>
  <si>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</si>
  <si>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</si>
  <si>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</si>
  <si>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</si>
  <si>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</si>
  <si>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</si>
  <si>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</si>
  <si>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</si>
  <si>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</si>
  <si>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</si>
  <si>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</si>
  <si>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</si>
  <si>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</si>
  <si>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</si>
  <si>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</si>
  <si>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</si>
  <si>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</si>
  <si>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</si>
  <si>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</si>
  <si>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</si>
  <si>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</si>
  <si>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</si>
  <si>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</si>
  <si>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</si>
  <si>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</si>
  <si>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</si>
  <si>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</si>
  <si>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</si>
  <si>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</si>
  <si>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</si>
  <si>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</si>
  <si>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</si>
  <si>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</si>
  <si>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</si>
  <si>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</si>
  <si>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</si>
  <si>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</si>
  <si>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</si>
  <si>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</si>
  <si>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</si>
  <si>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</si>
  <si>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</si>
  <si>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</si>
  <si>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</si>
  <si>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</si>
  <si>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</si>
  <si>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</si>
  <si>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</si>
  <si>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</si>
  <si>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</si>
  <si>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</si>
  <si>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</si>
  <si>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</si>
  <si>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</si>
  <si>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</si>
  <si>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</si>
  <si>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</si>
  <si>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</si>
  <si>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</si>
  <si>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</si>
  <si>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</si>
  <si>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</si>
  <si>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</si>
  <si>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</si>
  <si>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</si>
  <si>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</si>
  <si>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</si>
  <si>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</si>
  <si>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</si>
  <si>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</si>
  <si>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</si>
  <si>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</si>
  <si>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</si>
  <si>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</si>
  <si>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</si>
  <si>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</si>
  <si>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</si>
  <si>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</si>
  <si>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</si>
  <si>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</si>
  <si>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</si>
  <si>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</si>
  <si>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</si>
  <si>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</si>
  <si>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</si>
  <si>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</si>
  <si>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</si>
  <si>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</si>
  <si>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</si>
  <si>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</si>
  <si>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</si>
  <si>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</si>
  <si>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</si>
  <si>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</si>
  <si>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</si>
  <si>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</si>
  <si>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</si>
  <si>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</si>
  <si>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</si>
  <si>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</si>
  <si>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</si>
  <si>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</si>
  <si>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</si>
  <si>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</si>
  <si>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</si>
  <si>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</si>
  <si>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</si>
  <si>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</si>
  <si>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</si>
  <si>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</si>
  <si>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</si>
  <si>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</si>
  <si>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</si>
  <si>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</si>
  <si>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</si>
  <si>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</si>
  <si>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</si>
  <si>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</si>
  <si>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</si>
  <si>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</si>
  <si>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</si>
  <si>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</si>
  <si>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</si>
  <si>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</si>
  <si>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</si>
  <si>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</si>
  <si>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</si>
  <si>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</si>
  <si>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</si>
  <si>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</si>
  <si>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</si>
  <si>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</si>
  <si>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</si>
  <si>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</si>
  <si>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</si>
  <si>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</si>
  <si>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</si>
  <si>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</si>
  <si>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</si>
  <si>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</si>
  <si>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</si>
  <si>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</si>
  <si>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</si>
  <si>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</si>
  <si>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</si>
  <si>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</si>
  <si>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</si>
  <si>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</si>
  <si>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</si>
  <si>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</si>
  <si>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</si>
  <si>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</si>
  <si>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</si>
  <si>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</si>
  <si>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</si>
  <si>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</si>
  <si>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</si>
  <si>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</si>
  <si>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</si>
  <si>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</si>
  <si>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</si>
  <si>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</si>
  <si>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</si>
  <si>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</si>
  <si>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</si>
  <si>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</si>
  <si>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</si>
  <si>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</si>
  <si>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</si>
  <si>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</si>
  <si>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</si>
  <si>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</si>
  <si>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</si>
  <si>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</si>
  <si>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</si>
  <si>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</si>
  <si>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</si>
  <si>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</si>
  <si>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</si>
  <si>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</si>
  <si>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</si>
  <si>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</si>
  <si>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</si>
  <si>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</si>
  <si>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</si>
  <si>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</si>
  <si>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</si>
  <si>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</si>
  <si>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</si>
  <si>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</si>
  <si>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</si>
  <si>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</si>
  <si>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</si>
  <si>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</si>
  <si>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</si>
  <si>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</si>
  <si>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</si>
  <si>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</si>
  <si>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</si>
  <si>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</si>
  <si>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</si>
  <si>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</si>
  <si>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</si>
  <si>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</si>
  <si>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</si>
  <si>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</si>
  <si>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</si>
  <si>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</si>
  <si>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</si>
  <si>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</si>
  <si>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</si>
  <si>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</si>
  <si>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</si>
  <si>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</si>
  <si>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</si>
  <si>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</si>
  <si>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</si>
  <si>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</si>
  <si>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</si>
  <si>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</si>
  <si>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</si>
  <si>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</si>
  <si>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</si>
  <si>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</si>
  <si>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</si>
  <si>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</si>
  <si>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</si>
  <si>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</si>
  <si>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</si>
  <si>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</si>
  <si>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</si>
  <si>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</si>
  <si>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</si>
  <si>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</si>
  <si>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</si>
  <si>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</si>
  <si>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</si>
  <si>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</si>
  <si>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</si>
  <si>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</si>
  <si>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</si>
  <si>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</si>
  <si>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</si>
  <si>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</si>
  <si>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</si>
  <si>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</si>
  <si>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</si>
  <si>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</si>
  <si>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</si>
  <si>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</si>
  <si>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</si>
  <si>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</si>
  <si>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</si>
  <si>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</si>
  <si>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</si>
  <si>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</si>
  <si>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</si>
  <si>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</si>
  <si>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</si>
  <si>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</si>
  <si>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</si>
  <si>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</si>
  <si>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</si>
  <si>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</si>
  <si>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</si>
  <si>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</si>
  <si>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</si>
  <si>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</si>
  <si>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</si>
  <si>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</si>
  <si>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</si>
  <si>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</si>
  <si>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</si>
  <si>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</si>
  <si>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</si>
  <si>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</si>
  <si>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</si>
  <si>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</si>
  <si>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</si>
  <si>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</si>
  <si>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</si>
  <si>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</si>
  <si>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</si>
  <si>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</si>
  <si>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</si>
  <si>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</si>
  <si>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</si>
  <si>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</si>
  <si>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</si>
  <si>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</si>
  <si>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</si>
  <si>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</si>
  <si>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</si>
  <si>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</si>
  <si>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</si>
  <si>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</si>
  <si>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</si>
  <si>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</si>
  <si>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</si>
  <si>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</si>
  <si>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</si>
  <si>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</si>
  <si>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</si>
  <si>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</si>
  <si>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</si>
  <si>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</si>
  <si>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</si>
  <si>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</si>
  <si>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</si>
  <si>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</si>
  <si>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</si>
  <si>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</si>
  <si>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</si>
  <si>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</si>
  <si>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</si>
  <si>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</si>
  <si>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</si>
  <si>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</si>
  <si>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</si>
  <si>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</si>
  <si>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</si>
  <si>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</si>
  <si>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</si>
  <si>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</si>
  <si>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</si>
  <si>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</si>
  <si>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</si>
  <si>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</si>
  <si>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</si>
  <si>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</si>
  <si>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</si>
  <si>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</si>
  <si>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</si>
  <si>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</si>
  <si>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</si>
  <si>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</si>
  <si>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</si>
  <si>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</si>
  <si>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</si>
  <si>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</si>
  <si>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</si>
  <si>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</si>
  <si>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</si>
  <si>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</si>
  <si>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</si>
  <si>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</si>
  <si>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</si>
  <si>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</si>
  <si>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</si>
  <si>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</si>
  <si>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</si>
  <si>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</si>
  <si>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</si>
  <si>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</si>
  <si>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</si>
  <si>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</si>
  <si>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</si>
  <si>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</si>
  <si>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</si>
  <si>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</si>
  <si>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</si>
  <si>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</si>
  <si>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</si>
  <si>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</si>
  <si>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</si>
  <si>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</si>
  <si>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</si>
  <si>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</si>
  <si>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</si>
  <si>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</si>
  <si>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</si>
  <si>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</si>
  <si>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</si>
  <si>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</si>
  <si>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</si>
  <si>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</si>
  <si>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</si>
  <si>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</si>
  <si>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</si>
  <si>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</si>
  <si>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</si>
  <si>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</si>
  <si>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</si>
  <si>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</si>
  <si>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</si>
  <si>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</si>
  <si>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</si>
  <si>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</si>
  <si>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</si>
  <si>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</si>
  <si>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</si>
  <si>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</si>
  <si>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</si>
  <si>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</si>
  <si>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</si>
  <si>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</si>
  <si>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</si>
  <si>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</si>
  <si>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</si>
  <si>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</si>
  <si>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</si>
  <si>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</si>
  <si>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</si>
  <si>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</si>
  <si>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</si>
  <si>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</si>
  <si>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</si>
  <si>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</si>
  <si>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</si>
  <si>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</si>
  <si>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</si>
  <si>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</si>
  <si>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</si>
  <si>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</si>
  <si>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</si>
  <si>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</si>
  <si>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</si>
  <si>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</si>
  <si>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</si>
  <si>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</si>
  <si>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</si>
  <si>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</si>
  <si>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</si>
  <si>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</si>
  <si>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</si>
  <si>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</si>
  <si>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</si>
  <si>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</si>
  <si>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</si>
  <si>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</si>
  <si>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</si>
  <si>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</si>
  <si>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</si>
  <si>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</si>
  <si>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</si>
  <si>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</si>
  <si>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</si>
  <si>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</si>
  <si>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</si>
  <si>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</si>
  <si>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</si>
  <si>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</si>
  <si>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</si>
  <si>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</si>
  <si>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</si>
  <si>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</si>
  <si>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</si>
  <si>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</si>
  <si>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</si>
  <si>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</si>
  <si>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</si>
  <si>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</si>
  <si>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</si>
  <si>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</si>
  <si>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</si>
  <si>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</si>
  <si>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</si>
  <si>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</si>
  <si>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</si>
  <si>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</si>
  <si>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</si>
  <si>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</si>
  <si>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</si>
  <si>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</si>
  <si>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</si>
  <si>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</si>
  <si>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</si>
  <si>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</si>
  <si>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</si>
  <si>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</si>
  <si>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</si>
  <si>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</si>
  <si>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</si>
  <si>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</si>
  <si>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</si>
  <si>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</si>
  <si>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</si>
  <si>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</si>
  <si>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</si>
  <si>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</si>
  <si>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</si>
  <si>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</si>
  <si>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</si>
  <si>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</si>
  <si>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</si>
  <si>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</si>
  <si>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</si>
  <si>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</si>
  <si>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</si>
  <si>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</si>
  <si>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</si>
  <si>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</si>
  <si>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</si>
  <si>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</si>
  <si>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</si>
  <si>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</si>
  <si>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</si>
  <si>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</si>
  <si>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</si>
  <si>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</si>
  <si>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</si>
  <si>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</si>
  <si>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</si>
  <si>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</si>
  <si>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</si>
  <si>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</si>
  <si>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</si>
  <si>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</si>
  <si>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</si>
  <si>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</si>
  <si>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</si>
  <si>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</si>
  <si>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</si>
  <si>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</si>
  <si>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</si>
  <si>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</si>
  <si>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</si>
  <si>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</si>
  <si>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</si>
  <si>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</si>
  <si>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</si>
  <si>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</si>
  <si>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</si>
  <si>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</si>
  <si>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</si>
  <si>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</si>
  <si>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</si>
  <si>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</si>
  <si>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</si>
  <si>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</si>
  <si>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</si>
  <si>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</si>
  <si>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</si>
  <si>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</si>
  <si>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</si>
  <si>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</si>
  <si>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</si>
  <si>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</si>
  <si>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</si>
  <si>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</si>
  <si>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</si>
  <si>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</si>
  <si>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</si>
  <si>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</si>
  <si>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</si>
  <si>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</si>
  <si>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</si>
  <si>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</si>
  <si>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</si>
  <si>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</si>
  <si>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</si>
  <si>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</si>
  <si>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</si>
  <si>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</si>
  <si>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</si>
  <si>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</si>
  <si>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</si>
  <si>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</si>
  <si>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</si>
  <si>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</si>
  <si>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</si>
  <si>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</si>
  <si>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</si>
  <si>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</si>
  <si>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</si>
  <si>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</si>
  <si>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</si>
  <si>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</si>
  <si>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</si>
  <si>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</si>
  <si>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</si>
  <si>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</si>
  <si>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</si>
  <si>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</si>
  <si>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</si>
  <si>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</si>
  <si>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</si>
  <si>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</si>
  <si>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</si>
  <si>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</si>
  <si>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</si>
  <si>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</si>
  <si>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</si>
  <si>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</si>
  <si>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</si>
  <si>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</si>
  <si>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</si>
  <si>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</si>
  <si>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</si>
  <si>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</si>
  <si>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</si>
  <si>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</si>
  <si>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</si>
  <si>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</si>
  <si>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</si>
  <si>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</si>
  <si>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</si>
  <si>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</si>
  <si>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</si>
  <si>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</si>
  <si>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</si>
  <si>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</si>
  <si>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</si>
  <si>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</si>
  <si>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</si>
  <si>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</si>
  <si>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</si>
  <si>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</si>
  <si>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</si>
  <si>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</si>
  <si>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</si>
  <si>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</si>
  <si>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</si>
  <si>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</si>
  <si>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</si>
  <si>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</si>
  <si>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</si>
  <si>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</si>
  <si>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</si>
  <si>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</si>
  <si>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</si>
  <si>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</si>
  <si>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</si>
  <si>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</si>
  <si>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</si>
  <si>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</si>
  <si>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</si>
  <si>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</si>
  <si>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</si>
  <si>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</si>
  <si>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</si>
  <si>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</si>
  <si>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</si>
  <si>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</si>
  <si>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SCHOLARSHIPS</t>
  </si>
  <si>
    <t>***   SEE SUPPLEMENTAL SCHEDULE  ***</t>
  </si>
  <si>
    <t xml:space="preserve"> $142,935.32 variance State Voc Ed Revenue.  NSD changed accounting</t>
  </si>
  <si>
    <t xml:space="preserve">  practice from accrual to cash basis</t>
  </si>
  <si>
    <t xml:space="preserve"> $535.29 reclassfication to Food Serivce from Special Revenue/Grant Funds</t>
  </si>
  <si>
    <t>See 6/18/5</t>
  </si>
  <si>
    <t>Nashua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</si>
</sst>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F978-EA4E-42AF-BC4E-D1C33226FAC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371</v>
      </c>
      <c r="C2" s="21">
        <v>371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/>
      <c r="G9" s="18"/>
      <c r="H9" s="18"/>
      <c r="I9" s="18"/>
      <c r="J9" s="67">
        <f>SUM(I431)</f>
        <v>6256609.9500000002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4342688.9400000004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186633.73</v>
      </c>
      <c r="H12" s="18"/>
      <c r="I12" s="18">
        <v>2835169.98</v>
      </c>
      <c r="J12" s="67">
        <f>SUM(I433)</f>
        <v>41503.199999999997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220064.27</v>
      </c>
      <c r="H13" s="18">
        <v>3629878.42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>
        <v>66044.37</v>
      </c>
      <c r="I14" s="18"/>
      <c r="J14" s="67">
        <f>SUM(I435)</f>
        <v>1855.39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0</v>
      </c>
      <c r="G19" s="41">
        <f>SUM(G9:G18)</f>
        <v>406698</v>
      </c>
      <c r="H19" s="41">
        <f>SUM(H9:H18)</f>
        <v>3695922.79</v>
      </c>
      <c r="I19" s="41">
        <f>SUM(I9:I18)</f>
        <v>2835169.98</v>
      </c>
      <c r="J19" s="41">
        <f>SUM(J9:J18)</f>
        <v>10642657.48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1305625.3600000001</v>
      </c>
      <c r="I23" s="18">
        <v>18497.2</v>
      </c>
      <c r="J23" s="67">
        <f>SUM(I440)</f>
        <v>49710.25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>
        <v>41109.54</v>
      </c>
      <c r="H25" s="18">
        <v>187945.26</v>
      </c>
      <c r="I25" s="18">
        <v>671613.21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82373.78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>
        <v>419425.46</v>
      </c>
      <c r="I32" s="18">
        <v>325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41109.54</v>
      </c>
      <c r="H33" s="41">
        <f>SUM(H23:H32)</f>
        <v>1995369.86</v>
      </c>
      <c r="I33" s="41">
        <f>SUM(I23:I32)</f>
        <v>690435.40999999992</v>
      </c>
      <c r="J33" s="41">
        <f>SUM(J23:J32)</f>
        <v>49710.25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365588.46</v>
      </c>
      <c r="H41" s="18">
        <v>1700552.93</v>
      </c>
      <c r="I41" s="18">
        <v>2144734.5699999998</v>
      </c>
      <c r="J41" s="13">
        <f>SUM(I449)</f>
        <v>10592947.23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0</v>
      </c>
      <c r="G43" s="41">
        <f>SUM(G35:G42)</f>
        <v>365588.46</v>
      </c>
      <c r="H43" s="41">
        <f>SUM(H35:H42)</f>
        <v>1700552.93</v>
      </c>
      <c r="I43" s="41">
        <f>SUM(I35:I42)</f>
        <v>2144734.5699999998</v>
      </c>
      <c r="J43" s="41">
        <f>SUM(J35:J42)</f>
        <v>10592947.23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0</v>
      </c>
      <c r="G44" s="41">
        <f>G43+G33</f>
        <v>406698</v>
      </c>
      <c r="H44" s="41">
        <f>H43+H33</f>
        <v>3695922.79</v>
      </c>
      <c r="I44" s="41">
        <f>I43+I33</f>
        <v>2835169.9799999995</v>
      </c>
      <c r="J44" s="41">
        <f>J43+J33</f>
        <v>10642657.48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76202320.640000001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76202320.640000001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21602.09</v>
      </c>
      <c r="G55" s="24" t="s">
        <v>312</v>
      </c>
      <c r="H55" s="18">
        <f>490337.53-21602.09</f>
        <v>468735.44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45881.75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44350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83428.7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>
        <v>612778.74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>
        <v>44317.46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21602.09</v>
      </c>
      <c r="G71" s="45" t="s">
        <v>312</v>
      </c>
      <c r="H71" s="41">
        <f>SUM(H55:H70)</f>
        <v>1299492.0899999999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93548.5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93548.5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>
        <v>912.35</v>
      </c>
      <c r="H88" s="18"/>
      <c r="I88" s="18"/>
      <c r="J88" s="18">
        <v>668150.51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2317651.62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>
        <v>263630.74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>
        <v>119757.5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>
        <v>206439.21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4.1+43332</f>
        <v>43336.1</v>
      </c>
      <c r="G102" s="18">
        <v>11502.98</v>
      </c>
      <c r="H102" s="18">
        <v>32292.1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43336.1</v>
      </c>
      <c r="G103" s="41">
        <f>SUM(G88:G102)</f>
        <v>2330066.9500000002</v>
      </c>
      <c r="H103" s="41">
        <f>SUM(H88:H102)</f>
        <v>415680.33999999997</v>
      </c>
      <c r="I103" s="41">
        <f>SUM(I88:I102)</f>
        <v>0</v>
      </c>
      <c r="J103" s="41">
        <f>SUM(J88:J102)</f>
        <v>874589.72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76360807.329999998</v>
      </c>
      <c r="G104" s="41">
        <f>G52+G103</f>
        <v>2330066.9500000002</v>
      </c>
      <c r="H104" s="41">
        <f>H52+H71+H86+H103</f>
        <v>1715172.4299999997</v>
      </c>
      <c r="I104" s="41">
        <f>I52+I103</f>
        <v>0</v>
      </c>
      <c r="J104" s="41">
        <f>J52+J103</f>
        <v>874589.72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34738998.350000001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19531639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1259973.6499999999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55530611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2680078.91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424496.17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>
        <v>136299.93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>
        <v>3036.74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>
        <v>416823.03999999998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258736.96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39600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111725.58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3104575.08</v>
      </c>
      <c r="G128" s="41">
        <f>SUM(G115:G127)</f>
        <v>258736.96</v>
      </c>
      <c r="H128" s="41">
        <f>SUM(H115:H127)</f>
        <v>707485.28999999992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58635186.079999998</v>
      </c>
      <c r="G132" s="41">
        <f>G113+SUM(G128:G129)</f>
        <v>258736.96</v>
      </c>
      <c r="H132" s="41">
        <f>H113+SUM(H128:H131)</f>
        <v>707485.28999999992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579295.12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5120069.97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2056268.45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342186.49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2634965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4475650.46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1025331.7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1025331.7</v>
      </c>
      <c r="G154" s="41">
        <f>SUM(G142:G153)</f>
        <v>2634965</v>
      </c>
      <c r="H154" s="41">
        <f>SUM(H142:H153)</f>
        <v>12573470.49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1025331.7</v>
      </c>
      <c r="G161" s="41">
        <f>G139+G154+SUM(G155:G160)</f>
        <v>2634965</v>
      </c>
      <c r="H161" s="41">
        <f>H139+H154+SUM(H155:H160)</f>
        <v>12573470.49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615703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>
        <v>620800.47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1236503.47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652791.63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126825.34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126825.34</v>
      </c>
      <c r="G180" s="41">
        <f>SUM(G177:G179)</f>
        <v>0</v>
      </c>
      <c r="H180" s="41">
        <f>SUM(H177:H179)</f>
        <v>0</v>
      </c>
      <c r="I180" s="41">
        <f>SUM(I177:I179)</f>
        <v>652791.63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126825.34</v>
      </c>
      <c r="G184" s="41">
        <f>G175+SUM(G180:G183)</f>
        <v>0</v>
      </c>
      <c r="H184" s="41">
        <f>+H175+SUM(H180:H183)</f>
        <v>0</v>
      </c>
      <c r="I184" s="41">
        <f>I169+I175+SUM(I180:I183)</f>
        <v>652791.63</v>
      </c>
      <c r="J184" s="41">
        <f>J175</f>
        <v>1236503.47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136148150.44999999</v>
      </c>
      <c r="G185" s="47">
        <f>G104+G132+G161+G184</f>
        <v>5223768.91</v>
      </c>
      <c r="H185" s="47">
        <f>H104+H132+H161+H184</f>
        <v>14996128.210000001</v>
      </c>
      <c r="I185" s="47">
        <f>I104+I132+I161+I184</f>
        <v>652791.63</v>
      </c>
      <c r="J185" s="47">
        <f>J104+J132+J184</f>
        <v>2111093.19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16855635.809999999</v>
      </c>
      <c r="G189" s="18">
        <v>7042190.5899999999</v>
      </c>
      <c r="H189" s="18">
        <v>46547.08</v>
      </c>
      <c r="I189" s="18">
        <v>345144.71</v>
      </c>
      <c r="J189" s="18">
        <v>30844.51</v>
      </c>
      <c r="K189" s="18"/>
      <c r="L189" s="19">
        <f>SUM(F189:K189)</f>
        <v>24320362.699999999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6907613.2599999998</v>
      </c>
      <c r="G190" s="18">
        <v>2856681.61</v>
      </c>
      <c r="H190" s="18">
        <v>1020645.69</v>
      </c>
      <c r="I190" s="18">
        <v>26893.62</v>
      </c>
      <c r="J190" s="18"/>
      <c r="K190" s="18"/>
      <c r="L190" s="19">
        <f>SUM(F190:K190)</f>
        <v>10811834.179999998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74857.66</v>
      </c>
      <c r="G192" s="18">
        <v>6190.27</v>
      </c>
      <c r="H192" s="18"/>
      <c r="I192" s="18">
        <v>200</v>
      </c>
      <c r="J192" s="18"/>
      <c r="K192" s="18"/>
      <c r="L192" s="19">
        <f>SUM(F192:K192)</f>
        <v>81247.930000000008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2705331.86</v>
      </c>
      <c r="G194" s="18">
        <v>684246.32</v>
      </c>
      <c r="H194" s="18">
        <v>350905.39</v>
      </c>
      <c r="I194" s="18">
        <v>15675.03</v>
      </c>
      <c r="J194" s="18">
        <v>4064.63</v>
      </c>
      <c r="K194" s="18">
        <v>191.75</v>
      </c>
      <c r="L194" s="19">
        <f t="shared" ref="L194:L200" si="0">SUM(F194:K194)</f>
        <v>3760414.9799999995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1081420.3899999999</v>
      </c>
      <c r="G195" s="18">
        <v>292027.12</v>
      </c>
      <c r="H195" s="18">
        <v>94826.98</v>
      </c>
      <c r="I195" s="18">
        <v>311266.40999999997</v>
      </c>
      <c r="J195" s="18">
        <v>239927.64</v>
      </c>
      <c r="K195" s="18">
        <v>36.58</v>
      </c>
      <c r="L195" s="19">
        <f t="shared" si="0"/>
        <v>2019505.1199999996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815464.82</v>
      </c>
      <c r="G196" s="18">
        <v>35240.21</v>
      </c>
      <c r="H196" s="18">
        <v>101800.15</v>
      </c>
      <c r="I196" s="18">
        <v>9115.34</v>
      </c>
      <c r="J196" s="18"/>
      <c r="K196" s="18">
        <v>33989.9</v>
      </c>
      <c r="L196" s="19">
        <f t="shared" si="0"/>
        <v>995610.41999999993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2423861.59</v>
      </c>
      <c r="G197" s="18">
        <v>1061037.04</v>
      </c>
      <c r="H197" s="18">
        <v>2632.41</v>
      </c>
      <c r="I197" s="18">
        <v>15508.15</v>
      </c>
      <c r="J197" s="18"/>
      <c r="K197" s="18">
        <v>380</v>
      </c>
      <c r="L197" s="19">
        <f t="shared" si="0"/>
        <v>3503419.19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273366.11</v>
      </c>
      <c r="G198" s="18">
        <v>93898.08</v>
      </c>
      <c r="H198" s="18"/>
      <c r="I198" s="18"/>
      <c r="J198" s="18"/>
      <c r="K198" s="18"/>
      <c r="L198" s="19">
        <f t="shared" si="0"/>
        <v>367264.19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2199072.0299999998</v>
      </c>
      <c r="G199" s="18">
        <v>672920.09</v>
      </c>
      <c r="H199" s="18">
        <v>789718.06</v>
      </c>
      <c r="I199" s="18">
        <v>1394467.36</v>
      </c>
      <c r="J199" s="18">
        <v>45737.08</v>
      </c>
      <c r="K199" s="18"/>
      <c r="L199" s="19">
        <f t="shared" si="0"/>
        <v>5101914.62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37648.06</v>
      </c>
      <c r="G200" s="18">
        <v>16585.63</v>
      </c>
      <c r="H200" s="18">
        <v>1499648.52</v>
      </c>
      <c r="I200" s="18">
        <v>209.21</v>
      </c>
      <c r="J200" s="18"/>
      <c r="K200" s="18"/>
      <c r="L200" s="19">
        <f t="shared" si="0"/>
        <v>1554091.42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162525.76999999999</v>
      </c>
      <c r="G201" s="18">
        <v>21542.51</v>
      </c>
      <c r="H201" s="18">
        <v>4915.62</v>
      </c>
      <c r="I201" s="18"/>
      <c r="J201" s="18"/>
      <c r="K201" s="18"/>
      <c r="L201" s="19">
        <f>SUM(F201:K201)</f>
        <v>188983.9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33536797.359999999</v>
      </c>
      <c r="G203" s="41">
        <f t="shared" si="1"/>
        <v>12782559.470000001</v>
      </c>
      <c r="H203" s="41">
        <f t="shared" si="1"/>
        <v>3911639.9</v>
      </c>
      <c r="I203" s="41">
        <f t="shared" si="1"/>
        <v>2118479.83</v>
      </c>
      <c r="J203" s="41">
        <f t="shared" si="1"/>
        <v>320573.86000000004</v>
      </c>
      <c r="K203" s="41">
        <f t="shared" si="1"/>
        <v>34598.230000000003</v>
      </c>
      <c r="L203" s="41">
        <f t="shared" si="1"/>
        <v>52704648.649999984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9575162.5199999996</v>
      </c>
      <c r="G207" s="18">
        <v>3654770.8</v>
      </c>
      <c r="H207" s="18">
        <v>45815.59</v>
      </c>
      <c r="I207" s="18">
        <v>223295.71</v>
      </c>
      <c r="J207" s="18">
        <v>12877.88</v>
      </c>
      <c r="K207" s="18">
        <v>345</v>
      </c>
      <c r="L207" s="19">
        <f>SUM(F207:K207)</f>
        <v>13512267.500000002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2384826.8199999998</v>
      </c>
      <c r="G208" s="18">
        <v>861871.28</v>
      </c>
      <c r="H208" s="18">
        <v>900045.05</v>
      </c>
      <c r="I208" s="18">
        <v>9040.4599999999991</v>
      </c>
      <c r="J208" s="18">
        <v>579</v>
      </c>
      <c r="K208" s="18"/>
      <c r="L208" s="19">
        <f>SUM(F208:K208)</f>
        <v>4156362.6099999994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748166.59</v>
      </c>
      <c r="G209" s="18">
        <v>298295.27</v>
      </c>
      <c r="H209" s="18">
        <v>510.53</v>
      </c>
      <c r="I209" s="18">
        <v>51907.26</v>
      </c>
      <c r="J209" s="18">
        <v>4959.42</v>
      </c>
      <c r="K209" s="18">
        <v>410</v>
      </c>
      <c r="L209" s="19">
        <f>SUM(F209:K209)</f>
        <v>1104249.0699999998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58648.08</v>
      </c>
      <c r="G210" s="18">
        <v>23378.959999999999</v>
      </c>
      <c r="H210" s="18">
        <f>29678.14-14984.79</f>
        <v>14693.349999999999</v>
      </c>
      <c r="I210" s="18"/>
      <c r="J210" s="18"/>
      <c r="K210" s="18">
        <v>1170</v>
      </c>
      <c r="L210" s="19">
        <f>SUM(F210:K210)</f>
        <v>97890.390000000014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1690676.95</v>
      </c>
      <c r="G212" s="18">
        <v>432789.95</v>
      </c>
      <c r="H212" s="18">
        <v>185400.05</v>
      </c>
      <c r="I212" s="18">
        <v>7242.19</v>
      </c>
      <c r="J212" s="18">
        <v>2147.54</v>
      </c>
      <c r="K212" s="18">
        <v>101.31</v>
      </c>
      <c r="L212" s="19">
        <f t="shared" ref="L212:L218" si="2">SUM(F212:K212)</f>
        <v>2318357.9899999998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408870.26</v>
      </c>
      <c r="G213" s="18">
        <v>85076.13</v>
      </c>
      <c r="H213" s="18">
        <v>44546.15</v>
      </c>
      <c r="I213" s="18">
        <v>144374.87</v>
      </c>
      <c r="J213" s="18">
        <v>112708.99</v>
      </c>
      <c r="K213" s="18">
        <v>17.18</v>
      </c>
      <c r="L213" s="19">
        <f t="shared" si="2"/>
        <v>795593.58000000007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383385.23</v>
      </c>
      <c r="G214" s="18">
        <v>15958.72</v>
      </c>
      <c r="H214" s="18">
        <v>49566.77</v>
      </c>
      <c r="I214" s="18">
        <v>4282.05</v>
      </c>
      <c r="J214" s="18"/>
      <c r="K214" s="18">
        <v>15967.18</v>
      </c>
      <c r="L214" s="19">
        <f t="shared" si="2"/>
        <v>469159.94999999995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911942.5</v>
      </c>
      <c r="G215" s="18">
        <v>360599.25</v>
      </c>
      <c r="H215" s="18"/>
      <c r="I215" s="18">
        <v>6321.2</v>
      </c>
      <c r="J215" s="18"/>
      <c r="K215" s="18">
        <v>439</v>
      </c>
      <c r="L215" s="19">
        <f t="shared" si="2"/>
        <v>1279301.95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130121.86</v>
      </c>
      <c r="G216" s="18">
        <v>40834.35</v>
      </c>
      <c r="H216" s="18"/>
      <c r="I216" s="18"/>
      <c r="J216" s="18"/>
      <c r="K216" s="18"/>
      <c r="L216" s="19">
        <f t="shared" si="2"/>
        <v>170956.21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1104119.27</v>
      </c>
      <c r="G217" s="18">
        <v>315131.08</v>
      </c>
      <c r="H217" s="18">
        <v>455095.98</v>
      </c>
      <c r="I217" s="18">
        <v>774422.41</v>
      </c>
      <c r="J217" s="18">
        <v>21485.56</v>
      </c>
      <c r="K217" s="18"/>
      <c r="L217" s="19">
        <f t="shared" si="2"/>
        <v>2670254.3000000003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39862.639999999999</v>
      </c>
      <c r="G218" s="18">
        <v>15888.73</v>
      </c>
      <c r="H218" s="18">
        <f>1587863.13+14984.79</f>
        <v>1602847.92</v>
      </c>
      <c r="I218" s="18">
        <v>221.52</v>
      </c>
      <c r="J218" s="18"/>
      <c r="K218" s="18"/>
      <c r="L218" s="19">
        <f t="shared" si="2"/>
        <v>1658820.81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76707.009999999995</v>
      </c>
      <c r="G219" s="18">
        <v>9430.11</v>
      </c>
      <c r="H219" s="18">
        <v>2309.1799999999998</v>
      </c>
      <c r="I219" s="18"/>
      <c r="J219" s="18"/>
      <c r="K219" s="18"/>
      <c r="L219" s="19">
        <f>SUM(F219:K219)</f>
        <v>88446.299999999988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17512489.73</v>
      </c>
      <c r="G221" s="41">
        <f>SUM(G207:G220)</f>
        <v>6114024.6299999999</v>
      </c>
      <c r="H221" s="41">
        <f>SUM(H207:H220)</f>
        <v>3300830.57</v>
      </c>
      <c r="I221" s="41">
        <f>SUM(I207:I220)</f>
        <v>1221107.67</v>
      </c>
      <c r="J221" s="41">
        <f>SUM(J207:J220)</f>
        <v>154758.39000000001</v>
      </c>
      <c r="K221" s="41">
        <f t="shared" si="3"/>
        <v>18449.670000000002</v>
      </c>
      <c r="L221" s="41">
        <f t="shared" si="3"/>
        <v>28321660.66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11688563.640000001</v>
      </c>
      <c r="G225" s="18">
        <v>4605022.55</v>
      </c>
      <c r="H225" s="18">
        <v>361223.96</v>
      </c>
      <c r="I225" s="18">
        <v>216518.55</v>
      </c>
      <c r="J225" s="18">
        <v>26387.39</v>
      </c>
      <c r="K225" s="18">
        <v>1264</v>
      </c>
      <c r="L225" s="19">
        <f>SUM(F225:K225)</f>
        <v>16898980.090000004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2609307.41</v>
      </c>
      <c r="G226" s="18">
        <v>964595.18</v>
      </c>
      <c r="H226" s="18">
        <v>1670053.12</v>
      </c>
      <c r="I226" s="18">
        <v>7366.5</v>
      </c>
      <c r="J226" s="18"/>
      <c r="K226" s="18"/>
      <c r="L226" s="19">
        <f>SUM(F226:K226)</f>
        <v>5251322.2100000009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2256872.86</v>
      </c>
      <c r="G227" s="18">
        <v>937417.81</v>
      </c>
      <c r="H227" s="18">
        <v>21971.5</v>
      </c>
      <c r="I227" s="18">
        <v>151716.41</v>
      </c>
      <c r="J227" s="18">
        <v>13792.98</v>
      </c>
      <c r="K227" s="18">
        <v>1560</v>
      </c>
      <c r="L227" s="19">
        <f>SUM(F227:K227)</f>
        <v>3383331.56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387911.45</v>
      </c>
      <c r="G228" s="18">
        <v>161133.31</v>
      </c>
      <c r="H228" s="18">
        <f>141654.16-106717.2</f>
        <v>34936.960000000006</v>
      </c>
      <c r="I228" s="18">
        <v>11988.72</v>
      </c>
      <c r="J228" s="18"/>
      <c r="K228" s="18">
        <v>12740</v>
      </c>
      <c r="L228" s="19">
        <f>SUM(F228:K228)</f>
        <v>608710.43999999994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2687117.83</v>
      </c>
      <c r="G230" s="18">
        <v>792819.76</v>
      </c>
      <c r="H230" s="18">
        <v>237807.49</v>
      </c>
      <c r="I230" s="18">
        <v>5996.06</v>
      </c>
      <c r="J230" s="18">
        <v>2754.59</v>
      </c>
      <c r="K230" s="18">
        <v>129.94999999999999</v>
      </c>
      <c r="L230" s="19">
        <f t="shared" ref="L230:L236" si="4">SUM(F230:K230)</f>
        <v>3726625.68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614903.36</v>
      </c>
      <c r="G231" s="18">
        <v>135816.71</v>
      </c>
      <c r="H231" s="18">
        <v>66286.759999999995</v>
      </c>
      <c r="I231" s="18">
        <v>216255.78</v>
      </c>
      <c r="J231" s="18">
        <v>165565.62</v>
      </c>
      <c r="K231" s="18">
        <v>25.24</v>
      </c>
      <c r="L231" s="19">
        <f t="shared" si="4"/>
        <v>1198853.47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562927.69999999995</v>
      </c>
      <c r="G232" s="18">
        <v>23765.07</v>
      </c>
      <c r="H232" s="18">
        <v>70734.42</v>
      </c>
      <c r="I232" s="18">
        <v>6290.18</v>
      </c>
      <c r="J232" s="18"/>
      <c r="K232" s="18">
        <v>23455.25</v>
      </c>
      <c r="L232" s="19">
        <f t="shared" si="4"/>
        <v>687172.62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1213620.74</v>
      </c>
      <c r="G233" s="18">
        <v>499497.51</v>
      </c>
      <c r="H233" s="18"/>
      <c r="I233" s="18"/>
      <c r="J233" s="18"/>
      <c r="K233" s="18">
        <v>985</v>
      </c>
      <c r="L233" s="19">
        <f t="shared" si="4"/>
        <v>1714103.25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189761.11</v>
      </c>
      <c r="G234" s="18">
        <v>61757.86</v>
      </c>
      <c r="H234" s="18"/>
      <c r="I234" s="18"/>
      <c r="J234" s="18"/>
      <c r="K234" s="18"/>
      <c r="L234" s="19">
        <f t="shared" si="4"/>
        <v>251518.96999999997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2099476.0099999998</v>
      </c>
      <c r="G235" s="18">
        <v>680105.32</v>
      </c>
      <c r="H235" s="18">
        <v>577275.62</v>
      </c>
      <c r="I235" s="18">
        <v>1828614.52</v>
      </c>
      <c r="J235" s="18">
        <v>31561.55</v>
      </c>
      <c r="K235" s="18"/>
      <c r="L235" s="19">
        <f t="shared" si="4"/>
        <v>5217033.0199999996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33218.74</v>
      </c>
      <c r="G236" s="18">
        <v>13801.36</v>
      </c>
      <c r="H236" s="18">
        <f>1323219.25+106717.2</f>
        <v>1429936.45</v>
      </c>
      <c r="I236" s="18">
        <v>184.6</v>
      </c>
      <c r="J236" s="18"/>
      <c r="K236" s="18"/>
      <c r="L236" s="19">
        <f t="shared" si="4"/>
        <v>1477141.1500000001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112389.01</v>
      </c>
      <c r="G237" s="18">
        <v>14203.29</v>
      </c>
      <c r="H237" s="18">
        <v>3392.1</v>
      </c>
      <c r="I237" s="18"/>
      <c r="J237" s="18"/>
      <c r="K237" s="18"/>
      <c r="L237" s="19">
        <f>SUM(F237:K237)</f>
        <v>129984.4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24456069.859999992</v>
      </c>
      <c r="G239" s="41">
        <f t="shared" si="5"/>
        <v>8889935.7299999967</v>
      </c>
      <c r="H239" s="41">
        <f t="shared" si="5"/>
        <v>4473618.38</v>
      </c>
      <c r="I239" s="41">
        <f t="shared" si="5"/>
        <v>2444931.3199999998</v>
      </c>
      <c r="J239" s="41">
        <f t="shared" si="5"/>
        <v>240062.12999999998</v>
      </c>
      <c r="K239" s="41">
        <f t="shared" si="5"/>
        <v>40159.440000000002</v>
      </c>
      <c r="L239" s="41">
        <f t="shared" si="5"/>
        <v>40544776.859999999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f>123533.78-0.44</f>
        <v>123533.34</v>
      </c>
      <c r="G243" s="18">
        <v>3034.94</v>
      </c>
      <c r="H243" s="18"/>
      <c r="I243" s="18"/>
      <c r="J243" s="18"/>
      <c r="K243" s="18"/>
      <c r="L243" s="19">
        <f t="shared" si="6"/>
        <v>126568.28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105227</v>
      </c>
      <c r="I247" s="18"/>
      <c r="J247" s="18"/>
      <c r="K247" s="18"/>
      <c r="L247" s="19">
        <f t="shared" si="6"/>
        <v>105227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123533.34</v>
      </c>
      <c r="G248" s="41">
        <f t="shared" si="7"/>
        <v>3034.94</v>
      </c>
      <c r="H248" s="41">
        <f t="shared" si="7"/>
        <v>105227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231795.28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75628890.289999992</v>
      </c>
      <c r="G249" s="41">
        <f t="shared" si="8"/>
        <v>27789554.77</v>
      </c>
      <c r="H249" s="41">
        <f t="shared" si="8"/>
        <v>11791315.85</v>
      </c>
      <c r="I249" s="41">
        <f t="shared" si="8"/>
        <v>5784518.8200000003</v>
      </c>
      <c r="J249" s="41">
        <f t="shared" si="8"/>
        <v>715394.38</v>
      </c>
      <c r="K249" s="41">
        <f t="shared" si="8"/>
        <v>93207.340000000011</v>
      </c>
      <c r="L249" s="41">
        <f t="shared" si="8"/>
        <v>121802881.44999999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9530777</v>
      </c>
      <c r="L252" s="19">
        <f>SUM(F252:K252)</f>
        <v>9530777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4198789</v>
      </c>
      <c r="L253" s="19">
        <f>SUM(F253:K253)</f>
        <v>4198789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615703</v>
      </c>
      <c r="L258" s="19">
        <f t="shared" si="9"/>
        <v>615703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14345269</v>
      </c>
      <c r="L262" s="41">
        <f t="shared" si="9"/>
        <v>14345269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75628890.289999992</v>
      </c>
      <c r="G263" s="42">
        <f t="shared" si="11"/>
        <v>27789554.77</v>
      </c>
      <c r="H263" s="42">
        <f t="shared" si="11"/>
        <v>11791315.85</v>
      </c>
      <c r="I263" s="42">
        <f t="shared" si="11"/>
        <v>5784518.8200000003</v>
      </c>
      <c r="J263" s="42">
        <f t="shared" si="11"/>
        <v>715394.38</v>
      </c>
      <c r="K263" s="42">
        <f t="shared" si="11"/>
        <v>14438476.34</v>
      </c>
      <c r="L263" s="42">
        <f t="shared" si="11"/>
        <v>136148150.44999999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583712.68999999994</v>
      </c>
      <c r="G268" s="18">
        <v>124072.54</v>
      </c>
      <c r="H268" s="18"/>
      <c r="I268" s="18">
        <v>3760.18</v>
      </c>
      <c r="J268" s="18"/>
      <c r="K268" s="18"/>
      <c r="L268" s="19">
        <f>SUM(F268:K268)</f>
        <v>711545.41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4446833.9800000004</v>
      </c>
      <c r="G269" s="18">
        <v>945184.81</v>
      </c>
      <c r="H269" s="18">
        <v>988116.69</v>
      </c>
      <c r="I269" s="18">
        <v>199573.97</v>
      </c>
      <c r="J269" s="18">
        <v>232300.01</v>
      </c>
      <c r="K269" s="18"/>
      <c r="L269" s="19">
        <f>SUM(F269:K269)</f>
        <v>6812009.46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418085.74</v>
      </c>
      <c r="G271" s="18">
        <v>88863.57</v>
      </c>
      <c r="H271" s="18">
        <v>22011.26</v>
      </c>
      <c r="I271" s="18">
        <v>13923.2</v>
      </c>
      <c r="J271" s="18"/>
      <c r="K271" s="18"/>
      <c r="L271" s="19">
        <f>SUM(F271:K271)</f>
        <v>542883.7699999999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11720.43</v>
      </c>
      <c r="G273" s="18">
        <v>2491.29</v>
      </c>
      <c r="H273" s="18">
        <v>43248.62</v>
      </c>
      <c r="I273" s="18">
        <v>1314.76</v>
      </c>
      <c r="J273" s="18"/>
      <c r="K273" s="18"/>
      <c r="L273" s="19">
        <f t="shared" ref="L273:L279" si="12">SUM(F273:K273)</f>
        <v>58775.100000000006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371690.88</v>
      </c>
      <c r="G274" s="18">
        <v>79002.38</v>
      </c>
      <c r="H274" s="18">
        <v>194320.35</v>
      </c>
      <c r="I274" s="18">
        <v>36600</v>
      </c>
      <c r="J274" s="18">
        <v>19882.48</v>
      </c>
      <c r="K274" s="18"/>
      <c r="L274" s="19">
        <f t="shared" si="12"/>
        <v>701496.09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3807.2</v>
      </c>
      <c r="G275" s="18">
        <v>808.88</v>
      </c>
      <c r="H275" s="18">
        <v>1000</v>
      </c>
      <c r="I275" s="18"/>
      <c r="J275" s="18"/>
      <c r="K275" s="18"/>
      <c r="L275" s="19">
        <f t="shared" si="12"/>
        <v>5616.08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58294.400000000001</v>
      </c>
      <c r="G276" s="18">
        <v>12390.52</v>
      </c>
      <c r="H276" s="18"/>
      <c r="I276" s="18"/>
      <c r="J276" s="18"/>
      <c r="K276" s="18"/>
      <c r="L276" s="19">
        <f t="shared" si="12"/>
        <v>70684.92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166391.76</v>
      </c>
      <c r="L277" s="19">
        <f t="shared" si="12"/>
        <v>166391.76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17664</v>
      </c>
      <c r="G278" s="18">
        <v>3754.05</v>
      </c>
      <c r="H278" s="18"/>
      <c r="I278" s="18"/>
      <c r="J278" s="18"/>
      <c r="K278" s="18">
        <v>32824.449999999997</v>
      </c>
      <c r="L278" s="19">
        <f t="shared" si="12"/>
        <v>54242.5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10861.06</v>
      </c>
      <c r="I279" s="18"/>
      <c r="J279" s="18"/>
      <c r="K279" s="18"/>
      <c r="L279" s="19">
        <f t="shared" si="12"/>
        <v>10861.06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14261.79</v>
      </c>
      <c r="I280" s="18">
        <v>4924.38</v>
      </c>
      <c r="J280" s="18"/>
      <c r="K280" s="18"/>
      <c r="L280" s="19">
        <f>SUM(F280:K280)</f>
        <v>19186.170000000002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5911809.3200000003</v>
      </c>
      <c r="G282" s="42">
        <f t="shared" si="13"/>
        <v>1256568.0400000003</v>
      </c>
      <c r="H282" s="42">
        <f t="shared" si="13"/>
        <v>1273819.7700000003</v>
      </c>
      <c r="I282" s="42">
        <f t="shared" si="13"/>
        <v>260096.49000000002</v>
      </c>
      <c r="J282" s="42">
        <f t="shared" si="13"/>
        <v>252182.49000000002</v>
      </c>
      <c r="K282" s="42">
        <f t="shared" si="13"/>
        <v>199216.21000000002</v>
      </c>
      <c r="L282" s="41">
        <f t="shared" si="13"/>
        <v>9153692.3200000003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264</v>
      </c>
      <c r="G287" s="18">
        <v>78.510000000000005</v>
      </c>
      <c r="H287" s="18"/>
      <c r="I287" s="18"/>
      <c r="J287" s="18"/>
      <c r="K287" s="18"/>
      <c r="L287" s="19">
        <f>SUM(F287:K287)</f>
        <v>342.51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712384.89</v>
      </c>
      <c r="G288" s="18">
        <v>211729.22</v>
      </c>
      <c r="H288" s="18">
        <v>15894.29</v>
      </c>
      <c r="I288" s="18">
        <v>15689.85</v>
      </c>
      <c r="J288" s="18">
        <v>6234.09</v>
      </c>
      <c r="K288" s="18"/>
      <c r="L288" s="19">
        <f>SUM(F288:K288)</f>
        <v>961932.34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213894.72</v>
      </c>
      <c r="G290" s="18">
        <v>63571.86</v>
      </c>
      <c r="H290" s="18">
        <v>17113.95</v>
      </c>
      <c r="I290" s="18">
        <v>27742.48</v>
      </c>
      <c r="J290" s="18"/>
      <c r="K290" s="18"/>
      <c r="L290" s="19">
        <f>SUM(F290:K290)</f>
        <v>322323.01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5605.48</v>
      </c>
      <c r="G292" s="18">
        <v>1666.03</v>
      </c>
      <c r="H292" s="18">
        <v>20684.13</v>
      </c>
      <c r="I292" s="18">
        <v>628.79999999999995</v>
      </c>
      <c r="J292" s="18"/>
      <c r="K292" s="18"/>
      <c r="L292" s="19">
        <f t="shared" ref="L292:L298" si="14">SUM(F292:K292)</f>
        <v>28584.44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58288.1</v>
      </c>
      <c r="G293" s="18">
        <v>17324.45</v>
      </c>
      <c r="H293" s="18">
        <v>82901.48</v>
      </c>
      <c r="I293" s="18">
        <v>4180.79</v>
      </c>
      <c r="J293" s="18">
        <v>6493.77</v>
      </c>
      <c r="K293" s="18"/>
      <c r="L293" s="19">
        <f t="shared" si="14"/>
        <v>169188.59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1820.83</v>
      </c>
      <c r="G294" s="18">
        <v>541.28</v>
      </c>
      <c r="H294" s="18"/>
      <c r="I294" s="18"/>
      <c r="J294" s="18"/>
      <c r="K294" s="18"/>
      <c r="L294" s="19">
        <f t="shared" si="14"/>
        <v>2362.1099999999997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26010.13</v>
      </c>
      <c r="G295" s="18">
        <v>7730.38</v>
      </c>
      <c r="H295" s="18"/>
      <c r="I295" s="18"/>
      <c r="J295" s="18"/>
      <c r="K295" s="18"/>
      <c r="L295" s="19">
        <f t="shared" si="14"/>
        <v>33740.51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v>34912.25</v>
      </c>
      <c r="L296" s="19">
        <f t="shared" si="14"/>
        <v>34912.25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8448</v>
      </c>
      <c r="G297" s="18">
        <v>2510.9</v>
      </c>
      <c r="H297" s="18"/>
      <c r="I297" s="18"/>
      <c r="J297" s="18"/>
      <c r="K297" s="18">
        <v>15698.65</v>
      </c>
      <c r="L297" s="19">
        <f t="shared" si="14"/>
        <v>26657.55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11499.96</v>
      </c>
      <c r="I298" s="18"/>
      <c r="J298" s="18"/>
      <c r="K298" s="18"/>
      <c r="L298" s="19">
        <f t="shared" si="14"/>
        <v>11499.96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1026716.1499999999</v>
      </c>
      <c r="G301" s="42">
        <f t="shared" si="15"/>
        <v>305152.63000000012</v>
      </c>
      <c r="H301" s="42">
        <f t="shared" si="15"/>
        <v>148093.81</v>
      </c>
      <c r="I301" s="42">
        <f t="shared" si="15"/>
        <v>48241.920000000006</v>
      </c>
      <c r="J301" s="42">
        <f t="shared" si="15"/>
        <v>12727.86</v>
      </c>
      <c r="K301" s="42">
        <f t="shared" si="15"/>
        <v>50610.9</v>
      </c>
      <c r="L301" s="41">
        <f t="shared" si="15"/>
        <v>1591543.27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384</v>
      </c>
      <c r="G306" s="18">
        <v>100.46</v>
      </c>
      <c r="H306" s="18">
        <v>2485</v>
      </c>
      <c r="I306" s="18"/>
      <c r="J306" s="18"/>
      <c r="K306" s="18"/>
      <c r="L306" s="19">
        <f>SUM(F306:K306)</f>
        <v>2969.46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737698</v>
      </c>
      <c r="G307" s="18">
        <v>193360.2</v>
      </c>
      <c r="H307" s="18">
        <v>23118.95</v>
      </c>
      <c r="I307" s="18">
        <v>22821.56</v>
      </c>
      <c r="J307" s="18">
        <v>9067.74</v>
      </c>
      <c r="K307" s="18"/>
      <c r="L307" s="19">
        <f>SUM(F307:K307)</f>
        <v>986066.45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170681.93</v>
      </c>
      <c r="G308" s="18">
        <v>44738.62</v>
      </c>
      <c r="H308" s="18">
        <v>1200.99</v>
      </c>
      <c r="I308" s="18">
        <v>59029.88</v>
      </c>
      <c r="J308" s="18">
        <v>175199.63</v>
      </c>
      <c r="K308" s="18"/>
      <c r="L308" s="19">
        <f>SUM(F308:K308)</f>
        <v>450851.05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284264.21000000002</v>
      </c>
      <c r="G309" s="18">
        <v>74509.460000000006</v>
      </c>
      <c r="H309" s="18">
        <v>194132.63</v>
      </c>
      <c r="I309" s="18">
        <v>22252.59</v>
      </c>
      <c r="J309" s="18">
        <v>24887.57</v>
      </c>
      <c r="K309" s="18"/>
      <c r="L309" s="19">
        <f>SUM(F309:K309)</f>
        <v>600046.46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8153.16</v>
      </c>
      <c r="G311" s="18">
        <v>2137.2199999999998</v>
      </c>
      <c r="H311" s="18">
        <v>30085.97</v>
      </c>
      <c r="I311" s="18">
        <v>914.6</v>
      </c>
      <c r="J311" s="18"/>
      <c r="K311" s="18"/>
      <c r="L311" s="19">
        <f t="shared" ref="L311:L317" si="16">SUM(F311:K311)</f>
        <v>41290.949999999997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496847.08</v>
      </c>
      <c r="G312" s="18">
        <v>130230.54</v>
      </c>
      <c r="H312" s="18">
        <v>260626.34</v>
      </c>
      <c r="I312" s="18">
        <v>11161.36</v>
      </c>
      <c r="J312" s="18">
        <v>271.33999999999997</v>
      </c>
      <c r="K312" s="18">
        <v>10623.62</v>
      </c>
      <c r="L312" s="19">
        <f t="shared" si="16"/>
        <v>909760.27999999991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2648.48</v>
      </c>
      <c r="G313" s="18">
        <v>694.16</v>
      </c>
      <c r="H313" s="18"/>
      <c r="I313" s="18"/>
      <c r="J313" s="18"/>
      <c r="K313" s="18"/>
      <c r="L313" s="19">
        <f t="shared" si="16"/>
        <v>3342.64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v>53739.56</v>
      </c>
      <c r="L315" s="19">
        <f t="shared" si="16"/>
        <v>53739.56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12288</v>
      </c>
      <c r="G316" s="18">
        <v>3220.99</v>
      </c>
      <c r="H316" s="18"/>
      <c r="I316" s="18"/>
      <c r="J316" s="18"/>
      <c r="K316" s="18">
        <v>22834.400000000001</v>
      </c>
      <c r="L316" s="19">
        <f t="shared" si="16"/>
        <v>38343.39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9583.2800000000007</v>
      </c>
      <c r="I317" s="18"/>
      <c r="J317" s="18"/>
      <c r="K317" s="18"/>
      <c r="L317" s="19">
        <f t="shared" si="16"/>
        <v>9583.2800000000007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1712964.8599999999</v>
      </c>
      <c r="G320" s="42">
        <f t="shared" si="17"/>
        <v>448991.64999999991</v>
      </c>
      <c r="H320" s="42">
        <f t="shared" si="17"/>
        <v>521233.16000000003</v>
      </c>
      <c r="I320" s="42">
        <f t="shared" si="17"/>
        <v>116179.99</v>
      </c>
      <c r="J320" s="42">
        <f t="shared" si="17"/>
        <v>209426.28</v>
      </c>
      <c r="K320" s="42">
        <f t="shared" si="17"/>
        <v>87197.58</v>
      </c>
      <c r="L320" s="41">
        <f t="shared" si="17"/>
        <v>3095993.52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v>14277.67</v>
      </c>
      <c r="I324" s="18"/>
      <c r="J324" s="18">
        <v>2996.9</v>
      </c>
      <c r="K324" s="18"/>
      <c r="L324" s="19">
        <f t="shared" ref="L324:L329" si="18">SUM(F324:K324)</f>
        <v>17274.57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121928.83</v>
      </c>
      <c r="G325" s="18">
        <v>11026.33</v>
      </c>
      <c r="H325" s="18">
        <v>7209.42</v>
      </c>
      <c r="I325" s="18">
        <v>11979.22</v>
      </c>
      <c r="J325" s="18">
        <v>22976.03</v>
      </c>
      <c r="K325" s="18"/>
      <c r="L325" s="19">
        <f t="shared" si="18"/>
        <v>175119.83000000002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121928.83</v>
      </c>
      <c r="G329" s="41">
        <f t="shared" si="19"/>
        <v>11026.33</v>
      </c>
      <c r="H329" s="41">
        <f t="shared" si="19"/>
        <v>21487.09</v>
      </c>
      <c r="I329" s="41">
        <f t="shared" si="19"/>
        <v>11979.22</v>
      </c>
      <c r="J329" s="41">
        <f t="shared" si="19"/>
        <v>25972.93</v>
      </c>
      <c r="K329" s="41">
        <f t="shared" si="19"/>
        <v>0</v>
      </c>
      <c r="L329" s="41">
        <f t="shared" si="18"/>
        <v>192394.4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8773419.1600000001</v>
      </c>
      <c r="G330" s="41">
        <f t="shared" si="20"/>
        <v>2021738.6500000004</v>
      </c>
      <c r="H330" s="41">
        <f t="shared" si="20"/>
        <v>1964633.8300000003</v>
      </c>
      <c r="I330" s="41">
        <f t="shared" si="20"/>
        <v>436497.62</v>
      </c>
      <c r="J330" s="41">
        <f t="shared" si="20"/>
        <v>500309.56</v>
      </c>
      <c r="K330" s="41">
        <f t="shared" si="20"/>
        <v>337024.69</v>
      </c>
      <c r="L330" s="41">
        <f t="shared" si="20"/>
        <v>14033623.51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620800.47</v>
      </c>
      <c r="L339" s="19">
        <f t="shared" si="21"/>
        <v>620800.47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620800.47</v>
      </c>
      <c r="L343" s="41">
        <f>SUM(L333:L342)</f>
        <v>620800.47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8773419.1600000001</v>
      </c>
      <c r="G344" s="41">
        <f>G330</f>
        <v>2021738.6500000004</v>
      </c>
      <c r="H344" s="41">
        <f>H330</f>
        <v>1964633.8300000003</v>
      </c>
      <c r="I344" s="41">
        <f>I330</f>
        <v>436497.62</v>
      </c>
      <c r="J344" s="41">
        <f>J330</f>
        <v>500309.56</v>
      </c>
      <c r="K344" s="47">
        <f>K330+K343</f>
        <v>957825.15999999992</v>
      </c>
      <c r="L344" s="41">
        <f>L330+L343</f>
        <v>14654423.98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768821.1</v>
      </c>
      <c r="G350" s="18">
        <v>311339.8</v>
      </c>
      <c r="H350" s="18">
        <v>40807.32</v>
      </c>
      <c r="I350" s="18">
        <v>975099.8</v>
      </c>
      <c r="J350" s="18">
        <v>88706.82</v>
      </c>
      <c r="K350" s="18"/>
      <c r="L350" s="13">
        <f>SUM(F350:K350)</f>
        <v>2184774.84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480213.27</v>
      </c>
      <c r="G351" s="18">
        <v>128255.63</v>
      </c>
      <c r="H351" s="18">
        <v>19364.54</v>
      </c>
      <c r="I351" s="18">
        <v>590698.5</v>
      </c>
      <c r="J351" s="18">
        <v>65454.31</v>
      </c>
      <c r="K351" s="18"/>
      <c r="L351" s="19">
        <f>SUM(F351:K351)</f>
        <v>1283986.25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631905.61</v>
      </c>
      <c r="G352" s="18">
        <v>134039.87</v>
      </c>
      <c r="H352" s="18">
        <v>27233.23</v>
      </c>
      <c r="I352" s="18">
        <v>883299.72</v>
      </c>
      <c r="J352" s="18">
        <v>107381.73</v>
      </c>
      <c r="K352" s="18"/>
      <c r="L352" s="19">
        <f>SUM(F352:K352)</f>
        <v>1783860.16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1880939.98</v>
      </c>
      <c r="G354" s="47">
        <f t="shared" si="22"/>
        <v>573635.30000000005</v>
      </c>
      <c r="H354" s="47">
        <f t="shared" si="22"/>
        <v>87405.09</v>
      </c>
      <c r="I354" s="47">
        <f t="shared" si="22"/>
        <v>2449098.02</v>
      </c>
      <c r="J354" s="47">
        <f t="shared" si="22"/>
        <v>261542.86</v>
      </c>
      <c r="K354" s="47">
        <f t="shared" si="22"/>
        <v>0</v>
      </c>
      <c r="L354" s="47">
        <f t="shared" si="22"/>
        <v>5252621.25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882207.3</v>
      </c>
      <c r="G359" s="18">
        <v>534623.41</v>
      </c>
      <c r="H359" s="18">
        <v>796151.18</v>
      </c>
      <c r="I359" s="56">
        <f>SUM(F359:H359)</f>
        <v>2212981.89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92892.5</v>
      </c>
      <c r="G360" s="63">
        <v>56075.09</v>
      </c>
      <c r="H360" s="63">
        <v>87148.54</v>
      </c>
      <c r="I360" s="56">
        <f>SUM(F360:H360)</f>
        <v>236116.13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975099.8</v>
      </c>
      <c r="G361" s="47">
        <f>SUM(G359:G360)</f>
        <v>590698.5</v>
      </c>
      <c r="H361" s="47">
        <f>SUM(H359:H360)</f>
        <v>883299.72000000009</v>
      </c>
      <c r="I361" s="47">
        <f>SUM(I359:I360)</f>
        <v>2449098.02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>
        <v>84101.6</v>
      </c>
      <c r="L367" s="13">
        <f t="shared" ref="L367:L373" si="23">SUM(F367:K367)</f>
        <v>84101.6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>
        <v>951660.98</v>
      </c>
      <c r="L371" s="13">
        <f t="shared" si="23"/>
        <v>951660.98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1035762.58</v>
      </c>
      <c r="L374" s="47">
        <f t="shared" si="24"/>
        <v>1035762.58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11579.34</v>
      </c>
      <c r="I380" s="18"/>
      <c r="J380" s="24" t="s">
        <v>312</v>
      </c>
      <c r="K380" s="24" t="s">
        <v>312</v>
      </c>
      <c r="L380" s="56">
        <f t="shared" si="25"/>
        <v>11579.34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898.51</v>
      </c>
      <c r="I381" s="18"/>
      <c r="J381" s="24" t="s">
        <v>312</v>
      </c>
      <c r="K381" s="24" t="s">
        <v>312</v>
      </c>
      <c r="L381" s="56">
        <f t="shared" si="25"/>
        <v>898.51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>
        <v>179.88</v>
      </c>
      <c r="I383" s="18">
        <v>12228.43</v>
      </c>
      <c r="J383" s="24" t="s">
        <v>312</v>
      </c>
      <c r="K383" s="24" t="s">
        <v>312</v>
      </c>
      <c r="L383" s="56">
        <f t="shared" si="25"/>
        <v>12408.31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600000</v>
      </c>
      <c r="H384" s="18"/>
      <c r="I384" s="18"/>
      <c r="J384" s="24" t="s">
        <v>312</v>
      </c>
      <c r="K384" s="24" t="s">
        <v>312</v>
      </c>
      <c r="L384" s="56">
        <f t="shared" si="25"/>
        <v>600000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600000</v>
      </c>
      <c r="H385" s="139">
        <f>SUM(H379:H384)</f>
        <v>12657.73</v>
      </c>
      <c r="I385" s="65">
        <f>SUM(I379:I384)</f>
        <v>12228.43</v>
      </c>
      <c r="J385" s="45" t="s">
        <v>312</v>
      </c>
      <c r="K385" s="45" t="s">
        <v>312</v>
      </c>
      <c r="L385" s="47">
        <f>SUM(L379:L384)</f>
        <v>624886.16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77.64</v>
      </c>
      <c r="I388" s="18"/>
      <c r="J388" s="24" t="s">
        <v>312</v>
      </c>
      <c r="K388" s="24" t="s">
        <v>312</v>
      </c>
      <c r="L388" s="56">
        <f t="shared" si="26"/>
        <v>77.64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394.78</v>
      </c>
      <c r="I389" s="18"/>
      <c r="J389" s="24" t="s">
        <v>312</v>
      </c>
      <c r="K389" s="24" t="s">
        <v>312</v>
      </c>
      <c r="L389" s="56">
        <f t="shared" si="26"/>
        <v>394.78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0.01</v>
      </c>
      <c r="I391" s="18"/>
      <c r="J391" s="24" t="s">
        <v>312</v>
      </c>
      <c r="K391" s="24" t="s">
        <v>312</v>
      </c>
      <c r="L391" s="56">
        <f t="shared" si="26"/>
        <v>0.01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636503.47</v>
      </c>
      <c r="H392" s="18">
        <v>49316.3</v>
      </c>
      <c r="I392" s="18">
        <v>187665.64</v>
      </c>
      <c r="J392" s="24" t="s">
        <v>312</v>
      </c>
      <c r="K392" s="24" t="s">
        <v>312</v>
      </c>
      <c r="L392" s="56">
        <f t="shared" si="26"/>
        <v>873485.41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636503.47</v>
      </c>
      <c r="H393" s="47">
        <f>SUM(H387:H392)</f>
        <v>49788.73</v>
      </c>
      <c r="I393" s="47">
        <f>SUM(I387:I392)</f>
        <v>187665.64</v>
      </c>
      <c r="J393" s="45" t="s">
        <v>312</v>
      </c>
      <c r="K393" s="45" t="s">
        <v>312</v>
      </c>
      <c r="L393" s="47">
        <f>SUM(L387:L392)</f>
        <v>873957.84000000008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605704.05000000005</v>
      </c>
      <c r="I395" s="18">
        <v>6545.14</v>
      </c>
      <c r="J395" s="24" t="s">
        <v>312</v>
      </c>
      <c r="K395" s="24" t="s">
        <v>312</v>
      </c>
      <c r="L395" s="56">
        <f>SUM(F395:K395)</f>
        <v>612249.19000000006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605704.05000000005</v>
      </c>
      <c r="I399" s="47">
        <f>SUM(I395:I398)</f>
        <v>6545.14</v>
      </c>
      <c r="J399" s="49" t="s">
        <v>312</v>
      </c>
      <c r="K399" s="49" t="s">
        <v>312</v>
      </c>
      <c r="L399" s="47">
        <f>SUM(L395:L398)</f>
        <v>612249.19000000006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1236503.47</v>
      </c>
      <c r="H400" s="47">
        <f>H385+H393+H399</f>
        <v>668150.51</v>
      </c>
      <c r="I400" s="47">
        <f>I385+I393+I399</f>
        <v>206439.21000000002</v>
      </c>
      <c r="J400" s="24" t="s">
        <v>312</v>
      </c>
      <c r="K400" s="24" t="s">
        <v>312</v>
      </c>
      <c r="L400" s="47">
        <f>L385+L393+L399</f>
        <v>2111093.19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>
        <v>300000</v>
      </c>
      <c r="L406" s="56">
        <f t="shared" si="27"/>
        <v>300000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352791.63</v>
      </c>
      <c r="L407" s="56">
        <f t="shared" si="27"/>
        <v>352791.63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652791.63</v>
      </c>
      <c r="L411" s="47">
        <f t="shared" si="28"/>
        <v>652791.63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50027.02</v>
      </c>
      <c r="I418" s="18">
        <v>12100.18</v>
      </c>
      <c r="J418" s="18">
        <v>10136.5</v>
      </c>
      <c r="K418" s="18">
        <v>126825.34</v>
      </c>
      <c r="L418" s="56">
        <f t="shared" si="29"/>
        <v>199089.03999999998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50027.02</v>
      </c>
      <c r="I419" s="47">
        <f t="shared" si="30"/>
        <v>12100.18</v>
      </c>
      <c r="J419" s="47">
        <f t="shared" si="30"/>
        <v>10136.5</v>
      </c>
      <c r="K419" s="47">
        <f t="shared" si="30"/>
        <v>126825.34</v>
      </c>
      <c r="L419" s="47">
        <f t="shared" si="30"/>
        <v>199089.03999999998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114733.32</v>
      </c>
      <c r="I421" s="18"/>
      <c r="J421" s="18"/>
      <c r="K421" s="18"/>
      <c r="L421" s="56">
        <f>SUM(F421:K421)</f>
        <v>114733.32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114733.32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114733.32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164760.34</v>
      </c>
      <c r="I426" s="47">
        <f t="shared" si="32"/>
        <v>12100.18</v>
      </c>
      <c r="J426" s="47">
        <f t="shared" si="32"/>
        <v>10136.5</v>
      </c>
      <c r="K426" s="47">
        <f t="shared" si="32"/>
        <v>779616.97</v>
      </c>
      <c r="L426" s="47">
        <f t="shared" si="32"/>
        <v>966613.99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5027731.78</v>
      </c>
      <c r="G431" s="18">
        <v>1028147</v>
      </c>
      <c r="H431" s="18">
        <v>200731.17</v>
      </c>
      <c r="I431" s="56">
        <f t="shared" ref="I431:I437" si="33">SUM(F431:H431)</f>
        <v>6256609.9500000002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282663.7</v>
      </c>
      <c r="H432" s="18">
        <v>4060025.24</v>
      </c>
      <c r="I432" s="56">
        <f t="shared" si="33"/>
        <v>4342688.9400000004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33983.85</v>
      </c>
      <c r="H433" s="18">
        <v>7519.35</v>
      </c>
      <c r="I433" s="56">
        <f t="shared" si="33"/>
        <v>41503.199999999997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>
        <v>1855.39</v>
      </c>
      <c r="H435" s="18"/>
      <c r="I435" s="56">
        <f t="shared" si="33"/>
        <v>1855.39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5027731.78</v>
      </c>
      <c r="G438" s="13">
        <f>SUM(G431:G437)</f>
        <v>1346649.94</v>
      </c>
      <c r="H438" s="13">
        <f>SUM(H431:H437)</f>
        <v>4268275.76</v>
      </c>
      <c r="I438" s="13">
        <f>SUM(I431:I437)</f>
        <v>10642657.48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49020.1</v>
      </c>
      <c r="G440" s="18">
        <v>690.15</v>
      </c>
      <c r="H440" s="18"/>
      <c r="I440" s="56">
        <f>SUM(F440:H440)</f>
        <v>49710.25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49020.1</v>
      </c>
      <c r="G444" s="72">
        <f>SUM(G440:G443)</f>
        <v>690.15</v>
      </c>
      <c r="H444" s="72">
        <f>SUM(H440:H443)</f>
        <v>0</v>
      </c>
      <c r="I444" s="72">
        <f>SUM(I440:I443)</f>
        <v>49710.25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4978711.68</v>
      </c>
      <c r="G449" s="18">
        <v>1345959.79</v>
      </c>
      <c r="H449" s="18">
        <v>4268275.76</v>
      </c>
      <c r="I449" s="56">
        <f>SUM(F449:H449)</f>
        <v>10592947.23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4978711.68</v>
      </c>
      <c r="G450" s="83">
        <f>SUM(G446:G449)</f>
        <v>1345959.79</v>
      </c>
      <c r="H450" s="83">
        <f>SUM(H446:H449)</f>
        <v>4268275.76</v>
      </c>
      <c r="I450" s="83">
        <f>SUM(I446:I449)</f>
        <v>10592947.23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5027731.7799999993</v>
      </c>
      <c r="G451" s="42">
        <f>G444+G450</f>
        <v>1346649.94</v>
      </c>
      <c r="H451" s="42">
        <f>H444+H450</f>
        <v>4268275.76</v>
      </c>
      <c r="I451" s="42">
        <f>I444+I450</f>
        <v>10642657.48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/>
      <c r="G455" s="18">
        <v>393905.51</v>
      </c>
      <c r="H455" s="18">
        <v>1501784.02</v>
      </c>
      <c r="I455" s="18">
        <v>2527705.52</v>
      </c>
      <c r="J455" s="18">
        <v>9448468.0299999993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136148150.44999999</v>
      </c>
      <c r="G458" s="18">
        <v>5223768.91</v>
      </c>
      <c r="H458" s="18">
        <v>14996128.210000001</v>
      </c>
      <c r="I458" s="18">
        <v>652791.63</v>
      </c>
      <c r="J458" s="18">
        <v>2111093.19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535.29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136148150.44999999</v>
      </c>
      <c r="G460" s="53">
        <f>SUM(G458:G459)</f>
        <v>5224304.2</v>
      </c>
      <c r="H460" s="53">
        <f>SUM(H458:H459)</f>
        <v>14996128.210000001</v>
      </c>
      <c r="I460" s="53">
        <f>SUM(I458:I459)</f>
        <v>652791.63</v>
      </c>
      <c r="J460" s="53">
        <f>SUM(J458:J459)</f>
        <v>2111093.19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136148150.44999999</v>
      </c>
      <c r="G462" s="18">
        <v>5252621.25</v>
      </c>
      <c r="H462" s="18">
        <v>14654423.98</v>
      </c>
      <c r="I462" s="18">
        <v>1035762.58</v>
      </c>
      <c r="J462" s="18">
        <v>966613.99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>
        <v>142935.32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136148150.44999999</v>
      </c>
      <c r="G464" s="53">
        <f>SUM(G462:G463)</f>
        <v>5252621.25</v>
      </c>
      <c r="H464" s="53">
        <f>SUM(H462:H463)</f>
        <v>14797359.300000001</v>
      </c>
      <c r="I464" s="53">
        <f>SUM(I462:I463)</f>
        <v>1035762.58</v>
      </c>
      <c r="J464" s="53">
        <f>SUM(J462:J463)</f>
        <v>966613.99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0</v>
      </c>
      <c r="G466" s="53">
        <f>(G455+G460)- G464</f>
        <v>365588.45999999996</v>
      </c>
      <c r="H466" s="53">
        <f>(H455+H460)- H464</f>
        <v>1700552.9299999997</v>
      </c>
      <c r="I466" s="53">
        <f>(I455+I460)- I464</f>
        <v>2144734.5699999998</v>
      </c>
      <c r="J466" s="53">
        <f>(J455+J460)- J464</f>
        <v>10592947.229999999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898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896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897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895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100595771</v>
      </c>
      <c r="G485" s="18"/>
      <c r="H485" s="18"/>
      <c r="I485" s="18"/>
      <c r="J485" s="18"/>
      <c r="K485" s="53">
        <f>SUM(F485:J485)</f>
        <v>100595771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9530777</v>
      </c>
      <c r="G487" s="18"/>
      <c r="H487" s="18"/>
      <c r="I487" s="18"/>
      <c r="J487" s="18"/>
      <c r="K487" s="53">
        <f t="shared" si="34"/>
        <v>9530777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91064994</v>
      </c>
      <c r="G488" s="205"/>
      <c r="H488" s="205"/>
      <c r="I488" s="205"/>
      <c r="J488" s="205"/>
      <c r="K488" s="206">
        <f t="shared" si="34"/>
        <v>91064994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22010443</v>
      </c>
      <c r="G489" s="18"/>
      <c r="H489" s="18"/>
      <c r="I489" s="18"/>
      <c r="J489" s="18"/>
      <c r="K489" s="53">
        <f t="shared" si="34"/>
        <v>22010443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113075437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113075437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9313522</v>
      </c>
      <c r="G491" s="205"/>
      <c r="H491" s="205"/>
      <c r="I491" s="205"/>
      <c r="J491" s="205"/>
      <c r="K491" s="206">
        <f t="shared" si="34"/>
        <v>9313522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3804578</v>
      </c>
      <c r="G492" s="18"/>
      <c r="H492" s="18"/>
      <c r="I492" s="18"/>
      <c r="J492" s="18"/>
      <c r="K492" s="53">
        <f t="shared" si="34"/>
        <v>3804578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13118100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13118100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9896338.6999999993</v>
      </c>
      <c r="G497" s="144">
        <v>621668.77</v>
      </c>
      <c r="H497" s="144"/>
      <c r="I497" s="144">
        <v>10518007.470000001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7700318.5599999996</v>
      </c>
      <c r="G511" s="18">
        <v>2747473.67</v>
      </c>
      <c r="H511" s="18">
        <v>1034518.85</v>
      </c>
      <c r="I511" s="18">
        <v>57553.24</v>
      </c>
      <c r="J511" s="18">
        <v>12751.54</v>
      </c>
      <c r="K511" s="18"/>
      <c r="L511" s="88">
        <f>SUM(F511:K511)</f>
        <v>11552615.859999999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2698333.16</v>
      </c>
      <c r="G512" s="18">
        <v>928766.27</v>
      </c>
      <c r="H512" s="18">
        <v>907214.76</v>
      </c>
      <c r="I512" s="18">
        <v>17139.91</v>
      </c>
      <c r="J512" s="18">
        <v>7379.82</v>
      </c>
      <c r="K512" s="18"/>
      <c r="L512" s="88">
        <f>SUM(F512:K512)</f>
        <v>4558833.9200000009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2787222.26</v>
      </c>
      <c r="G513" s="18">
        <v>985283.07</v>
      </c>
      <c r="H513" s="18">
        <v>1677984.74</v>
      </c>
      <c r="I513" s="18">
        <v>21280.78</v>
      </c>
      <c r="J513" s="18">
        <v>8784.3799999999992</v>
      </c>
      <c r="K513" s="18"/>
      <c r="L513" s="88">
        <f>SUM(F513:K513)</f>
        <v>5480555.2299999995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13185873.979999999</v>
      </c>
      <c r="G514" s="108">
        <f t="shared" ref="G514:L514" si="35">SUM(G511:G513)</f>
        <v>4661523.01</v>
      </c>
      <c r="H514" s="108">
        <f t="shared" si="35"/>
        <v>3619718.3499999996</v>
      </c>
      <c r="I514" s="108">
        <f t="shared" si="35"/>
        <v>95973.93</v>
      </c>
      <c r="J514" s="108">
        <f t="shared" si="35"/>
        <v>28915.739999999998</v>
      </c>
      <c r="K514" s="108">
        <f t="shared" si="35"/>
        <v>0</v>
      </c>
      <c r="L514" s="89">
        <f t="shared" si="35"/>
        <v>21592005.010000002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1193395.3999999999</v>
      </c>
      <c r="G516" s="18">
        <v>425803.48</v>
      </c>
      <c r="H516" s="18">
        <v>375153.05</v>
      </c>
      <c r="I516" s="18">
        <v>6817.47</v>
      </c>
      <c r="J516" s="18">
        <v>4035.04</v>
      </c>
      <c r="K516" s="18">
        <v>190.35</v>
      </c>
      <c r="L516" s="88">
        <f>SUM(F516:K516)</f>
        <v>2005394.79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636477.44999999995</v>
      </c>
      <c r="G517" s="18">
        <v>219075.54</v>
      </c>
      <c r="H517" s="18">
        <v>198426.41</v>
      </c>
      <c r="I517" s="18">
        <v>2634.27</v>
      </c>
      <c r="J517" s="18">
        <v>2152.02</v>
      </c>
      <c r="K517" s="18">
        <v>101.52</v>
      </c>
      <c r="L517" s="88">
        <f>SUM(F517:K517)</f>
        <v>1058867.21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822116.79</v>
      </c>
      <c r="G518" s="18">
        <v>290618.28999999998</v>
      </c>
      <c r="H518" s="18">
        <v>254723.09</v>
      </c>
      <c r="I518" s="18">
        <v>3402.55</v>
      </c>
      <c r="J518" s="18">
        <v>2779.7</v>
      </c>
      <c r="K518" s="18">
        <v>131.13</v>
      </c>
      <c r="L518" s="88">
        <f>SUM(F518:K518)</f>
        <v>1373771.55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2651989.6399999997</v>
      </c>
      <c r="G519" s="89">
        <f t="shared" ref="G519:L519" si="36">SUM(G516:G518)</f>
        <v>935497.31</v>
      </c>
      <c r="H519" s="89">
        <f t="shared" si="36"/>
        <v>828302.54999999993</v>
      </c>
      <c r="I519" s="89">
        <f t="shared" si="36"/>
        <v>12854.29</v>
      </c>
      <c r="J519" s="89">
        <f t="shared" si="36"/>
        <v>8966.7599999999984</v>
      </c>
      <c r="K519" s="89">
        <f t="shared" si="36"/>
        <v>423</v>
      </c>
      <c r="L519" s="89">
        <f t="shared" si="36"/>
        <v>4438033.55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162338.35</v>
      </c>
      <c r="G521" s="18">
        <v>57175.56</v>
      </c>
      <c r="H521" s="18">
        <v>39853.33</v>
      </c>
      <c r="I521" s="18"/>
      <c r="J521" s="18"/>
      <c r="K521" s="18"/>
      <c r="L521" s="88">
        <f>SUM(F521:K521)</f>
        <v>259367.24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86580.34</v>
      </c>
      <c r="G522" s="18">
        <v>30493.599999999999</v>
      </c>
      <c r="H522" s="18">
        <v>21255.11</v>
      </c>
      <c r="I522" s="18"/>
      <c r="J522" s="18"/>
      <c r="K522" s="18"/>
      <c r="L522" s="88">
        <f>SUM(F522:K522)</f>
        <v>138329.04999999999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111833.3</v>
      </c>
      <c r="G523" s="18">
        <v>39387.69</v>
      </c>
      <c r="H523" s="18">
        <v>27454.52</v>
      </c>
      <c r="I523" s="18"/>
      <c r="J523" s="18"/>
      <c r="K523" s="18"/>
      <c r="L523" s="88">
        <f>SUM(F523:K523)</f>
        <v>178675.50999999998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360751.99</v>
      </c>
      <c r="G524" s="89">
        <f t="shared" ref="G524:L524" si="37">SUM(G521:G523)</f>
        <v>127056.85</v>
      </c>
      <c r="H524" s="89">
        <f t="shared" si="37"/>
        <v>88562.96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576371.79999999993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904859.07</v>
      </c>
      <c r="I531" s="18"/>
      <c r="J531" s="18"/>
      <c r="K531" s="18"/>
      <c r="L531" s="88">
        <f>SUM(F531:K531)</f>
        <v>904859.07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904859.07</v>
      </c>
      <c r="I532" s="18"/>
      <c r="J532" s="18"/>
      <c r="K532" s="18"/>
      <c r="L532" s="88">
        <f>SUM(F532:K532)</f>
        <v>904859.07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452429.54</v>
      </c>
      <c r="I533" s="18"/>
      <c r="J533" s="18"/>
      <c r="K533" s="18"/>
      <c r="L533" s="88">
        <f>SUM(F533:K533)</f>
        <v>452429.54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2262147.6799999997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2262147.6799999997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16198615.609999998</v>
      </c>
      <c r="G535" s="89">
        <f t="shared" ref="G535:L535" si="40">G514+G519+G524+G529+G534</f>
        <v>5724077.1699999999</v>
      </c>
      <c r="H535" s="89">
        <f t="shared" si="40"/>
        <v>6798731.5399999991</v>
      </c>
      <c r="I535" s="89">
        <f t="shared" si="40"/>
        <v>108828.22</v>
      </c>
      <c r="J535" s="89">
        <f t="shared" si="40"/>
        <v>37882.5</v>
      </c>
      <c r="K535" s="89">
        <f t="shared" si="40"/>
        <v>423</v>
      </c>
      <c r="L535" s="89">
        <f t="shared" si="40"/>
        <v>28868558.040000003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11552615.859999999</v>
      </c>
      <c r="G539" s="87">
        <f>L516</f>
        <v>2005394.79</v>
      </c>
      <c r="H539" s="87">
        <f>L521</f>
        <v>259367.24</v>
      </c>
      <c r="I539" s="87">
        <f>L526</f>
        <v>0</v>
      </c>
      <c r="J539" s="87">
        <f>L531</f>
        <v>904859.07</v>
      </c>
      <c r="K539" s="87">
        <f>SUM(F539:J539)</f>
        <v>14722236.959999999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4558833.9200000009</v>
      </c>
      <c r="G540" s="87">
        <f>L517</f>
        <v>1058867.21</v>
      </c>
      <c r="H540" s="87">
        <f>L522</f>
        <v>138329.04999999999</v>
      </c>
      <c r="I540" s="87">
        <f>L527</f>
        <v>0</v>
      </c>
      <c r="J540" s="87">
        <f>L532</f>
        <v>904859.07</v>
      </c>
      <c r="K540" s="87">
        <f>SUM(F540:J540)</f>
        <v>6660889.2500000009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5480555.2299999995</v>
      </c>
      <c r="G541" s="87">
        <f>L518</f>
        <v>1373771.55</v>
      </c>
      <c r="H541" s="87">
        <f>L523</f>
        <v>178675.50999999998</v>
      </c>
      <c r="I541" s="87">
        <f>L528</f>
        <v>0</v>
      </c>
      <c r="J541" s="87">
        <f>L533</f>
        <v>452429.54</v>
      </c>
      <c r="K541" s="87">
        <f>SUM(F541:J541)</f>
        <v>7485431.8299999991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21592005.010000002</v>
      </c>
      <c r="G542" s="89">
        <f t="shared" si="41"/>
        <v>4438033.55</v>
      </c>
      <c r="H542" s="89">
        <f t="shared" si="41"/>
        <v>576371.79999999993</v>
      </c>
      <c r="I542" s="89">
        <f t="shared" si="41"/>
        <v>0</v>
      </c>
      <c r="J542" s="89">
        <f t="shared" si="41"/>
        <v>2262147.6799999997</v>
      </c>
      <c r="K542" s="89">
        <f t="shared" si="41"/>
        <v>28868558.039999999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927292.16</v>
      </c>
      <c r="G552" s="18">
        <v>373158.42</v>
      </c>
      <c r="H552" s="18">
        <v>20807.060000000001</v>
      </c>
      <c r="I552" s="18">
        <v>9999.64</v>
      </c>
      <c r="J552" s="18"/>
      <c r="K552" s="18"/>
      <c r="L552" s="88">
        <f>SUM(F552:K552)</f>
        <v>1331257.28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296238.09000000003</v>
      </c>
      <c r="G553" s="18">
        <v>107576.36</v>
      </c>
      <c r="H553" s="18">
        <v>9482.34</v>
      </c>
      <c r="I553" s="18">
        <v>3719.71</v>
      </c>
      <c r="J553" s="18"/>
      <c r="K553" s="18"/>
      <c r="L553" s="88">
        <f>SUM(F553:K553)</f>
        <v>417016.50000000006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370692.4</v>
      </c>
      <c r="G554" s="18">
        <v>142444.81</v>
      </c>
      <c r="H554" s="18">
        <v>12982.87</v>
      </c>
      <c r="I554" s="18">
        <v>2390.29</v>
      </c>
      <c r="J554" s="18"/>
      <c r="K554" s="18"/>
      <c r="L554" s="88">
        <f>SUM(F554:K554)</f>
        <v>528510.37000000011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1594222.65</v>
      </c>
      <c r="G555" s="89">
        <f t="shared" si="43"/>
        <v>623179.59</v>
      </c>
      <c r="H555" s="89">
        <f t="shared" si="43"/>
        <v>43272.270000000004</v>
      </c>
      <c r="I555" s="89">
        <f t="shared" si="43"/>
        <v>16109.64</v>
      </c>
      <c r="J555" s="89">
        <f t="shared" si="43"/>
        <v>0</v>
      </c>
      <c r="K555" s="89">
        <f t="shared" si="43"/>
        <v>0</v>
      </c>
      <c r="L555" s="89">
        <f t="shared" si="43"/>
        <v>2276784.1500000004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203435.2</v>
      </c>
      <c r="G557" s="18">
        <v>83430.990000000005</v>
      </c>
      <c r="H557" s="18"/>
      <c r="I557" s="18">
        <v>674.51</v>
      </c>
      <c r="J557" s="18"/>
      <c r="K557" s="18"/>
      <c r="L557" s="88">
        <f>SUM(F557:K557)</f>
        <v>287540.7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9077</v>
      </c>
      <c r="G558" s="18">
        <v>2780.95</v>
      </c>
      <c r="H558" s="18"/>
      <c r="I558" s="18"/>
      <c r="J558" s="18"/>
      <c r="K558" s="18"/>
      <c r="L558" s="88">
        <f>SUM(F558:K558)</f>
        <v>11857.95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212512.2</v>
      </c>
      <c r="G560" s="194">
        <f t="shared" ref="G560:L560" si="44">SUM(G557:G559)</f>
        <v>86211.94</v>
      </c>
      <c r="H560" s="194">
        <f t="shared" si="44"/>
        <v>0</v>
      </c>
      <c r="I560" s="194">
        <f t="shared" si="44"/>
        <v>674.51</v>
      </c>
      <c r="J560" s="194">
        <f t="shared" si="44"/>
        <v>0</v>
      </c>
      <c r="K560" s="194">
        <f t="shared" si="44"/>
        <v>0</v>
      </c>
      <c r="L560" s="194">
        <f t="shared" si="44"/>
        <v>299398.65000000002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1806734.8499999999</v>
      </c>
      <c r="G561" s="89">
        <f t="shared" ref="G561:L561" si="45">G550+G555+G560</f>
        <v>709391.53</v>
      </c>
      <c r="H561" s="89">
        <f t="shared" si="45"/>
        <v>43272.270000000004</v>
      </c>
      <c r="I561" s="89">
        <f t="shared" si="45"/>
        <v>16784.149999999998</v>
      </c>
      <c r="J561" s="89">
        <f t="shared" si="45"/>
        <v>0</v>
      </c>
      <c r="K561" s="89">
        <f t="shared" si="45"/>
        <v>0</v>
      </c>
      <c r="L561" s="89">
        <f t="shared" si="45"/>
        <v>2576182.8000000003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131563.92000000001</v>
      </c>
      <c r="G569" s="18">
        <v>235390.28</v>
      </c>
      <c r="H569" s="18">
        <v>307810.43</v>
      </c>
      <c r="I569" s="87">
        <f t="shared" si="46"/>
        <v>674764.63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207694.96</v>
      </c>
      <c r="G570" s="18"/>
      <c r="H570" s="18"/>
      <c r="I570" s="87">
        <f t="shared" si="46"/>
        <v>207694.96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675197.54</v>
      </c>
      <c r="G572" s="18">
        <v>661454.76</v>
      </c>
      <c r="H572" s="18">
        <v>1202539.6499999999</v>
      </c>
      <c r="I572" s="87">
        <f t="shared" si="46"/>
        <v>2539191.9500000002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156162.99</v>
      </c>
      <c r="I573" s="87">
        <f t="shared" si="46"/>
        <v>156162.99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1095.17</v>
      </c>
      <c r="I574" s="87">
        <f t="shared" si="46"/>
        <v>1095.17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1554091.42-H582</f>
        <v>649232.35</v>
      </c>
      <c r="I581" s="18">
        <f>1658820.81-I582-I584</f>
        <v>738976.95000000007</v>
      </c>
      <c r="J581" s="18">
        <f>1477141.15-J582-J583-J584-J585</f>
        <v>901286.26999999979</v>
      </c>
      <c r="K581" s="104">
        <f t="shared" ref="K581:K587" si="47">SUM(H581:J581)</f>
        <v>2289495.5699999998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904859.07</v>
      </c>
      <c r="I582" s="18">
        <v>904859.07</v>
      </c>
      <c r="J582" s="18">
        <v>452429.54</v>
      </c>
      <c r="K582" s="104">
        <f t="shared" si="47"/>
        <v>2262147.6799999997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17338.14</v>
      </c>
      <c r="K583" s="104">
        <f t="shared" si="47"/>
        <v>17338.14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14984.79</v>
      </c>
      <c r="J584" s="18">
        <v>98294.53</v>
      </c>
      <c r="K584" s="104">
        <f t="shared" si="47"/>
        <v>113279.32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>
        <v>7792.67</v>
      </c>
      <c r="K585" s="104">
        <f t="shared" si="47"/>
        <v>7792.67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1554091.42</v>
      </c>
      <c r="I588" s="108">
        <f>SUM(I581:I587)</f>
        <v>1658820.81</v>
      </c>
      <c r="J588" s="108">
        <f>SUM(J581:J587)</f>
        <v>1477141.1499999997</v>
      </c>
      <c r="K588" s="108">
        <f>SUM(K581:K587)</f>
        <v>4690053.38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575753.25</v>
      </c>
      <c r="I594" s="18">
        <v>167486.25</v>
      </c>
      <c r="J594" s="18">
        <v>472464.44</v>
      </c>
      <c r="K594" s="104">
        <f>SUM(H594:J594)</f>
        <v>1215703.94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575753.25</v>
      </c>
      <c r="I595" s="108">
        <f>SUM(I592:I594)</f>
        <v>167486.25</v>
      </c>
      <c r="J595" s="108">
        <f>SUM(J592:J594)</f>
        <v>472464.44</v>
      </c>
      <c r="K595" s="108">
        <f>SUM(K592:K594)</f>
        <v>1215703.94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17826.61</v>
      </c>
      <c r="G601" s="18">
        <v>7709.64</v>
      </c>
      <c r="H601" s="18">
        <v>28.38</v>
      </c>
      <c r="I601" s="18"/>
      <c r="J601" s="18"/>
      <c r="K601" s="18"/>
      <c r="L601" s="88">
        <f>SUM(F601:K601)</f>
        <v>25564.63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4359.9799999999996</v>
      </c>
      <c r="G602" s="18">
        <v>1077.01</v>
      </c>
      <c r="H602" s="18"/>
      <c r="I602" s="18">
        <v>116.94</v>
      </c>
      <c r="J602" s="18"/>
      <c r="K602" s="18"/>
      <c r="L602" s="88">
        <f>SUM(F602:K602)</f>
        <v>5553.9299999999994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19465.03</v>
      </c>
      <c r="G603" s="18">
        <v>4808.26</v>
      </c>
      <c r="H603" s="18"/>
      <c r="I603" s="18">
        <v>522.1</v>
      </c>
      <c r="J603" s="18"/>
      <c r="K603" s="18"/>
      <c r="L603" s="88">
        <f>SUM(F603:K603)</f>
        <v>24795.39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41651.619999999995</v>
      </c>
      <c r="G604" s="108">
        <f t="shared" si="48"/>
        <v>13594.91</v>
      </c>
      <c r="H604" s="108">
        <f t="shared" si="48"/>
        <v>28.38</v>
      </c>
      <c r="I604" s="108">
        <f t="shared" si="48"/>
        <v>639.04</v>
      </c>
      <c r="J604" s="108">
        <f t="shared" si="48"/>
        <v>0</v>
      </c>
      <c r="K604" s="108">
        <f t="shared" si="48"/>
        <v>0</v>
      </c>
      <c r="L604" s="89">
        <f t="shared" si="48"/>
        <v>55913.95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0</v>
      </c>
      <c r="H607" s="109">
        <f>SUM(F44)</f>
        <v>0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406698</v>
      </c>
      <c r="H608" s="109">
        <f>SUM(G44)</f>
        <v>406698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3695922.79</v>
      </c>
      <c r="H609" s="109">
        <f>SUM(H44)</f>
        <v>3695922.79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2835169.98</v>
      </c>
      <c r="H610" s="109">
        <f>SUM(I44)</f>
        <v>2835169.9799999995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10642657.48</v>
      </c>
      <c r="H611" s="109">
        <f>SUM(J44)</f>
        <v>10642657.48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0</v>
      </c>
      <c r="H612" s="109">
        <f>F466</f>
        <v>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365588.46</v>
      </c>
      <c r="H613" s="109">
        <f>G466</f>
        <v>365588.45999999996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1700552.93</v>
      </c>
      <c r="H614" s="109">
        <f>H466</f>
        <v>1700552.9299999997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2144734.5699999998</v>
      </c>
      <c r="H615" s="109">
        <f>I466</f>
        <v>2144734.5699999998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10592947.23</v>
      </c>
      <c r="H616" s="109">
        <f>J466</f>
        <v>10592947.229999999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136148150.44999999</v>
      </c>
      <c r="H617" s="104">
        <f>SUM(F458)</f>
        <v>136148150.44999999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5223768.91</v>
      </c>
      <c r="H618" s="104">
        <f>SUM(G458)</f>
        <v>5223768.91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14996128.210000001</v>
      </c>
      <c r="H619" s="104">
        <f>SUM(H458)</f>
        <v>14996128.210000001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652791.63</v>
      </c>
      <c r="H620" s="104">
        <f>SUM(I458)</f>
        <v>652791.63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2111093.19</v>
      </c>
      <c r="H621" s="104">
        <f>SUM(J458)</f>
        <v>2111093.19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136148150.44999999</v>
      </c>
      <c r="H622" s="104">
        <f>SUM(F462)</f>
        <v>136148150.44999999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14654423.98</v>
      </c>
      <c r="H623" s="104">
        <f>SUM(H462)</f>
        <v>14654423.98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2449098.02</v>
      </c>
      <c r="H624" s="104">
        <f>I361</f>
        <v>2449098.02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5252621.25</v>
      </c>
      <c r="H625" s="104">
        <f>SUM(G462)</f>
        <v>5252621.25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1035762.58</v>
      </c>
      <c r="H626" s="104">
        <f>SUM(I462)</f>
        <v>1035762.58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2111093.19</v>
      </c>
      <c r="H627" s="164">
        <f>SUM(J458)</f>
        <v>2111093.19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966613.99</v>
      </c>
      <c r="H628" s="164">
        <f>SUM(J462)</f>
        <v>966613.99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5027731.78</v>
      </c>
      <c r="H629" s="104">
        <f>SUM(F451)</f>
        <v>5027731.7799999993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1346649.94</v>
      </c>
      <c r="H630" s="104">
        <f>SUM(G451)</f>
        <v>1346649.94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4268275.76</v>
      </c>
      <c r="H631" s="104">
        <f>SUM(H451)</f>
        <v>4268275.76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10642657.48</v>
      </c>
      <c r="H632" s="104">
        <f>SUM(I451)</f>
        <v>10642657.48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668150.51</v>
      </c>
      <c r="H634" s="104">
        <f>H400</f>
        <v>668150.51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1236503.47</v>
      </c>
      <c r="H635" s="104">
        <f>G400</f>
        <v>1236503.47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2111093.19</v>
      </c>
      <c r="H636" s="104">
        <f>L400</f>
        <v>2111093.19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4690053.38</v>
      </c>
      <c r="H637" s="104">
        <f>L200+L218+L236</f>
        <v>4690053.38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1215703.94</v>
      </c>
      <c r="H638" s="104">
        <f>(J249+J330)-(J247+J328)</f>
        <v>1215703.94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1554091.42</v>
      </c>
      <c r="H639" s="104">
        <f>H588</f>
        <v>1554091.42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1658820.81</v>
      </c>
      <c r="H640" s="104">
        <f>I588</f>
        <v>1658820.81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1477141.1500000001</v>
      </c>
      <c r="H641" s="104">
        <f>J588</f>
        <v>1477141.1499999997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J171+J173</f>
        <v>1236503.47</v>
      </c>
      <c r="H645" s="104">
        <f>K258+K339</f>
        <v>1236503.47</v>
      </c>
      <c r="I645" s="140" t="s">
        <v>424</v>
      </c>
      <c r="J645" s="109">
        <f t="shared" si="49"/>
        <v>0</v>
      </c>
      <c r="K645" s="85" t="s">
        <v>899</v>
      </c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64043115.809999987</v>
      </c>
      <c r="G650" s="19">
        <f>(L221+L301+L351)</f>
        <v>31197190.18</v>
      </c>
      <c r="H650" s="19">
        <f>(L239+L320+L352)</f>
        <v>45424630.539999999</v>
      </c>
      <c r="I650" s="19">
        <f>SUM(F650:H650)</f>
        <v>140664936.52999997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968788.36800773779</v>
      </c>
      <c r="G651" s="19">
        <f>(L351/IF(SUM(L350:L352)=0,1,SUM(L350:L352))*(SUM(G89:G102)))</f>
        <v>569354.29725191975</v>
      </c>
      <c r="H651" s="19">
        <f>(L352/IF(SUM(L350:L352)=0,1,SUM(L350:L352))*(SUM(G89:G102)))</f>
        <v>791011.93474034243</v>
      </c>
      <c r="I651" s="19">
        <f>SUM(F651:H651)</f>
        <v>2329154.5999999996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1564952.48</v>
      </c>
      <c r="G652" s="19">
        <f>(L218+L298)-(J218+J298)</f>
        <v>1670320.77</v>
      </c>
      <c r="H652" s="19">
        <f>(L236+L317)-(J236+J317)</f>
        <v>1486724.4300000002</v>
      </c>
      <c r="I652" s="19">
        <f>SUM(F652:H652)</f>
        <v>4721997.68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1615774.2999999998</v>
      </c>
      <c r="G653" s="200">
        <f>SUM(G565:G577)+SUM(I592:I594)+L602</f>
        <v>1069885.22</v>
      </c>
      <c r="H653" s="200">
        <f>SUM(H565:H577)+SUM(J592:J594)+L603</f>
        <v>2164868.0699999998</v>
      </c>
      <c r="I653" s="19">
        <f>SUM(F653:H653)</f>
        <v>4850527.59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59893600.661992252</v>
      </c>
      <c r="G654" s="19">
        <f>G650-SUM(G651:G653)</f>
        <v>27887629.89274808</v>
      </c>
      <c r="H654" s="19">
        <f>H650-SUM(H651:H653)</f>
        <v>40982026.105259657</v>
      </c>
      <c r="I654" s="19">
        <f>I650-SUM(I651:I653)</f>
        <v>128763256.65999997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5193.62</v>
      </c>
      <c r="G655" s="249">
        <v>2647.48</v>
      </c>
      <c r="H655" s="249">
        <v>3815.24</v>
      </c>
      <c r="I655" s="19">
        <f>SUM(F655:H655)</f>
        <v>11656.34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11532.15</v>
      </c>
      <c r="G657" s="19">
        <f>ROUND(G654/G655,2)</f>
        <v>10533.65</v>
      </c>
      <c r="H657" s="19">
        <f>ROUND(H654/H655,2)</f>
        <v>10741.66</v>
      </c>
      <c r="I657" s="19">
        <f>ROUND(I654/I655,2)</f>
        <v>11046.63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26.35</v>
      </c>
      <c r="I660" s="19">
        <f>SUM(F660:H660)</f>
        <v>26.35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11532.15</v>
      </c>
      <c r="G662" s="19">
        <f>ROUND((G654+G659)/(G655+G660),2)</f>
        <v>10533.65</v>
      </c>
      <c r="H662" s="19">
        <f>ROUND((H654+H659)/(H655+H660),2)</f>
        <v>10667.99</v>
      </c>
      <c r="I662" s="19">
        <f>ROUND((I654+I659)/(I655+I660),2)</f>
        <v>11021.71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3FC2-36DC-47E2-881A-FDD0F3EB5C57}">
  <sheetPr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Nashua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38703722.659999996</v>
      </c>
      <c r="C9" s="230">
        <f>'DOE25'!G189+'DOE25'!G207+'DOE25'!G225+'DOE25'!G268+'DOE25'!G287+'DOE25'!G306</f>
        <v>15426235.450000001</v>
      </c>
    </row>
    <row r="10" spans="1:3" x14ac:dyDescent="0.2">
      <c r="A10" t="s">
        <v>810</v>
      </c>
      <c r="B10" s="241">
        <f>35314328.27+583160.69</f>
        <v>35897488.960000001</v>
      </c>
      <c r="C10" s="241">
        <v>14394893.07</v>
      </c>
    </row>
    <row r="11" spans="1:3" x14ac:dyDescent="0.2">
      <c r="A11" t="s">
        <v>811</v>
      </c>
      <c r="B11" s="241">
        <v>524892.04</v>
      </c>
      <c r="C11" s="241">
        <v>84507.62</v>
      </c>
    </row>
    <row r="12" spans="1:3" x14ac:dyDescent="0.2">
      <c r="A12" t="s">
        <v>812</v>
      </c>
      <c r="B12" s="241">
        <f>+B9-B10-B11</f>
        <v>2281341.6599999955</v>
      </c>
      <c r="C12" s="241">
        <f>+C9-C10-C11</f>
        <v>946834.76000000082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38703722.659999996</v>
      </c>
      <c r="C13" s="232">
        <f>SUM(C10:C12)</f>
        <v>15426235.450000001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17798664.359999999</v>
      </c>
      <c r="C18" s="230">
        <f>'DOE25'!G190+'DOE25'!G208+'DOE25'!G226+'DOE25'!G269+'DOE25'!G288+'DOE25'!G307</f>
        <v>6033422.2999999989</v>
      </c>
    </row>
    <row r="19" spans="1:3" x14ac:dyDescent="0.2">
      <c r="A19" t="s">
        <v>810</v>
      </c>
      <c r="B19" s="241">
        <f>6437888.06+4550182.59</f>
        <v>10988070.649999999</v>
      </c>
      <c r="C19" s="241">
        <v>4406216.33</v>
      </c>
    </row>
    <row r="20" spans="1:3" x14ac:dyDescent="0.2">
      <c r="A20" t="s">
        <v>811</v>
      </c>
      <c r="B20" s="241">
        <f>914675.78+5027120.81</f>
        <v>5941796.5899999999</v>
      </c>
      <c r="C20" s="241">
        <v>1283936.27</v>
      </c>
    </row>
    <row r="21" spans="1:3" x14ac:dyDescent="0.2">
      <c r="A21" t="s">
        <v>812</v>
      </c>
      <c r="B21" s="241">
        <f>+B18-B19-B20</f>
        <v>868797.12000000104</v>
      </c>
      <c r="C21" s="241">
        <f>+C18-C19-C20</f>
        <v>343269.69999999879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17798664.359999999</v>
      </c>
      <c r="C22" s="232">
        <f>SUM(C19:C21)</f>
        <v>6033422.2999999989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3175721.38</v>
      </c>
      <c r="C27" s="235">
        <f>'DOE25'!G191+'DOE25'!G209+'DOE25'!G227+'DOE25'!G270+'DOE25'!G289+'DOE25'!G308</f>
        <v>1280451.7000000002</v>
      </c>
    </row>
    <row r="28" spans="1:3" x14ac:dyDescent="0.2">
      <c r="A28" t="s">
        <v>810</v>
      </c>
      <c r="B28" s="241">
        <f>2881379.95+82493.06</f>
        <v>2963873.0100000002</v>
      </c>
      <c r="C28" s="241">
        <v>1209260.19</v>
      </c>
    </row>
    <row r="29" spans="1:3" x14ac:dyDescent="0.2">
      <c r="A29" t="s">
        <v>811</v>
      </c>
      <c r="B29" s="241">
        <f>16253.45+29458.04</f>
        <v>45711.490000000005</v>
      </c>
      <c r="C29" s="241">
        <v>9827.9699999999993</v>
      </c>
    </row>
    <row r="30" spans="1:3" x14ac:dyDescent="0.2">
      <c r="A30" t="s">
        <v>812</v>
      </c>
      <c r="B30" s="241">
        <f>+B27-B28-B29</f>
        <v>166136.87999999966</v>
      </c>
      <c r="C30" s="241">
        <f>+C27-C28-C29</f>
        <v>61363.540000000241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3175721.38</v>
      </c>
      <c r="C31" s="232">
        <f>SUM(C28:C30)</f>
        <v>1280451.7000000002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1437661.8599999999</v>
      </c>
      <c r="C36" s="236">
        <f>'DOE25'!G192+'DOE25'!G210+'DOE25'!G228+'DOE25'!G271+'DOE25'!G290+'DOE25'!G309</f>
        <v>417647.43</v>
      </c>
    </row>
    <row r="37" spans="1:3" x14ac:dyDescent="0.2">
      <c r="A37" t="s">
        <v>810</v>
      </c>
      <c r="B37" s="241">
        <f>130201.8+12970.16</f>
        <v>143171.96</v>
      </c>
      <c r="C37" s="241">
        <v>57411.96</v>
      </c>
    </row>
    <row r="38" spans="1:3" x14ac:dyDescent="0.2">
      <c r="A38" t="s">
        <v>811</v>
      </c>
      <c r="B38" s="241">
        <v>2887.11</v>
      </c>
      <c r="C38" s="241">
        <v>464.82</v>
      </c>
    </row>
    <row r="39" spans="1:3" x14ac:dyDescent="0.2">
      <c r="A39" t="s">
        <v>812</v>
      </c>
      <c r="B39" s="241">
        <f>+B36-B37-B38</f>
        <v>1291602.7899999998</v>
      </c>
      <c r="C39" s="241">
        <f>+C36-C37-C38</f>
        <v>359770.64999999997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1437661.8599999999</v>
      </c>
      <c r="C40" s="232">
        <f>SUM(C37:C39)</f>
        <v>417647.42999999993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BE8B-00DE-44B9-BF19-B9A44D5FF246}">
  <sheetPr>
    <tabColor indexed="11"/>
  </sheetPr>
  <dimension ref="A1:I51"/>
  <sheetViews>
    <sheetView workbookViewId="0">
      <pane ySplit="4" topLeftCell="A8" activePane="bottomLeft" state="frozen"/>
      <selection pane="bottomLeft" activeCell="B27" sqref="B2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Nashua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80226558.680000007</v>
      </c>
      <c r="D5" s="20">
        <f>SUM('DOE25'!L189:L192)+SUM('DOE25'!L207:L210)+SUM('DOE25'!L225:L228)-F5-G5</f>
        <v>80119628.5</v>
      </c>
      <c r="E5" s="244"/>
      <c r="F5" s="256">
        <f>SUM('DOE25'!J189:J192)+SUM('DOE25'!J207:J210)+SUM('DOE25'!J225:J228)</f>
        <v>89441.18</v>
      </c>
      <c r="G5" s="53">
        <f>SUM('DOE25'!K189:K192)+SUM('DOE25'!K207:K210)+SUM('DOE25'!K225:K228)</f>
        <v>17489</v>
      </c>
      <c r="H5" s="260"/>
    </row>
    <row r="6" spans="1:9" x14ac:dyDescent="0.2">
      <c r="A6" s="32">
        <v>2100</v>
      </c>
      <c r="B6" t="s">
        <v>832</v>
      </c>
      <c r="C6" s="246">
        <f t="shared" si="0"/>
        <v>9805398.6499999985</v>
      </c>
      <c r="D6" s="20">
        <f>'DOE25'!L194+'DOE25'!L212+'DOE25'!L230-F6-G6</f>
        <v>9796008.879999999</v>
      </c>
      <c r="E6" s="244"/>
      <c r="F6" s="256">
        <f>'DOE25'!J194+'DOE25'!J212+'DOE25'!J230</f>
        <v>8966.76</v>
      </c>
      <c r="G6" s="53">
        <f>'DOE25'!K194+'DOE25'!K212+'DOE25'!K230</f>
        <v>423.01</v>
      </c>
      <c r="H6" s="260"/>
    </row>
    <row r="7" spans="1:9" x14ac:dyDescent="0.2">
      <c r="A7" s="32">
        <v>2200</v>
      </c>
      <c r="B7" t="s">
        <v>865</v>
      </c>
      <c r="C7" s="246">
        <f t="shared" si="0"/>
        <v>4013952.17</v>
      </c>
      <c r="D7" s="20">
        <f>'DOE25'!L195+'DOE25'!L213+'DOE25'!L231-F7-G7</f>
        <v>3495670.92</v>
      </c>
      <c r="E7" s="244"/>
      <c r="F7" s="256">
        <f>'DOE25'!J195+'DOE25'!J213+'DOE25'!J231</f>
        <v>518202.25</v>
      </c>
      <c r="G7" s="53">
        <f>'DOE25'!K195+'DOE25'!K213+'DOE25'!K231</f>
        <v>79</v>
      </c>
      <c r="H7" s="260"/>
    </row>
    <row r="8" spans="1:9" x14ac:dyDescent="0.2">
      <c r="A8" s="32">
        <v>2300</v>
      </c>
      <c r="B8" t="s">
        <v>833</v>
      </c>
      <c r="C8" s="246">
        <f t="shared" si="0"/>
        <v>1431992.8399999999</v>
      </c>
      <c r="D8" s="244"/>
      <c r="E8" s="20">
        <f>'DOE25'!L196+'DOE25'!L214+'DOE25'!L232-F8-G8-D9-D11</f>
        <v>1358580.5099999998</v>
      </c>
      <c r="F8" s="256">
        <f>'DOE25'!J196+'DOE25'!J214+'DOE25'!J232</f>
        <v>0</v>
      </c>
      <c r="G8" s="53">
        <f>'DOE25'!K196+'DOE25'!K214+'DOE25'!K232</f>
        <v>73412.33</v>
      </c>
      <c r="H8" s="260"/>
    </row>
    <row r="9" spans="1:9" x14ac:dyDescent="0.2">
      <c r="A9" s="32">
        <v>2310</v>
      </c>
      <c r="B9" t="s">
        <v>849</v>
      </c>
      <c r="C9" s="246">
        <f t="shared" si="0"/>
        <v>90727.46</v>
      </c>
      <c r="D9" s="245">
        <v>90727.46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31250</v>
      </c>
      <c r="D10" s="244"/>
      <c r="E10" s="245">
        <v>31250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629222.68999999994</v>
      </c>
      <c r="D11" s="245">
        <v>629222.68999999994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6496824.3899999997</v>
      </c>
      <c r="D12" s="20">
        <f>'DOE25'!L197+'DOE25'!L215+'DOE25'!L233-F12-G12</f>
        <v>6495020.3899999997</v>
      </c>
      <c r="E12" s="244"/>
      <c r="F12" s="256">
        <f>'DOE25'!J197+'DOE25'!J215+'DOE25'!J233</f>
        <v>0</v>
      </c>
      <c r="G12" s="53">
        <f>'DOE25'!K197+'DOE25'!K215+'DOE25'!K233</f>
        <v>1804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789739.37</v>
      </c>
      <c r="D13" s="244"/>
      <c r="E13" s="20">
        <f>'DOE25'!L198+'DOE25'!L216+'DOE25'!L234-F13-G13</f>
        <v>789739.37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12989201.939999999</v>
      </c>
      <c r="D14" s="20">
        <f>'DOE25'!L199+'DOE25'!L217+'DOE25'!L235-F14-G14</f>
        <v>12890417.75</v>
      </c>
      <c r="E14" s="244"/>
      <c r="F14" s="256">
        <f>'DOE25'!J199+'DOE25'!J217+'DOE25'!J235</f>
        <v>98784.19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4690053.38</v>
      </c>
      <c r="D15" s="20">
        <f>'DOE25'!L200+'DOE25'!L218+'DOE25'!L236-F15-G15</f>
        <v>4690053.38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407414.6</v>
      </c>
      <c r="D16" s="244"/>
      <c r="E16" s="20">
        <f>'DOE25'!L201+'DOE25'!L219+'DOE25'!L237-F16-G16</f>
        <v>407414.6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126568.28</v>
      </c>
      <c r="D17" s="20">
        <f>'DOE25'!L243-F17-G17</f>
        <v>126568.28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105227</v>
      </c>
      <c r="D22" s="244"/>
      <c r="E22" s="244"/>
      <c r="F22" s="256">
        <f>'DOE25'!L247+'DOE25'!L328</f>
        <v>105227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13729566</v>
      </c>
      <c r="D25" s="244"/>
      <c r="E25" s="244"/>
      <c r="F25" s="259"/>
      <c r="G25" s="257"/>
      <c r="H25" s="258">
        <f>'DOE25'!L252+'DOE25'!L253+'DOE25'!L333+'DOE25'!L334</f>
        <v>13729566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3039639.36</v>
      </c>
      <c r="D29" s="20">
        <f>'DOE25'!L350+'DOE25'!L351+'DOE25'!L352-'DOE25'!I359-F29-G29</f>
        <v>2778096.5</v>
      </c>
      <c r="E29" s="244"/>
      <c r="F29" s="256">
        <f>'DOE25'!J350+'DOE25'!J351+'DOE25'!J352</f>
        <v>261542.86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14016348.939999999</v>
      </c>
      <c r="D31" s="20">
        <f>'DOE25'!L282+'DOE25'!L301+'DOE25'!L320+'DOE25'!L325+'DOE25'!L326+'DOE25'!L327-F31-G31</f>
        <v>13182011.59</v>
      </c>
      <c r="E31" s="244"/>
      <c r="F31" s="256">
        <f>'DOE25'!J282+'DOE25'!J301+'DOE25'!J320+'DOE25'!J325+'DOE25'!J326+'DOE25'!J327</f>
        <v>497312.66000000003</v>
      </c>
      <c r="G31" s="53">
        <f>'DOE25'!K282+'DOE25'!K301+'DOE25'!K320+'DOE25'!K325+'DOE25'!K326+'DOE25'!K327</f>
        <v>337024.69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134293426.33999997</v>
      </c>
      <c r="E33" s="247">
        <f>SUM(E5:E31)</f>
        <v>2586984.48</v>
      </c>
      <c r="F33" s="247">
        <f>SUM(F5:F31)</f>
        <v>1579476.9</v>
      </c>
      <c r="G33" s="247">
        <f>SUM(G5:G31)</f>
        <v>430232.03</v>
      </c>
      <c r="H33" s="247">
        <f>SUM(H5:H31)</f>
        <v>13729566</v>
      </c>
    </row>
    <row r="35" spans="2:8" ht="12" thickBot="1" x14ac:dyDescent="0.25">
      <c r="B35" s="254" t="s">
        <v>878</v>
      </c>
      <c r="D35" s="255">
        <f>E33</f>
        <v>2586984.48</v>
      </c>
      <c r="E35" s="250"/>
    </row>
    <row r="36" spans="2:8" ht="12" thickTop="1" x14ac:dyDescent="0.2">
      <c r="B36" t="s">
        <v>846</v>
      </c>
      <c r="D36" s="20">
        <f>D33</f>
        <v>134293426.33999997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2B4B-7635-47FD-BDC1-B418405DB3F4}">
  <sheetPr transitionEvaluation="1" codeName="Sheet2">
    <tabColor indexed="10"/>
  </sheetPr>
  <dimension ref="A1:I156"/>
  <sheetViews>
    <sheetView zoomScale="75" workbookViewId="0">
      <pane ySplit="2" topLeftCell="A6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Nashua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0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6256609.9500000002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4342688.9400000004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186633.73</v>
      </c>
      <c r="E12" s="95">
        <f>'DOE25'!H12</f>
        <v>0</v>
      </c>
      <c r="F12" s="95">
        <f>'DOE25'!I12</f>
        <v>2835169.98</v>
      </c>
      <c r="G12" s="95">
        <f>'DOE25'!J12</f>
        <v>41503.199999999997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220064.27</v>
      </c>
      <c r="E13" s="95">
        <f>'DOE25'!H13</f>
        <v>3629878.42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66044.37</v>
      </c>
      <c r="F14" s="95">
        <f>'DOE25'!I14</f>
        <v>0</v>
      </c>
      <c r="G14" s="95">
        <f>'DOE25'!J14</f>
        <v>1855.39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0</v>
      </c>
      <c r="D19" s="41">
        <f>SUM(D9:D18)</f>
        <v>406698</v>
      </c>
      <c r="E19" s="41">
        <f>SUM(E9:E18)</f>
        <v>3695922.79</v>
      </c>
      <c r="F19" s="41">
        <f>SUM(F9:F18)</f>
        <v>2835169.98</v>
      </c>
      <c r="G19" s="41">
        <f>SUM(G9:G18)</f>
        <v>10642657.48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1305625.3600000001</v>
      </c>
      <c r="F22" s="95">
        <f>'DOE25'!I23</f>
        <v>18497.2</v>
      </c>
      <c r="G22" s="95">
        <f>'DOE25'!J23</f>
        <v>49710.25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41109.54</v>
      </c>
      <c r="E24" s="95">
        <f>'DOE25'!H25</f>
        <v>187945.26</v>
      </c>
      <c r="F24" s="95">
        <f>'DOE25'!I25</f>
        <v>671613.21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82373.78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419425.46</v>
      </c>
      <c r="F31" s="95">
        <f>'DOE25'!I32</f>
        <v>325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41109.54</v>
      </c>
      <c r="E32" s="41">
        <f>SUM(E22:E31)</f>
        <v>1995369.86</v>
      </c>
      <c r="F32" s="41">
        <f>SUM(F22:F31)</f>
        <v>690435.40999999992</v>
      </c>
      <c r="G32" s="41">
        <f>SUM(G22:G31)</f>
        <v>49710.25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365588.46</v>
      </c>
      <c r="E40" s="95">
        <f>'DOE25'!H41</f>
        <v>1700552.93</v>
      </c>
      <c r="F40" s="95">
        <f>'DOE25'!I41</f>
        <v>2144734.5699999998</v>
      </c>
      <c r="G40" s="95">
        <f>'DOE25'!J41</f>
        <v>10592947.23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0</v>
      </c>
      <c r="D42" s="41">
        <f>SUM(D34:D41)</f>
        <v>365588.46</v>
      </c>
      <c r="E42" s="41">
        <f>SUM(E34:E41)</f>
        <v>1700552.93</v>
      </c>
      <c r="F42" s="41">
        <f>SUM(F34:F41)</f>
        <v>2144734.5699999998</v>
      </c>
      <c r="G42" s="41">
        <f>SUM(G34:G41)</f>
        <v>10592947.23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0</v>
      </c>
      <c r="D43" s="41">
        <f>D42+D32</f>
        <v>406698</v>
      </c>
      <c r="E43" s="41">
        <f>E42+E32</f>
        <v>3695922.79</v>
      </c>
      <c r="F43" s="41">
        <f>F42+F32</f>
        <v>2835169.9799999995</v>
      </c>
      <c r="G43" s="41">
        <f>G42+G32</f>
        <v>10642657.48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76202320.640000001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21602.09</v>
      </c>
      <c r="D49" s="24" t="s">
        <v>312</v>
      </c>
      <c r="E49" s="95">
        <f>'DOE25'!H71</f>
        <v>1299492.0899999999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93548.5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912.35</v>
      </c>
      <c r="E51" s="95">
        <f>'DOE25'!H88</f>
        <v>0</v>
      </c>
      <c r="F51" s="95">
        <f>'DOE25'!I88</f>
        <v>0</v>
      </c>
      <c r="G51" s="95">
        <f>'DOE25'!J88</f>
        <v>668150.51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2317651.62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43336.1</v>
      </c>
      <c r="D53" s="95">
        <f>SUM('DOE25'!G90:G102)</f>
        <v>11502.98</v>
      </c>
      <c r="E53" s="95">
        <f>SUM('DOE25'!H90:H102)</f>
        <v>415680.33999999997</v>
      </c>
      <c r="F53" s="95">
        <f>SUM('DOE25'!I90:I102)</f>
        <v>0</v>
      </c>
      <c r="G53" s="95">
        <f>SUM('DOE25'!J90:J102)</f>
        <v>206439.21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158486.69</v>
      </c>
      <c r="D54" s="130">
        <f>SUM(D49:D53)</f>
        <v>2330066.9500000002</v>
      </c>
      <c r="E54" s="130">
        <f>SUM(E49:E53)</f>
        <v>1715172.4299999997</v>
      </c>
      <c r="F54" s="130">
        <f>SUM(F49:F53)</f>
        <v>0</v>
      </c>
      <c r="G54" s="130">
        <f>SUM(G49:G53)</f>
        <v>874589.72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76360807.329999998</v>
      </c>
      <c r="D55" s="22">
        <f>D48+D54</f>
        <v>2330066.9500000002</v>
      </c>
      <c r="E55" s="22">
        <f>E48+E54</f>
        <v>1715172.4299999997</v>
      </c>
      <c r="F55" s="22">
        <f>F48+F54</f>
        <v>0</v>
      </c>
      <c r="G55" s="22">
        <f>G48+G54</f>
        <v>874589.72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34738998.350000001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19531639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1259973.6499999999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55530611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2680078.91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424496.17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139336.66999999998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258736.96</v>
      </c>
      <c r="E69" s="95">
        <f>SUM('DOE25'!H123:H127)</f>
        <v>568148.62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3104575.08</v>
      </c>
      <c r="D70" s="130">
        <f>SUM(D64:D69)</f>
        <v>258736.96</v>
      </c>
      <c r="E70" s="130">
        <f>SUM(E64:E69)</f>
        <v>707485.29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58635186.079999998</v>
      </c>
      <c r="D73" s="130">
        <f>SUM(D71:D72)+D70+D62</f>
        <v>258736.96</v>
      </c>
      <c r="E73" s="130">
        <f>SUM(E71:E72)+E70+E62</f>
        <v>707485.29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579295.12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1025331.7</v>
      </c>
      <c r="D80" s="95">
        <f>SUM('DOE25'!G145:G153)</f>
        <v>2634965</v>
      </c>
      <c r="E80" s="95">
        <f>SUM('DOE25'!H145:H153)</f>
        <v>11994175.370000001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1025331.7</v>
      </c>
      <c r="D83" s="131">
        <f>SUM(D77:D82)</f>
        <v>2634965</v>
      </c>
      <c r="E83" s="131">
        <f>SUM(E77:E82)</f>
        <v>12573470.49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615703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620800.47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652791.63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126825.34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126825.34</v>
      </c>
      <c r="D95" s="86">
        <f>SUM(D85:D94)</f>
        <v>0</v>
      </c>
      <c r="E95" s="86">
        <f>SUM(E85:E94)</f>
        <v>0</v>
      </c>
      <c r="F95" s="86">
        <f>SUM(F85:F94)</f>
        <v>652791.63</v>
      </c>
      <c r="G95" s="86">
        <f>SUM(G85:G94)</f>
        <v>1236503.47</v>
      </c>
    </row>
    <row r="96" spans="1:7" ht="12.75" thickTop="1" thickBot="1" x14ac:dyDescent="0.25">
      <c r="A96" s="33" t="s">
        <v>796</v>
      </c>
      <c r="C96" s="86">
        <f>C55+C73+C83+C95</f>
        <v>136148150.44999999</v>
      </c>
      <c r="D96" s="86">
        <f>D55+D73+D83+D95</f>
        <v>5223768.91</v>
      </c>
      <c r="E96" s="86">
        <f>E55+E73+E83+E95</f>
        <v>14996128.210000001</v>
      </c>
      <c r="F96" s="86">
        <f>F55+F73+F83+F95</f>
        <v>652791.63</v>
      </c>
      <c r="G96" s="86">
        <f>G55+G73+G95</f>
        <v>2111093.19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54731610.290000007</v>
      </c>
      <c r="D101" s="24" t="s">
        <v>312</v>
      </c>
      <c r="E101" s="95">
        <f>('DOE25'!L268)+('DOE25'!L287)+('DOE25'!L306)</f>
        <v>714857.38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20219519</v>
      </c>
      <c r="D102" s="24" t="s">
        <v>312</v>
      </c>
      <c r="E102" s="95">
        <f>('DOE25'!L269)+('DOE25'!L288)+('DOE25'!L307)</f>
        <v>8760008.25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4487580.63</v>
      </c>
      <c r="D103" s="24" t="s">
        <v>312</v>
      </c>
      <c r="E103" s="95">
        <f>('DOE25'!L270)+('DOE25'!L289)+('DOE25'!L308)</f>
        <v>450851.05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787848.76</v>
      </c>
      <c r="D104" s="24" t="s">
        <v>312</v>
      </c>
      <c r="E104" s="95">
        <f>+('DOE25'!L271)+('DOE25'!L290)+('DOE25'!L309)</f>
        <v>1465253.2399999998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17274.57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126568.28</v>
      </c>
      <c r="D106" s="24" t="s">
        <v>312</v>
      </c>
      <c r="E106" s="95">
        <f>+ SUM('DOE25'!L325:L327)</f>
        <v>175119.83000000002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80353126.960000008</v>
      </c>
      <c r="D107" s="86">
        <f>SUM(D101:D106)</f>
        <v>0</v>
      </c>
      <c r="E107" s="86">
        <f>SUM(E101:E106)</f>
        <v>11583364.320000002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9805398.6499999985</v>
      </c>
      <c r="D110" s="24" t="s">
        <v>312</v>
      </c>
      <c r="E110" s="95">
        <f>+('DOE25'!L273)+('DOE25'!L292)+('DOE25'!L311)</f>
        <v>128650.49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4013952.17</v>
      </c>
      <c r="D111" s="24" t="s">
        <v>312</v>
      </c>
      <c r="E111" s="95">
        <f>+('DOE25'!L274)+('DOE25'!L293)+('DOE25'!L312)</f>
        <v>1780444.96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2151942.9899999998</v>
      </c>
      <c r="D112" s="24" t="s">
        <v>312</v>
      </c>
      <c r="E112" s="95">
        <f>+('DOE25'!L275)+('DOE25'!L294)+('DOE25'!L313)</f>
        <v>11320.83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6496824.3899999997</v>
      </c>
      <c r="D113" s="24" t="s">
        <v>312</v>
      </c>
      <c r="E113" s="95">
        <f>+('DOE25'!L276)+('DOE25'!L295)+('DOE25'!L314)</f>
        <v>104425.43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789739.37</v>
      </c>
      <c r="D114" s="24" t="s">
        <v>312</v>
      </c>
      <c r="E114" s="95">
        <f>+('DOE25'!L277)+('DOE25'!L296)+('DOE25'!L315)</f>
        <v>255043.57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12989201.939999999</v>
      </c>
      <c r="D115" s="24" t="s">
        <v>312</v>
      </c>
      <c r="E115" s="95">
        <f>+('DOE25'!L278)+('DOE25'!L297)+('DOE25'!L316)</f>
        <v>119243.44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4690053.38</v>
      </c>
      <c r="D116" s="24" t="s">
        <v>312</v>
      </c>
      <c r="E116" s="95">
        <f>+('DOE25'!L279)+('DOE25'!L298)+('DOE25'!L317)</f>
        <v>31944.299999999996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407414.6</v>
      </c>
      <c r="D117" s="24" t="s">
        <v>312</v>
      </c>
      <c r="E117" s="95">
        <f>+('DOE25'!L280)+('DOE25'!L299)+('DOE25'!L318)</f>
        <v>19186.170000000002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5252621.25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41344527.490000002</v>
      </c>
      <c r="D120" s="86">
        <f>SUM(D110:D119)</f>
        <v>5252621.25</v>
      </c>
      <c r="E120" s="86">
        <f>SUM(E110:E119)</f>
        <v>2450259.1899999995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105227</v>
      </c>
      <c r="D122" s="24" t="s">
        <v>312</v>
      </c>
      <c r="E122" s="129">
        <f>'DOE25'!L328</f>
        <v>0</v>
      </c>
      <c r="F122" s="129">
        <f>SUM('DOE25'!L366:'DOE25'!L372)</f>
        <v>1035762.58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9530777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4198789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779616.97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624886.16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873957.84000000008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612249.19000000006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-874589.72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15071296.469999999</v>
      </c>
      <c r="D136" s="141">
        <f>SUM(D122:D135)</f>
        <v>0</v>
      </c>
      <c r="E136" s="141">
        <f>SUM(E122:E135)</f>
        <v>0</v>
      </c>
      <c r="F136" s="141">
        <f>SUM(F122:F135)</f>
        <v>1035762.58</v>
      </c>
      <c r="G136" s="141">
        <f>SUM(G122:G135)</f>
        <v>779616.97</v>
      </c>
    </row>
    <row r="137" spans="1:9" ht="12.75" thickTop="1" thickBot="1" x14ac:dyDescent="0.25">
      <c r="A137" s="33" t="s">
        <v>267</v>
      </c>
      <c r="C137" s="86">
        <f>(C107+C120+C136)</f>
        <v>136768950.92000002</v>
      </c>
      <c r="D137" s="86">
        <f>(D107+D120+D136)</f>
        <v>5252621.25</v>
      </c>
      <c r="E137" s="86">
        <f>(E107+E120+E136)</f>
        <v>14033623.510000002</v>
      </c>
      <c r="F137" s="86">
        <f>(F107+F120+F136)</f>
        <v>1035762.58</v>
      </c>
      <c r="G137" s="86">
        <f>(G107+G120+G136)</f>
        <v>779616.97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***   SEE SUPPLEMENTAL SCHEDULE  ***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100595771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100595771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9530777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9530777</v>
      </c>
    </row>
    <row r="151" spans="1:7" x14ac:dyDescent="0.2">
      <c r="A151" s="22" t="s">
        <v>35</v>
      </c>
      <c r="B151" s="137">
        <f>'DOE25'!F488</f>
        <v>91064994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91064994</v>
      </c>
    </row>
    <row r="152" spans="1:7" x14ac:dyDescent="0.2">
      <c r="A152" s="22" t="s">
        <v>36</v>
      </c>
      <c r="B152" s="137">
        <f>'DOE25'!F489</f>
        <v>22010443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22010443</v>
      </c>
    </row>
    <row r="153" spans="1:7" x14ac:dyDescent="0.2">
      <c r="A153" s="22" t="s">
        <v>37</v>
      </c>
      <c r="B153" s="137">
        <f>'DOE25'!F490</f>
        <v>113075437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113075437</v>
      </c>
    </row>
    <row r="154" spans="1:7" x14ac:dyDescent="0.2">
      <c r="A154" s="22" t="s">
        <v>38</v>
      </c>
      <c r="B154" s="137">
        <f>'DOE25'!F491</f>
        <v>9313522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9313522</v>
      </c>
    </row>
    <row r="155" spans="1:7" x14ac:dyDescent="0.2">
      <c r="A155" s="22" t="s">
        <v>39</v>
      </c>
      <c r="B155" s="137">
        <f>'DOE25'!F492</f>
        <v>3804578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3804578</v>
      </c>
    </row>
    <row r="156" spans="1:7" x14ac:dyDescent="0.2">
      <c r="A156" s="22" t="s">
        <v>269</v>
      </c>
      <c r="B156" s="137">
        <f>'DOE25'!F493</f>
        <v>13118100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13118100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461B-1258-4AF5-857E-31A876BF356B}">
  <sheetPr codeName="Sheet3">
    <tabColor indexed="43"/>
  </sheetPr>
  <dimension ref="A1:D42"/>
  <sheetViews>
    <sheetView topLeftCell="A13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Nashua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11532</v>
      </c>
    </row>
    <row r="5" spans="1:4" x14ac:dyDescent="0.2">
      <c r="B5" t="s">
        <v>735</v>
      </c>
      <c r="C5" s="179">
        <f>IF('DOE25'!G655+'DOE25'!G660=0,0,ROUND('DOE25'!G662,0))</f>
        <v>10534</v>
      </c>
    </row>
    <row r="6" spans="1:4" x14ac:dyDescent="0.2">
      <c r="B6" t="s">
        <v>62</v>
      </c>
      <c r="C6" s="179">
        <f>IF('DOE25'!H655+'DOE25'!H660=0,0,ROUND('DOE25'!H662,0))</f>
        <v>10668</v>
      </c>
    </row>
    <row r="7" spans="1:4" x14ac:dyDescent="0.2">
      <c r="B7" t="s">
        <v>736</v>
      </c>
      <c r="C7" s="179">
        <f>IF('DOE25'!I655+'DOE25'!I660=0,0,ROUND('DOE25'!I662,0))</f>
        <v>11022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55446468</v>
      </c>
      <c r="D10" s="182">
        <f>ROUND((C10/$C$28)*100,1)</f>
        <v>38.799999999999997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28979527</v>
      </c>
      <c r="D11" s="182">
        <f>ROUND((C11/$C$28)*100,1)</f>
        <v>20.3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4938432</v>
      </c>
      <c r="D12" s="182">
        <f>ROUND((C12/$C$28)*100,1)</f>
        <v>3.5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2253102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9934049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5794397</v>
      </c>
      <c r="D16" s="182">
        <f t="shared" si="0"/>
        <v>4.0999999999999996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2589865</v>
      </c>
      <c r="D17" s="182">
        <f t="shared" si="0"/>
        <v>1.8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6601250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1044783</v>
      </c>
      <c r="D19" s="182">
        <f t="shared" si="0"/>
        <v>0.7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13108445</v>
      </c>
      <c r="D20" s="182">
        <f t="shared" si="0"/>
        <v>9.1999999999999993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4721998</v>
      </c>
      <c r="D21" s="182">
        <f t="shared" si="0"/>
        <v>3.3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17275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301688</v>
      </c>
      <c r="D24" s="182">
        <f t="shared" si="0"/>
        <v>0.2</v>
      </c>
    </row>
    <row r="25" spans="1:4" x14ac:dyDescent="0.2">
      <c r="A25">
        <v>5120</v>
      </c>
      <c r="B25" t="s">
        <v>751</v>
      </c>
      <c r="C25" s="179">
        <f>ROUND('DOE25'!L253+'DOE25'!L334,0)</f>
        <v>4198789</v>
      </c>
      <c r="D25" s="182">
        <f t="shared" si="0"/>
        <v>2.9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2923466.4</v>
      </c>
      <c r="D27" s="182">
        <f t="shared" si="0"/>
        <v>2</v>
      </c>
    </row>
    <row r="28" spans="1:4" x14ac:dyDescent="0.2">
      <c r="B28" s="187" t="s">
        <v>754</v>
      </c>
      <c r="C28" s="180">
        <f>SUM(C10:C27)</f>
        <v>142853534.40000001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1140990</v>
      </c>
    </row>
    <row r="30" spans="1:4" x14ac:dyDescent="0.2">
      <c r="B30" s="187" t="s">
        <v>760</v>
      </c>
      <c r="C30" s="180">
        <f>SUM(C28:C29)</f>
        <v>143994524.40000001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9530777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76202321</v>
      </c>
      <c r="D35" s="182">
        <f t="shared" ref="D35:D40" si="1">ROUND((C35/$C$41)*100,1)</f>
        <v>49.2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2749160.8300000131</v>
      </c>
      <c r="D36" s="182">
        <f t="shared" si="1"/>
        <v>1.8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55530611</v>
      </c>
      <c r="D37" s="182">
        <f t="shared" si="1"/>
        <v>35.9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4070797</v>
      </c>
      <c r="D38" s="182">
        <f t="shared" si="1"/>
        <v>2.6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16233767</v>
      </c>
      <c r="D39" s="182">
        <f t="shared" si="1"/>
        <v>10.5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154786656.83000001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07C5-2D53-401A-985E-C4C4B207E6B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801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798</v>
      </c>
      <c r="B2" s="293"/>
      <c r="C2" s="293"/>
      <c r="D2" s="293"/>
      <c r="E2" s="293"/>
      <c r="F2" s="290" t="str">
        <f>'DOE25'!A2</f>
        <v>Nashua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88" t="s">
        <v>802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82:M82"/>
    <mergeCell ref="C70:M70"/>
    <mergeCell ref="A72:E72"/>
    <mergeCell ref="C73:M73"/>
    <mergeCell ref="C27:M27"/>
    <mergeCell ref="C21:M21"/>
    <mergeCell ref="C22:M22"/>
    <mergeCell ref="C23:M23"/>
    <mergeCell ref="C24:M24"/>
    <mergeCell ref="C84:M84"/>
    <mergeCell ref="C85:M85"/>
    <mergeCell ref="C86:M86"/>
    <mergeCell ref="C87:M87"/>
    <mergeCell ref="C83:M83"/>
    <mergeCell ref="C66:M66"/>
    <mergeCell ref="C67:M67"/>
    <mergeCell ref="C68:M68"/>
    <mergeCell ref="C69:M69"/>
    <mergeCell ref="C81:M81"/>
    <mergeCell ref="C88:M88"/>
    <mergeCell ref="C89:M89"/>
    <mergeCell ref="C64:M64"/>
    <mergeCell ref="C90:M90"/>
    <mergeCell ref="C75:M75"/>
    <mergeCell ref="C76:M76"/>
    <mergeCell ref="C77:M77"/>
    <mergeCell ref="C78:M78"/>
    <mergeCell ref="C79:M79"/>
    <mergeCell ref="C80:M80"/>
    <mergeCell ref="C74:M74"/>
    <mergeCell ref="C34:M34"/>
    <mergeCell ref="C35:M35"/>
    <mergeCell ref="C36:M36"/>
    <mergeCell ref="C62:M62"/>
    <mergeCell ref="C63:M63"/>
    <mergeCell ref="C65:M65"/>
    <mergeCell ref="C39:M39"/>
    <mergeCell ref="C40:M40"/>
    <mergeCell ref="C33:M33"/>
    <mergeCell ref="C37:M37"/>
    <mergeCell ref="C38:M38"/>
    <mergeCell ref="A2:E2"/>
    <mergeCell ref="C32:M32"/>
    <mergeCell ref="C19:M19"/>
    <mergeCell ref="C9:M9"/>
    <mergeCell ref="C10:M10"/>
    <mergeCell ref="C11:M11"/>
    <mergeCell ref="C12:M12"/>
    <mergeCell ref="P31:Z31"/>
    <mergeCell ref="C28:M28"/>
    <mergeCell ref="A1:I1"/>
    <mergeCell ref="C3:M3"/>
    <mergeCell ref="C4:M4"/>
    <mergeCell ref="F2:I2"/>
    <mergeCell ref="C13:M13"/>
    <mergeCell ref="C25:M25"/>
    <mergeCell ref="C26:M26"/>
    <mergeCell ref="AC31:AM31"/>
    <mergeCell ref="C14:M14"/>
    <mergeCell ref="C15:M15"/>
    <mergeCell ref="C20:M20"/>
    <mergeCell ref="C29:M29"/>
    <mergeCell ref="C30:M30"/>
    <mergeCell ref="C31:M31"/>
    <mergeCell ref="P30:Z30"/>
    <mergeCell ref="DP29:DZ29"/>
    <mergeCell ref="EC29:EM29"/>
    <mergeCell ref="P32:Z32"/>
    <mergeCell ref="C5:M5"/>
    <mergeCell ref="C6:M6"/>
    <mergeCell ref="C7:M7"/>
    <mergeCell ref="C8:M8"/>
    <mergeCell ref="C16:M16"/>
    <mergeCell ref="C17:M17"/>
    <mergeCell ref="C18:M18"/>
    <mergeCell ref="P29:Z29"/>
    <mergeCell ref="AC29:AM29"/>
    <mergeCell ref="AP29:AZ29"/>
    <mergeCell ref="FP29:FZ29"/>
    <mergeCell ref="GP29:GZ29"/>
    <mergeCell ref="BC29:BM29"/>
    <mergeCell ref="BP29:BZ29"/>
    <mergeCell ref="CC29:CM29"/>
    <mergeCell ref="CP29:CZ29"/>
    <mergeCell ref="DC29:DM29"/>
    <mergeCell ref="AP31:AZ31"/>
    <mergeCell ref="HC29:HM29"/>
    <mergeCell ref="AC30:AM30"/>
    <mergeCell ref="AP30:AZ30"/>
    <mergeCell ref="BC31:BM31"/>
    <mergeCell ref="CC31:CM31"/>
    <mergeCell ref="CP31:CZ31"/>
    <mergeCell ref="DC31:DM31"/>
    <mergeCell ref="FC29:FM29"/>
    <mergeCell ref="GC29:GM29"/>
    <mergeCell ref="HP29:HZ29"/>
    <mergeCell ref="IC29:IM29"/>
    <mergeCell ref="IP29:IV29"/>
    <mergeCell ref="BC30:BM30"/>
    <mergeCell ref="BP30:BZ30"/>
    <mergeCell ref="EC30:EM30"/>
    <mergeCell ref="EP30:EZ30"/>
    <mergeCell ref="HP30:HZ30"/>
    <mergeCell ref="EP29:EZ29"/>
    <mergeCell ref="FC30:FM30"/>
    <mergeCell ref="DC30:DM30"/>
    <mergeCell ref="DP30:DZ30"/>
    <mergeCell ref="P40:Z40"/>
    <mergeCell ref="AC40:AM40"/>
    <mergeCell ref="BP32:BZ32"/>
    <mergeCell ref="BC38:BM38"/>
    <mergeCell ref="BC32:BM32"/>
    <mergeCell ref="BP38:BZ38"/>
    <mergeCell ref="AC32:AM32"/>
    <mergeCell ref="AP32:AZ32"/>
    <mergeCell ref="BP31:BZ31"/>
    <mergeCell ref="FP31:FZ31"/>
    <mergeCell ref="GC31:GM31"/>
    <mergeCell ref="IC30:IM30"/>
    <mergeCell ref="GP31:GZ31"/>
    <mergeCell ref="HC31:HM31"/>
    <mergeCell ref="HP31:HZ31"/>
    <mergeCell ref="IC31:IM31"/>
    <mergeCell ref="CC30:CM30"/>
    <mergeCell ref="CP30:CZ30"/>
    <mergeCell ref="FC32:FM32"/>
    <mergeCell ref="DP31:DZ31"/>
    <mergeCell ref="EC31:EM31"/>
    <mergeCell ref="EP31:EZ31"/>
    <mergeCell ref="FC31:FM31"/>
    <mergeCell ref="IP30:IV30"/>
    <mergeCell ref="FP30:FZ30"/>
    <mergeCell ref="GC30:GM30"/>
    <mergeCell ref="GP30:GZ30"/>
    <mergeCell ref="HC30:HM30"/>
    <mergeCell ref="GP38:GZ38"/>
    <mergeCell ref="CC38:CM38"/>
    <mergeCell ref="CC32:CM32"/>
    <mergeCell ref="CP38:CZ38"/>
    <mergeCell ref="GP32:GZ32"/>
    <mergeCell ref="IP31:IV31"/>
    <mergeCell ref="CP32:CZ32"/>
    <mergeCell ref="HP32:HZ32"/>
    <mergeCell ref="IC32:IM32"/>
    <mergeCell ref="IP32:IV32"/>
    <mergeCell ref="FP38:FZ38"/>
    <mergeCell ref="IC38:IM38"/>
    <mergeCell ref="HC32:HM32"/>
    <mergeCell ref="DC32:DM32"/>
    <mergeCell ref="DP32:DZ32"/>
    <mergeCell ref="EC32:EM32"/>
    <mergeCell ref="EP32:EZ32"/>
    <mergeCell ref="FP32:FZ32"/>
    <mergeCell ref="GC32:GM32"/>
    <mergeCell ref="GC38:GM38"/>
    <mergeCell ref="IP38:IV38"/>
    <mergeCell ref="HC38:HM38"/>
    <mergeCell ref="P38:Z38"/>
    <mergeCell ref="AC38:AM38"/>
    <mergeCell ref="AP38:AZ38"/>
    <mergeCell ref="DC38:DM38"/>
    <mergeCell ref="DP38:DZ38"/>
    <mergeCell ref="EC38:EM38"/>
    <mergeCell ref="EP38:EZ38"/>
    <mergeCell ref="FC38:FM38"/>
    <mergeCell ref="BC39:B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HP39:HZ39"/>
    <mergeCell ref="DC39:DM39"/>
    <mergeCell ref="DP39:DZ39"/>
    <mergeCell ref="EC39:EM39"/>
    <mergeCell ref="GC39:GM39"/>
    <mergeCell ref="P39:Z39"/>
    <mergeCell ref="AC39:AM39"/>
    <mergeCell ref="AP39:AZ39"/>
    <mergeCell ref="CP39:CZ39"/>
    <mergeCell ref="BP39:BZ39"/>
    <mergeCell ref="CC39:CM39"/>
    <mergeCell ref="HC40:HM40"/>
    <mergeCell ref="DC40:DM40"/>
    <mergeCell ref="EP40:EZ40"/>
    <mergeCell ref="DP40:DZ40"/>
    <mergeCell ref="C45:M45"/>
    <mergeCell ref="C44:M44"/>
    <mergeCell ref="FP40:FZ40"/>
    <mergeCell ref="BC40:BM40"/>
    <mergeCell ref="C43:M43"/>
    <mergeCell ref="AP40:AZ40"/>
    <mergeCell ref="C42:M42"/>
    <mergeCell ref="C41:M41"/>
    <mergeCell ref="C46:M46"/>
    <mergeCell ref="HP40:HZ40"/>
    <mergeCell ref="EC40:EM40"/>
    <mergeCell ref="IP40:IV40"/>
    <mergeCell ref="BP40:BZ40"/>
    <mergeCell ref="FC40:FM40"/>
    <mergeCell ref="CC40:CM40"/>
    <mergeCell ref="CP40:CZ40"/>
    <mergeCell ref="IC40:IM40"/>
    <mergeCell ref="GC40:GM40"/>
    <mergeCell ref="GP40:GZ40"/>
    <mergeCell ref="C59:M59"/>
    <mergeCell ref="C60:M60"/>
    <mergeCell ref="C58:M58"/>
    <mergeCell ref="C52:M52"/>
    <mergeCell ref="C61:M61"/>
    <mergeCell ref="C53:M53"/>
    <mergeCell ref="C54:M54"/>
    <mergeCell ref="C55:M55"/>
    <mergeCell ref="C56:M56"/>
    <mergeCell ref="C50:M50"/>
    <mergeCell ref="C47:M47"/>
    <mergeCell ref="C48:M48"/>
    <mergeCell ref="C49:M49"/>
    <mergeCell ref="C51:M51"/>
    <mergeCell ref="C57:M57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2011-10-25T13:06:13Z</cp:lastPrinted>
  <dcterms:created xsi:type="dcterms:W3CDTF">1997-12-04T19:04:30Z</dcterms:created>
  <dcterms:modified xsi:type="dcterms:W3CDTF">2025-01-10T20:15:11Z</dcterms:modified>
</cp:coreProperties>
</file>