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461D727-B787-43D5-85EC-48CAB7E76576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C4A86A5-9B81-44BD-AB0A-BD276D63657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7" i="1" l="1"/>
  <c r="G601" i="1"/>
  <c r="J581" i="1"/>
  <c r="I581" i="1"/>
  <c r="H581" i="1"/>
  <c r="F569" i="1"/>
  <c r="H516" i="1"/>
  <c r="I511" i="1"/>
  <c r="J511" i="1"/>
  <c r="G511" i="1"/>
  <c r="F511" i="1"/>
  <c r="L511" i="1" s="1"/>
  <c r="H511" i="1"/>
  <c r="H514" i="1" s="1"/>
  <c r="H535" i="1" s="1"/>
  <c r="J462" i="1"/>
  <c r="J458" i="1"/>
  <c r="G350" i="1"/>
  <c r="I278" i="1"/>
  <c r="L278" i="1" s="1"/>
  <c r="E115" i="2" s="1"/>
  <c r="G274" i="1"/>
  <c r="J269" i="1"/>
  <c r="L269" i="1"/>
  <c r="I269" i="1"/>
  <c r="G269" i="1"/>
  <c r="J268" i="1"/>
  <c r="L268" i="1" s="1"/>
  <c r="J282" i="1"/>
  <c r="F31" i="13" s="1"/>
  <c r="I268" i="1"/>
  <c r="G268" i="1"/>
  <c r="F268" i="1"/>
  <c r="B9" i="12"/>
  <c r="H236" i="1"/>
  <c r="L236" i="1" s="1"/>
  <c r="H218" i="1"/>
  <c r="I195" i="1"/>
  <c r="I194" i="1"/>
  <c r="H200" i="1"/>
  <c r="H196" i="1"/>
  <c r="H194" i="1"/>
  <c r="L194" i="1" s="1"/>
  <c r="G196" i="1"/>
  <c r="G192" i="1"/>
  <c r="C36" i="12"/>
  <c r="F196" i="1"/>
  <c r="L196" i="1" s="1"/>
  <c r="F192" i="1"/>
  <c r="L192" i="1" s="1"/>
  <c r="J88" i="1"/>
  <c r="H151" i="1"/>
  <c r="H147" i="1"/>
  <c r="E80" i="2" s="1"/>
  <c r="E83" i="2" s="1"/>
  <c r="H146" i="1"/>
  <c r="H154" i="1" s="1"/>
  <c r="H161" i="1" s="1"/>
  <c r="C39" i="10" s="1"/>
  <c r="H142" i="1"/>
  <c r="F102" i="1"/>
  <c r="F9" i="1"/>
  <c r="F103" i="1"/>
  <c r="C37" i="10"/>
  <c r="C60" i="2"/>
  <c r="B2" i="13"/>
  <c r="F8" i="13"/>
  <c r="G8" i="13"/>
  <c r="L214" i="1"/>
  <c r="L232" i="1"/>
  <c r="D39" i="13"/>
  <c r="F13" i="13"/>
  <c r="G13" i="13"/>
  <c r="L198" i="1"/>
  <c r="L216" i="1"/>
  <c r="L234" i="1"/>
  <c r="C19" i="10" s="1"/>
  <c r="F16" i="13"/>
  <c r="G16" i="13"/>
  <c r="L201" i="1"/>
  <c r="E16" i="13"/>
  <c r="C16" i="13" s="1"/>
  <c r="L219" i="1"/>
  <c r="L237" i="1"/>
  <c r="F5" i="13"/>
  <c r="G5" i="13"/>
  <c r="L189" i="1"/>
  <c r="L190" i="1"/>
  <c r="L191" i="1"/>
  <c r="L207" i="1"/>
  <c r="L208" i="1"/>
  <c r="C11" i="10" s="1"/>
  <c r="L209" i="1"/>
  <c r="C12" i="10" s="1"/>
  <c r="L210" i="1"/>
  <c r="L225" i="1"/>
  <c r="L226" i="1"/>
  <c r="L227" i="1"/>
  <c r="L228" i="1"/>
  <c r="F6" i="13"/>
  <c r="G6" i="13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C113" i="2"/>
  <c r="L215" i="1"/>
  <c r="L233" i="1"/>
  <c r="F14" i="13"/>
  <c r="G14" i="13"/>
  <c r="G33" i="13" s="1"/>
  <c r="L199" i="1"/>
  <c r="C20" i="10" s="1"/>
  <c r="L217" i="1"/>
  <c r="L235" i="1"/>
  <c r="F15" i="13"/>
  <c r="G15" i="13"/>
  <c r="L200" i="1"/>
  <c r="L218" i="1"/>
  <c r="G652" i="1" s="1"/>
  <c r="F17" i="13"/>
  <c r="G17" i="13"/>
  <c r="L243" i="1"/>
  <c r="D17" i="13" s="1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D29" i="13" s="1"/>
  <c r="C29" i="13" s="1"/>
  <c r="G29" i="13"/>
  <c r="L350" i="1"/>
  <c r="L351" i="1"/>
  <c r="L352" i="1"/>
  <c r="H651" i="1" s="1"/>
  <c r="I359" i="1"/>
  <c r="J301" i="1"/>
  <c r="J320" i="1"/>
  <c r="K282" i="1"/>
  <c r="K330" i="1" s="1"/>
  <c r="K344" i="1" s="1"/>
  <c r="K301" i="1"/>
  <c r="K320" i="1"/>
  <c r="L270" i="1"/>
  <c r="L271" i="1"/>
  <c r="L273" i="1"/>
  <c r="E110" i="2"/>
  <c r="L274" i="1"/>
  <c r="L275" i="1"/>
  <c r="L276" i="1"/>
  <c r="L277" i="1"/>
  <c r="L279" i="1"/>
  <c r="E116" i="2" s="1"/>
  <c r="L280" i="1"/>
  <c r="E117" i="2" s="1"/>
  <c r="L287" i="1"/>
  <c r="L288" i="1"/>
  <c r="E102" i="2" s="1"/>
  <c r="L289" i="1"/>
  <c r="L290" i="1"/>
  <c r="L292" i="1"/>
  <c r="L293" i="1"/>
  <c r="L294" i="1"/>
  <c r="L295" i="1"/>
  <c r="E113" i="2" s="1"/>
  <c r="L296" i="1"/>
  <c r="L297" i="1"/>
  <c r="L298" i="1"/>
  <c r="L299" i="1"/>
  <c r="L306" i="1"/>
  <c r="L307" i="1"/>
  <c r="L308" i="1"/>
  <c r="L309" i="1"/>
  <c r="L311" i="1"/>
  <c r="L312" i="1"/>
  <c r="L313" i="1"/>
  <c r="L314" i="1"/>
  <c r="L315" i="1"/>
  <c r="L316" i="1"/>
  <c r="L320" i="1" s="1"/>
  <c r="L317" i="1"/>
  <c r="L318" i="1"/>
  <c r="L325" i="1"/>
  <c r="E106" i="2" s="1"/>
  <c r="L326" i="1"/>
  <c r="L327" i="1"/>
  <c r="L252" i="1"/>
  <c r="L253" i="1"/>
  <c r="C124" i="2" s="1"/>
  <c r="L333" i="1"/>
  <c r="L343" i="1" s="1"/>
  <c r="L334" i="1"/>
  <c r="L247" i="1"/>
  <c r="L328" i="1"/>
  <c r="C29" i="10" s="1"/>
  <c r="C11" i="13"/>
  <c r="C10" i="13"/>
  <c r="C9" i="13"/>
  <c r="L353" i="1"/>
  <c r="B4" i="12"/>
  <c r="B36" i="12"/>
  <c r="B40" i="12"/>
  <c r="C40" i="12"/>
  <c r="B27" i="12"/>
  <c r="C27" i="12"/>
  <c r="B31" i="12"/>
  <c r="A31" i="12" s="1"/>
  <c r="C31" i="12"/>
  <c r="B13" i="12"/>
  <c r="C9" i="12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5" i="2" s="1"/>
  <c r="G51" i="2"/>
  <c r="G54" i="2" s="1"/>
  <c r="G53" i="2"/>
  <c r="F2" i="11"/>
  <c r="L603" i="1"/>
  <c r="H653" i="1" s="1"/>
  <c r="L602" i="1"/>
  <c r="G653" i="1" s="1"/>
  <c r="L601" i="1"/>
  <c r="F653" i="1" s="1"/>
  <c r="I653" i="1" s="1"/>
  <c r="C40" i="10"/>
  <c r="F52" i="1"/>
  <c r="C48" i="2" s="1"/>
  <c r="C55" i="2" s="1"/>
  <c r="G52" i="1"/>
  <c r="H52" i="1"/>
  <c r="I52" i="1"/>
  <c r="F48" i="2" s="1"/>
  <c r="F55" i="2" s="1"/>
  <c r="F71" i="1"/>
  <c r="C49" i="2" s="1"/>
  <c r="C54" i="2" s="1"/>
  <c r="F86" i="1"/>
  <c r="G103" i="1"/>
  <c r="G104" i="1"/>
  <c r="H71" i="1"/>
  <c r="H86" i="1"/>
  <c r="H103" i="1"/>
  <c r="I103" i="1"/>
  <c r="J103" i="1"/>
  <c r="J104" i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85" i="1" s="1"/>
  <c r="J128" i="1"/>
  <c r="F139" i="1"/>
  <c r="F154" i="1"/>
  <c r="F161" i="1"/>
  <c r="G139" i="1"/>
  <c r="G154" i="1"/>
  <c r="H139" i="1"/>
  <c r="I139" i="1"/>
  <c r="I161" i="1" s="1"/>
  <c r="I154" i="1"/>
  <c r="L242" i="1"/>
  <c r="L324" i="1"/>
  <c r="C23" i="10"/>
  <c r="L246" i="1"/>
  <c r="L260" i="1"/>
  <c r="C26" i="10" s="1"/>
  <c r="L261" i="1"/>
  <c r="L341" i="1"/>
  <c r="L342" i="1"/>
  <c r="E135" i="2" s="1"/>
  <c r="I655" i="1"/>
  <c r="I660" i="1"/>
  <c r="I659" i="1"/>
  <c r="C6" i="10"/>
  <c r="C5" i="10"/>
  <c r="C42" i="10"/>
  <c r="C32" i="10"/>
  <c r="L366" i="1"/>
  <c r="F122" i="2" s="1"/>
  <c r="F136" i="2" s="1"/>
  <c r="F137" i="2" s="1"/>
  <c r="L367" i="1"/>
  <c r="L368" i="1"/>
  <c r="L374" i="1" s="1"/>
  <c r="G626" i="1" s="1"/>
  <c r="J626" i="1" s="1"/>
  <c r="L369" i="1"/>
  <c r="L370" i="1"/>
  <c r="L371" i="1"/>
  <c r="F126" i="2"/>
  <c r="L372" i="1"/>
  <c r="B2" i="10"/>
  <c r="L336" i="1"/>
  <c r="L337" i="1"/>
  <c r="L338" i="1"/>
  <c r="L339" i="1"/>
  <c r="K343" i="1"/>
  <c r="L512" i="1"/>
  <c r="F540" i="1" s="1"/>
  <c r="K540" i="1" s="1"/>
  <c r="L513" i="1"/>
  <c r="F541" i="1"/>
  <c r="L516" i="1"/>
  <c r="G539" i="1"/>
  <c r="L517" i="1"/>
  <c r="G540" i="1"/>
  <c r="L518" i="1"/>
  <c r="G541" i="1" s="1"/>
  <c r="G542" i="1" s="1"/>
  <c r="L521" i="1"/>
  <c r="H539" i="1"/>
  <c r="L522" i="1"/>
  <c r="H540" i="1"/>
  <c r="L523" i="1"/>
  <c r="L524" i="1" s="1"/>
  <c r="L526" i="1"/>
  <c r="I539" i="1"/>
  <c r="L527" i="1"/>
  <c r="L529" i="1" s="1"/>
  <c r="I540" i="1"/>
  <c r="L528" i="1"/>
  <c r="I541" i="1" s="1"/>
  <c r="L531" i="1"/>
  <c r="J539" i="1"/>
  <c r="L532" i="1"/>
  <c r="J540" i="1"/>
  <c r="L533" i="1"/>
  <c r="J541" i="1" s="1"/>
  <c r="J542" i="1" s="1"/>
  <c r="E124" i="2"/>
  <c r="K262" i="1"/>
  <c r="J262" i="1"/>
  <c r="L262" i="1" s="1"/>
  <c r="I262" i="1"/>
  <c r="H262" i="1"/>
  <c r="G262" i="1"/>
  <c r="F262" i="1"/>
  <c r="C123" i="2"/>
  <c r="A1" i="2"/>
  <c r="A2" i="2"/>
  <c r="C9" i="2"/>
  <c r="D9" i="2"/>
  <c r="E9" i="2"/>
  <c r="E19" i="2" s="1"/>
  <c r="F9" i="2"/>
  <c r="F19" i="2" s="1"/>
  <c r="I431" i="1"/>
  <c r="J9" i="1" s="1"/>
  <c r="C10" i="2"/>
  <c r="D10" i="2"/>
  <c r="E10" i="2"/>
  <c r="F10" i="2"/>
  <c r="F12" i="2"/>
  <c r="F13" i="2"/>
  <c r="F14" i="2"/>
  <c r="F15" i="2"/>
  <c r="F16" i="2"/>
  <c r="F17" i="2"/>
  <c r="F18" i="2"/>
  <c r="I432" i="1"/>
  <c r="J10" i="1"/>
  <c r="G10" i="2" s="1"/>
  <c r="C11" i="2"/>
  <c r="C12" i="2"/>
  <c r="D12" i="2"/>
  <c r="E12" i="2"/>
  <c r="I433" i="1"/>
  <c r="J12" i="1"/>
  <c r="G12" i="2"/>
  <c r="C13" i="2"/>
  <c r="D13" i="2"/>
  <c r="E13" i="2"/>
  <c r="E14" i="2"/>
  <c r="E16" i="2"/>
  <c r="E17" i="2"/>
  <c r="E18" i="2"/>
  <c r="I434" i="1"/>
  <c r="J13" i="1"/>
  <c r="G13" i="2"/>
  <c r="C14" i="2"/>
  <c r="D14" i="2"/>
  <c r="I435" i="1"/>
  <c r="J14" i="1"/>
  <c r="G14" i="2" s="1"/>
  <c r="C16" i="2"/>
  <c r="D16" i="2"/>
  <c r="C17" i="2"/>
  <c r="D17" i="2"/>
  <c r="I436" i="1"/>
  <c r="J17" i="1"/>
  <c r="G17" i="2"/>
  <c r="C18" i="2"/>
  <c r="D18" i="2"/>
  <c r="I437" i="1"/>
  <c r="J18" i="1"/>
  <c r="G18" i="2" s="1"/>
  <c r="C22" i="2"/>
  <c r="D22" i="2"/>
  <c r="E22" i="2"/>
  <c r="F22" i="2"/>
  <c r="F32" i="2" s="1"/>
  <c r="I440" i="1"/>
  <c r="J23" i="1"/>
  <c r="C23" i="2"/>
  <c r="C32" i="2" s="1"/>
  <c r="C43" i="2" s="1"/>
  <c r="D23" i="2"/>
  <c r="D32" i="2" s="1"/>
  <c r="E23" i="2"/>
  <c r="F23" i="2"/>
  <c r="I441" i="1"/>
  <c r="J24" i="1" s="1"/>
  <c r="C24" i="2"/>
  <c r="D24" i="2"/>
  <c r="E24" i="2"/>
  <c r="F24" i="2"/>
  <c r="F25" i="2"/>
  <c r="F26" i="2"/>
  <c r="F27" i="2"/>
  <c r="F28" i="2"/>
  <c r="F29" i="2"/>
  <c r="F30" i="2"/>
  <c r="F31" i="2"/>
  <c r="I442" i="1"/>
  <c r="J25" i="1"/>
  <c r="G24" i="2" s="1"/>
  <c r="C25" i="2"/>
  <c r="D25" i="2"/>
  <c r="E25" i="2"/>
  <c r="E32" i="2" s="1"/>
  <c r="C26" i="2"/>
  <c r="C27" i="2"/>
  <c r="C28" i="2"/>
  <c r="D28" i="2"/>
  <c r="D29" i="2"/>
  <c r="D30" i="2"/>
  <c r="D31" i="2"/>
  <c r="E28" i="2"/>
  <c r="C29" i="2"/>
  <c r="E29" i="2"/>
  <c r="C30" i="2"/>
  <c r="E30" i="2"/>
  <c r="C31" i="2"/>
  <c r="E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E42" i="2" s="1"/>
  <c r="F35" i="2"/>
  <c r="F42" i="2" s="1"/>
  <c r="C36" i="2"/>
  <c r="D36" i="2"/>
  <c r="E36" i="2"/>
  <c r="F36" i="2"/>
  <c r="F37" i="2"/>
  <c r="F38" i="2"/>
  <c r="F40" i="2"/>
  <c r="F41" i="2"/>
  <c r="I446" i="1"/>
  <c r="I450" i="1" s="1"/>
  <c r="J37" i="1"/>
  <c r="C37" i="2"/>
  <c r="D37" i="2"/>
  <c r="D38" i="2"/>
  <c r="D40" i="2"/>
  <c r="D41" i="2"/>
  <c r="E37" i="2"/>
  <c r="E38" i="2"/>
  <c r="E40" i="2"/>
  <c r="E41" i="2"/>
  <c r="I447" i="1"/>
  <c r="J38" i="1" s="1"/>
  <c r="G37" i="2" s="1"/>
  <c r="C38" i="2"/>
  <c r="I448" i="1"/>
  <c r="J40" i="1" s="1"/>
  <c r="G39" i="2" s="1"/>
  <c r="C40" i="2"/>
  <c r="I449" i="1"/>
  <c r="J41" i="1"/>
  <c r="G40" i="2" s="1"/>
  <c r="C41" i="2"/>
  <c r="D48" i="2"/>
  <c r="E49" i="2"/>
  <c r="E54" i="2" s="1"/>
  <c r="E50" i="2"/>
  <c r="E51" i="2"/>
  <c r="E53" i="2"/>
  <c r="C51" i="2"/>
  <c r="D51" i="2"/>
  <c r="D54" i="2" s="1"/>
  <c r="D55" i="2" s="1"/>
  <c r="D52" i="2"/>
  <c r="D53" i="2"/>
  <c r="F51" i="2"/>
  <c r="F54" i="2" s="1"/>
  <c r="F53" i="2"/>
  <c r="C53" i="2"/>
  <c r="C58" i="2"/>
  <c r="C59" i="2"/>
  <c r="C61" i="2"/>
  <c r="D61" i="2"/>
  <c r="E61" i="2"/>
  <c r="E62" i="2"/>
  <c r="F61" i="2"/>
  <c r="F62" i="2" s="1"/>
  <c r="G61" i="2"/>
  <c r="G62" i="2" s="1"/>
  <c r="G73" i="2" s="1"/>
  <c r="G69" i="2"/>
  <c r="G70" i="2"/>
  <c r="D62" i="2"/>
  <c r="C64" i="2"/>
  <c r="F64" i="2"/>
  <c r="C65" i="2"/>
  <c r="C70" i="2" s="1"/>
  <c r="C73" i="2" s="1"/>
  <c r="F65" i="2"/>
  <c r="F70" i="2" s="1"/>
  <c r="C66" i="2"/>
  <c r="C67" i="2"/>
  <c r="C68" i="2"/>
  <c r="E68" i="2"/>
  <c r="E70" i="2" s="1"/>
  <c r="E73" i="2" s="1"/>
  <c r="F68" i="2"/>
  <c r="C69" i="2"/>
  <c r="D69" i="2"/>
  <c r="D70" i="2"/>
  <c r="E69" i="2"/>
  <c r="E71" i="2"/>
  <c r="E72" i="2"/>
  <c r="F69" i="2"/>
  <c r="C71" i="2"/>
  <c r="D71" i="2"/>
  <c r="C72" i="2"/>
  <c r="C77" i="2"/>
  <c r="E77" i="2"/>
  <c r="C79" i="2"/>
  <c r="E79" i="2"/>
  <c r="F79" i="2"/>
  <c r="F80" i="2"/>
  <c r="F81" i="2"/>
  <c r="C80" i="2"/>
  <c r="D80" i="2"/>
  <c r="E81" i="2"/>
  <c r="E48" i="2"/>
  <c r="E55" i="2" s="1"/>
  <c r="E88" i="2"/>
  <c r="E95" i="2" s="1"/>
  <c r="E89" i="2"/>
  <c r="E90" i="2"/>
  <c r="E91" i="2"/>
  <c r="E92" i="2"/>
  <c r="E93" i="2"/>
  <c r="E94" i="2"/>
  <c r="C81" i="2"/>
  <c r="D81" i="2"/>
  <c r="C82" i="2"/>
  <c r="C85" i="2"/>
  <c r="F85" i="2"/>
  <c r="F95" i="2" s="1"/>
  <c r="C86" i="2"/>
  <c r="C95" i="2" s="1"/>
  <c r="F86" i="2"/>
  <c r="D88" i="2"/>
  <c r="D95" i="2" s="1"/>
  <c r="D89" i="2"/>
  <c r="D90" i="2"/>
  <c r="D91" i="2"/>
  <c r="D92" i="2"/>
  <c r="D93" i="2"/>
  <c r="D94" i="2"/>
  <c r="F88" i="2"/>
  <c r="G88" i="2"/>
  <c r="G95" i="2" s="1"/>
  <c r="C89" i="2"/>
  <c r="F89" i="2"/>
  <c r="G89" i="2"/>
  <c r="G90" i="2"/>
  <c r="C90" i="2"/>
  <c r="C91" i="2"/>
  <c r="F91" i="2"/>
  <c r="C92" i="2"/>
  <c r="F92" i="2"/>
  <c r="C93" i="2"/>
  <c r="F93" i="2"/>
  <c r="C94" i="2"/>
  <c r="F94" i="2"/>
  <c r="C101" i="2"/>
  <c r="E103" i="2"/>
  <c r="C105" i="2"/>
  <c r="E105" i="2"/>
  <c r="D107" i="2"/>
  <c r="F107" i="2"/>
  <c r="F120" i="2"/>
  <c r="G107" i="2"/>
  <c r="E111" i="2"/>
  <c r="E112" i="2"/>
  <c r="C114" i="2"/>
  <c r="E114" i="2"/>
  <c r="G120" i="2"/>
  <c r="C122" i="2"/>
  <c r="D126" i="2"/>
  <c r="D136" i="2"/>
  <c r="E126" i="2"/>
  <c r="K411" i="1"/>
  <c r="K426" i="1" s="1"/>
  <c r="G126" i="2" s="1"/>
  <c r="G136" i="2" s="1"/>
  <c r="K419" i="1"/>
  <c r="K425" i="1"/>
  <c r="L255" i="1"/>
  <c r="C127" i="2" s="1"/>
  <c r="E127" i="2"/>
  <c r="E129" i="2"/>
  <c r="E134" i="2"/>
  <c r="L256" i="1"/>
  <c r="C128" i="2" s="1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156" i="2" s="1"/>
  <c r="G493" i="1"/>
  <c r="C156" i="2" s="1"/>
  <c r="H493" i="1"/>
  <c r="D156" i="2"/>
  <c r="I493" i="1"/>
  <c r="E156" i="2"/>
  <c r="J493" i="1"/>
  <c r="F156" i="2"/>
  <c r="F19" i="1"/>
  <c r="G607" i="1"/>
  <c r="G19" i="1"/>
  <c r="G608" i="1" s="1"/>
  <c r="J608" i="1" s="1"/>
  <c r="H19" i="1"/>
  <c r="G609" i="1" s="1"/>
  <c r="J609" i="1" s="1"/>
  <c r="I19" i="1"/>
  <c r="G610" i="1"/>
  <c r="F33" i="1"/>
  <c r="G33" i="1"/>
  <c r="H33" i="1"/>
  <c r="I33" i="1"/>
  <c r="I44" i="1" s="1"/>
  <c r="H610" i="1" s="1"/>
  <c r="J610" i="1" s="1"/>
  <c r="F43" i="1"/>
  <c r="F44" i="1" s="1"/>
  <c r="H607" i="1" s="1"/>
  <c r="G43" i="1"/>
  <c r="H43" i="1"/>
  <c r="H44" i="1" s="1"/>
  <c r="H609" i="1" s="1"/>
  <c r="I43" i="1"/>
  <c r="F169" i="1"/>
  <c r="I169" i="1"/>
  <c r="I184" i="1" s="1"/>
  <c r="F175" i="1"/>
  <c r="F184" i="1" s="1"/>
  <c r="G175" i="1"/>
  <c r="G184" i="1" s="1"/>
  <c r="H175" i="1"/>
  <c r="H184" i="1" s="1"/>
  <c r="I175" i="1"/>
  <c r="J175" i="1"/>
  <c r="J184" i="1"/>
  <c r="F180" i="1"/>
  <c r="G180" i="1"/>
  <c r="H180" i="1"/>
  <c r="I180" i="1"/>
  <c r="F203" i="1"/>
  <c r="F249" i="1" s="1"/>
  <c r="F263" i="1" s="1"/>
  <c r="G203" i="1"/>
  <c r="G249" i="1" s="1"/>
  <c r="G263" i="1" s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I249" i="1" s="1"/>
  <c r="I263" i="1" s="1"/>
  <c r="J239" i="1"/>
  <c r="J249" i="1" s="1"/>
  <c r="K239" i="1"/>
  <c r="F248" i="1"/>
  <c r="G248" i="1"/>
  <c r="H248" i="1"/>
  <c r="I248" i="1"/>
  <c r="L248" i="1" s="1"/>
  <c r="J248" i="1"/>
  <c r="K248" i="1"/>
  <c r="G282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G330" i="1" s="1"/>
  <c r="G344" i="1" s="1"/>
  <c r="H329" i="1"/>
  <c r="I329" i="1"/>
  <c r="J329" i="1"/>
  <c r="K329" i="1"/>
  <c r="F354" i="1"/>
  <c r="G354" i="1"/>
  <c r="H354" i="1"/>
  <c r="I354" i="1"/>
  <c r="G62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H400" i="1" s="1"/>
  <c r="H634" i="1" s="1"/>
  <c r="J634" i="1" s="1"/>
  <c r="I385" i="1"/>
  <c r="I400" i="1" s="1"/>
  <c r="F393" i="1"/>
  <c r="G393" i="1"/>
  <c r="G400" i="1" s="1"/>
  <c r="H635" i="1" s="1"/>
  <c r="H393" i="1"/>
  <c r="I393" i="1"/>
  <c r="F399" i="1"/>
  <c r="G399" i="1"/>
  <c r="H399" i="1"/>
  <c r="I399" i="1"/>
  <c r="L405" i="1"/>
  <c r="L407" i="1"/>
  <c r="L406" i="1"/>
  <c r="L411" i="1" s="1"/>
  <c r="L408" i="1"/>
  <c r="L409" i="1"/>
  <c r="L410" i="1"/>
  <c r="F411" i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H426" i="1" s="1"/>
  <c r="I419" i="1"/>
  <c r="J419" i="1"/>
  <c r="L421" i="1"/>
  <c r="L425" i="1" s="1"/>
  <c r="L422" i="1"/>
  <c r="L423" i="1"/>
  <c r="L424" i="1"/>
  <c r="F425" i="1"/>
  <c r="F426" i="1"/>
  <c r="G425" i="1"/>
  <c r="H425" i="1"/>
  <c r="I425" i="1"/>
  <c r="J425" i="1"/>
  <c r="J426" i="1"/>
  <c r="F438" i="1"/>
  <c r="G629" i="1"/>
  <c r="G438" i="1"/>
  <c r="G630" i="1"/>
  <c r="H438" i="1"/>
  <c r="I438" i="1"/>
  <c r="G632" i="1" s="1"/>
  <c r="F444" i="1"/>
  <c r="G444" i="1"/>
  <c r="H444" i="1"/>
  <c r="H451" i="1" s="1"/>
  <c r="H631" i="1" s="1"/>
  <c r="I444" i="1"/>
  <c r="I451" i="1" s="1"/>
  <c r="H632" i="1" s="1"/>
  <c r="F450" i="1"/>
  <c r="G450" i="1"/>
  <c r="G451" i="1"/>
  <c r="H630" i="1"/>
  <c r="J630" i="1" s="1"/>
  <c r="H450" i="1"/>
  <c r="F451" i="1"/>
  <c r="F460" i="1"/>
  <c r="G460" i="1"/>
  <c r="G466" i="1" s="1"/>
  <c r="H613" i="1" s="1"/>
  <c r="J613" i="1" s="1"/>
  <c r="H460" i="1"/>
  <c r="I460" i="1"/>
  <c r="I466" i="1" s="1"/>
  <c r="H615" i="1" s="1"/>
  <c r="J460" i="1"/>
  <c r="J466" i="1"/>
  <c r="H616" i="1" s="1"/>
  <c r="F464" i="1"/>
  <c r="F466" i="1"/>
  <c r="H612" i="1"/>
  <c r="G464" i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G514" i="1"/>
  <c r="G535" i="1" s="1"/>
  <c r="I514" i="1"/>
  <c r="J514" i="1"/>
  <c r="J535" i="1" s="1"/>
  <c r="K514" i="1"/>
  <c r="F519" i="1"/>
  <c r="G519" i="1"/>
  <c r="H519" i="1"/>
  <c r="I519" i="1"/>
  <c r="J519" i="1"/>
  <c r="K519" i="1"/>
  <c r="K535" i="1" s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L550" i="1"/>
  <c r="F550" i="1"/>
  <c r="F561" i="1" s="1"/>
  <c r="G550" i="1"/>
  <c r="H550" i="1"/>
  <c r="I550" i="1"/>
  <c r="I561" i="1" s="1"/>
  <c r="J550" i="1"/>
  <c r="K550" i="1"/>
  <c r="L552" i="1"/>
  <c r="L555" i="1"/>
  <c r="L553" i="1"/>
  <c r="L554" i="1"/>
  <c r="F555" i="1"/>
  <c r="G555" i="1"/>
  <c r="G561" i="1" s="1"/>
  <c r="H555" i="1"/>
  <c r="I555" i="1"/>
  <c r="J555" i="1"/>
  <c r="J561" i="1" s="1"/>
  <c r="K555" i="1"/>
  <c r="K561" i="1"/>
  <c r="L557" i="1"/>
  <c r="L560" i="1" s="1"/>
  <c r="L561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K586" i="1"/>
  <c r="K587" i="1"/>
  <c r="H588" i="1"/>
  <c r="H639" i="1" s="1"/>
  <c r="I588" i="1"/>
  <c r="H640" i="1"/>
  <c r="J588" i="1"/>
  <c r="H641" i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G633" i="1"/>
  <c r="J633" i="1" s="1"/>
  <c r="G634" i="1"/>
  <c r="G635" i="1"/>
  <c r="J635" i="1" s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C42" i="2"/>
  <c r="L519" i="1"/>
  <c r="L329" i="1"/>
  <c r="H561" i="1"/>
  <c r="G615" i="1"/>
  <c r="K493" i="1"/>
  <c r="C83" i="2"/>
  <c r="E104" i="2"/>
  <c r="C50" i="2"/>
  <c r="L301" i="1"/>
  <c r="H104" i="1"/>
  <c r="L393" i="1"/>
  <c r="C131" i="2"/>
  <c r="C25" i="10"/>
  <c r="H25" i="13"/>
  <c r="C25" i="13" s="1"/>
  <c r="D73" i="2"/>
  <c r="G36" i="2"/>
  <c r="G161" i="1"/>
  <c r="D77" i="2"/>
  <c r="D83" i="2"/>
  <c r="D19" i="2"/>
  <c r="J629" i="1"/>
  <c r="F651" i="1"/>
  <c r="G651" i="1"/>
  <c r="I651" i="1" s="1"/>
  <c r="L354" i="1"/>
  <c r="C27" i="10"/>
  <c r="D119" i="2"/>
  <c r="D120" i="2"/>
  <c r="D137" i="2" s="1"/>
  <c r="G31" i="13"/>
  <c r="F282" i="1"/>
  <c r="F330" i="1" s="1"/>
  <c r="F344" i="1" s="1"/>
  <c r="G640" i="1"/>
  <c r="J640" i="1"/>
  <c r="C18" i="10"/>
  <c r="G639" i="1"/>
  <c r="C117" i="2"/>
  <c r="D12" i="13"/>
  <c r="C12" i="13" s="1"/>
  <c r="C115" i="2"/>
  <c r="A40" i="12"/>
  <c r="A22" i="12"/>
  <c r="A13" i="12"/>
  <c r="H466" i="1"/>
  <c r="H614" i="1"/>
  <c r="C62" i="2"/>
  <c r="C35" i="10"/>
  <c r="G44" i="1"/>
  <c r="H608" i="1" s="1"/>
  <c r="C19" i="2"/>
  <c r="G22" i="2"/>
  <c r="G613" i="1"/>
  <c r="G625" i="1"/>
  <c r="J625" i="1" s="1"/>
  <c r="J615" i="1" l="1"/>
  <c r="F43" i="2"/>
  <c r="C38" i="10"/>
  <c r="F33" i="13"/>
  <c r="L514" i="1"/>
  <c r="L535" i="1" s="1"/>
  <c r="F539" i="1"/>
  <c r="J19" i="1"/>
  <c r="G611" i="1" s="1"/>
  <c r="G9" i="2"/>
  <c r="G19" i="2" s="1"/>
  <c r="E43" i="2"/>
  <c r="C110" i="2"/>
  <c r="C15" i="10"/>
  <c r="D6" i="13"/>
  <c r="C6" i="13" s="1"/>
  <c r="E101" i="2"/>
  <c r="E107" i="2" s="1"/>
  <c r="C10" i="10"/>
  <c r="L282" i="1"/>
  <c r="J637" i="1"/>
  <c r="J43" i="1"/>
  <c r="C96" i="2"/>
  <c r="E120" i="2"/>
  <c r="J263" i="1"/>
  <c r="D96" i="2"/>
  <c r="G23" i="2"/>
  <c r="G32" i="2" s="1"/>
  <c r="J33" i="1"/>
  <c r="G621" i="1"/>
  <c r="J621" i="1" s="1"/>
  <c r="G636" i="1"/>
  <c r="L400" i="1"/>
  <c r="C130" i="2"/>
  <c r="C133" i="2" s="1"/>
  <c r="G42" i="2"/>
  <c r="E96" i="2"/>
  <c r="L239" i="1"/>
  <c r="H650" i="1" s="1"/>
  <c r="H654" i="1" s="1"/>
  <c r="J631" i="1"/>
  <c r="J632" i="1"/>
  <c r="L426" i="1"/>
  <c r="G628" i="1" s="1"/>
  <c r="J628" i="1" s="1"/>
  <c r="J639" i="1"/>
  <c r="J607" i="1"/>
  <c r="F73" i="2"/>
  <c r="F96" i="2" s="1"/>
  <c r="H652" i="1"/>
  <c r="C116" i="2"/>
  <c r="C21" i="10"/>
  <c r="H637" i="1"/>
  <c r="D15" i="13"/>
  <c r="C15" i="13" s="1"/>
  <c r="G641" i="1"/>
  <c r="J641" i="1" s="1"/>
  <c r="I542" i="1"/>
  <c r="H185" i="1"/>
  <c r="G619" i="1" s="1"/>
  <c r="J619" i="1" s="1"/>
  <c r="C104" i="2"/>
  <c r="C13" i="10"/>
  <c r="D5" i="13"/>
  <c r="L203" i="1"/>
  <c r="G153" i="2"/>
  <c r="G137" i="2"/>
  <c r="C17" i="10"/>
  <c r="C112" i="2"/>
  <c r="E8" i="13"/>
  <c r="K541" i="1"/>
  <c r="G185" i="1"/>
  <c r="G618" i="1" s="1"/>
  <c r="J618" i="1" s="1"/>
  <c r="G96" i="2"/>
  <c r="F22" i="13"/>
  <c r="C22" i="13" s="1"/>
  <c r="F652" i="1"/>
  <c r="I652" i="1" s="1"/>
  <c r="H33" i="13"/>
  <c r="G614" i="1"/>
  <c r="J614" i="1" s="1"/>
  <c r="E123" i="2"/>
  <c r="G612" i="1"/>
  <c r="J612" i="1" s="1"/>
  <c r="E122" i="2"/>
  <c r="E136" i="2" s="1"/>
  <c r="I104" i="1"/>
  <c r="I185" i="1" s="1"/>
  <c r="G620" i="1" s="1"/>
  <c r="J620" i="1" s="1"/>
  <c r="C16" i="10"/>
  <c r="L221" i="1"/>
  <c r="G650" i="1" s="1"/>
  <c r="G654" i="1" s="1"/>
  <c r="L604" i="1"/>
  <c r="F77" i="2"/>
  <c r="F83" i="2" s="1"/>
  <c r="H541" i="1"/>
  <c r="H542" i="1" s="1"/>
  <c r="C102" i="2"/>
  <c r="D14" i="13"/>
  <c r="C14" i="13" s="1"/>
  <c r="F514" i="1"/>
  <c r="F535" i="1" s="1"/>
  <c r="C106" i="2"/>
  <c r="C111" i="2"/>
  <c r="H203" i="1"/>
  <c r="H249" i="1" s="1"/>
  <c r="H263" i="1" s="1"/>
  <c r="E13" i="13"/>
  <c r="C13" i="13" s="1"/>
  <c r="J330" i="1"/>
  <c r="J344" i="1" s="1"/>
  <c r="C24" i="10"/>
  <c r="C103" i="2"/>
  <c r="F104" i="1"/>
  <c r="F185" i="1" s="1"/>
  <c r="G617" i="1" s="1"/>
  <c r="J617" i="1" s="1"/>
  <c r="C5" i="13" l="1"/>
  <c r="C107" i="2"/>
  <c r="L330" i="1"/>
  <c r="L344" i="1" s="1"/>
  <c r="G623" i="1" s="1"/>
  <c r="J623" i="1" s="1"/>
  <c r="D31" i="13"/>
  <c r="C31" i="13" s="1"/>
  <c r="G43" i="2"/>
  <c r="J636" i="1"/>
  <c r="C36" i="10"/>
  <c r="G616" i="1"/>
  <c r="J616" i="1" s="1"/>
  <c r="J44" i="1"/>
  <c r="H611" i="1" s="1"/>
  <c r="J611" i="1"/>
  <c r="G657" i="1"/>
  <c r="G662" i="1"/>
  <c r="G627" i="1"/>
  <c r="J627" i="1" s="1"/>
  <c r="H636" i="1"/>
  <c r="K539" i="1"/>
  <c r="K542" i="1" s="1"/>
  <c r="F542" i="1"/>
  <c r="D13" i="10"/>
  <c r="C28" i="10"/>
  <c r="E137" i="2"/>
  <c r="H657" i="1"/>
  <c r="H662" i="1"/>
  <c r="D15" i="10"/>
  <c r="L249" i="1"/>
  <c r="L263" i="1" s="1"/>
  <c r="G622" i="1" s="1"/>
  <c r="J622" i="1" s="1"/>
  <c r="F650" i="1"/>
  <c r="E33" i="13"/>
  <c r="D35" i="13" s="1"/>
  <c r="C8" i="13"/>
  <c r="C136" i="2"/>
  <c r="H638" i="1"/>
  <c r="J638" i="1" s="1"/>
  <c r="C120" i="2"/>
  <c r="C30" i="10" l="1"/>
  <c r="D23" i="10"/>
  <c r="D25" i="10"/>
  <c r="D18" i="10"/>
  <c r="D22" i="10"/>
  <c r="D19" i="10"/>
  <c r="D11" i="10"/>
  <c r="D20" i="10"/>
  <c r="D26" i="10"/>
  <c r="D12" i="10"/>
  <c r="D27" i="10"/>
  <c r="D36" i="10"/>
  <c r="C41" i="10"/>
  <c r="D17" i="10"/>
  <c r="D10" i="10"/>
  <c r="D24" i="10"/>
  <c r="D16" i="10"/>
  <c r="D21" i="10"/>
  <c r="I650" i="1"/>
  <c r="I654" i="1" s="1"/>
  <c r="F654" i="1"/>
  <c r="H646" i="1"/>
  <c r="C137" i="2"/>
  <c r="D33" i="13"/>
  <c r="D36" i="13" s="1"/>
  <c r="I662" i="1" l="1"/>
  <c r="C7" i="10" s="1"/>
  <c r="I657" i="1"/>
  <c r="F662" i="1"/>
  <c r="C4" i="10" s="1"/>
  <c r="F657" i="1"/>
  <c r="D28" i="10"/>
  <c r="D40" i="10"/>
  <c r="D37" i="10"/>
  <c r="D35" i="10"/>
  <c r="D39" i="10"/>
  <c r="D38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066CE90-BABF-4033-9687-E02346E4DC7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2406991-4061-45A3-8353-2C463DD5207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4F1069C9-B9C7-46D4-BC7F-CD23A8CEAE0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BFF350B-E976-4F4D-8301-F3818805F23B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E96EC6C-7AA9-4D9D-9744-298A20336F0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BD3ED15-8860-49A5-B006-03E9BB96519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02CFB08-BA30-4C06-A50D-EC4EDBBBB4C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F065369-799F-4DC0-9068-327A5DB8200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96FDC25-E6D0-4155-BE31-61BD48ADA85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A64AF4DB-F706-44AF-BCDB-166A797304B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110E457-E917-4D0A-980F-649AE1BB24B0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537DBF2-C4F0-4EE0-8E30-B7C5CAC0109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<sst xmlns="http://schemas.openxmlformats.org/spreadsheetml/2006/main" count="3858" uniqueCount="895">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</sst>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D4CA-BD23-44ED-A3AD-EF40A98FB600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407" sqref="H40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375</v>
      </c>
      <c r="C2" s="21">
        <v>375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48324.47-5430.52</f>
        <v>42893.95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71381.62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8331.02</v>
      </c>
      <c r="G12" s="18">
        <v>68.36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2658.18</v>
      </c>
      <c r="G13" s="18"/>
      <c r="H13" s="18">
        <v>11259.49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1550.38</v>
      </c>
      <c r="G17" s="18"/>
      <c r="H17" s="18">
        <v>350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55433.53</v>
      </c>
      <c r="G19" s="41">
        <f>SUM(G9:G18)</f>
        <v>68.36</v>
      </c>
      <c r="H19" s="41">
        <f>SUM(H9:H18)</f>
        <v>11609.49</v>
      </c>
      <c r="I19" s="41">
        <f>SUM(I9:I18)</f>
        <v>0</v>
      </c>
      <c r="J19" s="41">
        <f>SUM(J9:J18)</f>
        <v>71381.62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68.36</v>
      </c>
      <c r="G23" s="18"/>
      <c r="H23" s="18">
        <v>8331.02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670.18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4692.03</v>
      </c>
      <c r="G25" s="18"/>
      <c r="H25" s="18">
        <v>2981.21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1620.91</v>
      </c>
      <c r="G29" s="18">
        <v>68.36</v>
      </c>
      <c r="H29" s="18">
        <v>297.26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7051.48</v>
      </c>
      <c r="G33" s="41">
        <f>SUM(G23:G32)</f>
        <v>68.36</v>
      </c>
      <c r="H33" s="41">
        <f>SUM(H23:H32)</f>
        <v>11609.49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3429.25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30000</v>
      </c>
      <c r="G41" s="18"/>
      <c r="H41" s="18"/>
      <c r="I41" s="18"/>
      <c r="J41" s="13">
        <f>SUM(I449)</f>
        <v>71381.62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14952.8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48382.05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71381.62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55433.53</v>
      </c>
      <c r="G44" s="41">
        <f>G43+G33</f>
        <v>68.36</v>
      </c>
      <c r="H44" s="41">
        <f>H43+H33</f>
        <v>11609.49</v>
      </c>
      <c r="I44" s="41">
        <f>I43+I33</f>
        <v>0</v>
      </c>
      <c r="J44" s="41">
        <f>J43+J33</f>
        <v>71381.62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1177131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20000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1197131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14436.45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14436.45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420</v>
      </c>
      <c r="G88" s="18"/>
      <c r="H88" s="18"/>
      <c r="I88" s="18"/>
      <c r="J88" s="18">
        <f>68.03+127.96</f>
        <v>195.99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831.83+5260.95</f>
        <v>6092.78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6512.78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195.99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1218080.23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195.99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201381.93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260808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7304.07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469494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469494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559.49+10109.34+11661+3443.24</f>
        <v>25773.07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8095.93+8957.78</f>
        <v>17053.71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300+3922+3358.99</f>
        <v>7580.99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911.21+7221.28+968.49</f>
        <v>9100.98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18897.740000000002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18897.740000000002</v>
      </c>
      <c r="G154" s="41">
        <f>SUM(G142:G153)</f>
        <v>0</v>
      </c>
      <c r="H154" s="41">
        <f>SUM(H142:H153)</f>
        <v>59508.75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18897.740000000002</v>
      </c>
      <c r="G161" s="41">
        <f>G139+G154+SUM(G155:G160)</f>
        <v>0</v>
      </c>
      <c r="H161" s="41">
        <f>H139+H154+SUM(H155:H160)</f>
        <v>59508.75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7895.98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7895.98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35030.92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35030.92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35030.92</v>
      </c>
      <c r="G184" s="41">
        <f>G175+SUM(G180:G183)</f>
        <v>7895.98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1741502.89</v>
      </c>
      <c r="G185" s="47">
        <f>G104+G132+G161+G184</f>
        <v>7895.98</v>
      </c>
      <c r="H185" s="47">
        <f>H104+H132+H161+H184</f>
        <v>59508.75</v>
      </c>
      <c r="I185" s="47">
        <f>I104+I132+I161+I184</f>
        <v>0</v>
      </c>
      <c r="J185" s="47">
        <f>J104+J132+J184</f>
        <v>195.99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192781.52</v>
      </c>
      <c r="G189" s="18">
        <v>66927.45</v>
      </c>
      <c r="H189" s="18">
        <v>26402.959999999999</v>
      </c>
      <c r="I189" s="18">
        <v>10098.219999999999</v>
      </c>
      <c r="J189" s="18">
        <v>3366.21</v>
      </c>
      <c r="K189" s="18"/>
      <c r="L189" s="19">
        <f>SUM(F189:K189)</f>
        <v>299576.36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44027.74</v>
      </c>
      <c r="G190" s="18">
        <v>16251.34</v>
      </c>
      <c r="H190" s="18">
        <v>77442.3</v>
      </c>
      <c r="I190" s="18">
        <v>1229.8800000000001</v>
      </c>
      <c r="J190" s="18"/>
      <c r="K190" s="18"/>
      <c r="L190" s="19">
        <f>SUM(F190:K190)</f>
        <v>138951.26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785+1260</f>
        <v>2045</v>
      </c>
      <c r="G192" s="18">
        <f>62.67+197.43</f>
        <v>260.10000000000002</v>
      </c>
      <c r="H192" s="18"/>
      <c r="I192" s="18">
        <v>147.6</v>
      </c>
      <c r="J192" s="18"/>
      <c r="K192" s="18"/>
      <c r="L192" s="19">
        <f>SUM(F192:K192)</f>
        <v>2452.6999999999998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6272.91</v>
      </c>
      <c r="G194" s="18">
        <v>499.41</v>
      </c>
      <c r="H194" s="18">
        <f>50+7557.86+11120.29+16192.26+4374.75</f>
        <v>39295.160000000003</v>
      </c>
      <c r="I194" s="18">
        <f>181.88+200</f>
        <v>381.88</v>
      </c>
      <c r="J194" s="18"/>
      <c r="K194" s="18"/>
      <c r="L194" s="19">
        <f t="shared" ref="L194:L200" si="0">SUM(F194:K194)</f>
        <v>46449.36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1000</v>
      </c>
      <c r="G195" s="18">
        <v>137.37</v>
      </c>
      <c r="H195" s="18">
        <v>4850.74</v>
      </c>
      <c r="I195" s="18">
        <f>450.81+492.11</f>
        <v>942.92000000000007</v>
      </c>
      <c r="J195" s="18"/>
      <c r="K195" s="18"/>
      <c r="L195" s="19">
        <f t="shared" si="0"/>
        <v>6931.03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1139.75+1750</f>
        <v>2889.75</v>
      </c>
      <c r="G196" s="18">
        <f>90.89+139.48</f>
        <v>230.37</v>
      </c>
      <c r="H196" s="18">
        <f>147.56+100+5250+69117</f>
        <v>74614.559999999998</v>
      </c>
      <c r="I196" s="18">
        <v>1585.03</v>
      </c>
      <c r="J196" s="18"/>
      <c r="K196" s="18">
        <v>31.14</v>
      </c>
      <c r="L196" s="19">
        <f t="shared" si="0"/>
        <v>79350.849999999991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56659.199999999997</v>
      </c>
      <c r="G197" s="18">
        <v>26535.24</v>
      </c>
      <c r="H197" s="18">
        <v>10478.549999999999</v>
      </c>
      <c r="I197" s="18">
        <v>1385.16</v>
      </c>
      <c r="J197" s="18">
        <v>699.99</v>
      </c>
      <c r="K197" s="18"/>
      <c r="L197" s="19">
        <f t="shared" si="0"/>
        <v>95758.140000000014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5171.57</v>
      </c>
      <c r="G199" s="18">
        <v>479.9</v>
      </c>
      <c r="H199" s="18">
        <v>55654.52</v>
      </c>
      <c r="I199" s="18">
        <v>14941.78</v>
      </c>
      <c r="J199" s="18"/>
      <c r="K199" s="18"/>
      <c r="L199" s="19">
        <f t="shared" si="0"/>
        <v>76247.77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25976.15+14832+580+21035.75</f>
        <v>62423.9</v>
      </c>
      <c r="I200" s="18"/>
      <c r="J200" s="18"/>
      <c r="K200" s="18"/>
      <c r="L200" s="19">
        <f t="shared" si="0"/>
        <v>62423.9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10.72</v>
      </c>
      <c r="H201" s="18"/>
      <c r="I201" s="18"/>
      <c r="J201" s="18"/>
      <c r="K201" s="18"/>
      <c r="L201" s="19">
        <f>SUM(F201:K201)</f>
        <v>10.72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310847.69</v>
      </c>
      <c r="G203" s="41">
        <f t="shared" si="1"/>
        <v>111331.9</v>
      </c>
      <c r="H203" s="41">
        <f t="shared" si="1"/>
        <v>351162.69</v>
      </c>
      <c r="I203" s="41">
        <f t="shared" si="1"/>
        <v>30712.47</v>
      </c>
      <c r="J203" s="41">
        <f t="shared" si="1"/>
        <v>4066.2</v>
      </c>
      <c r="K203" s="41">
        <f t="shared" si="1"/>
        <v>31.14</v>
      </c>
      <c r="L203" s="41">
        <f t="shared" si="1"/>
        <v>808152.09000000008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86361.53</v>
      </c>
      <c r="I207" s="18"/>
      <c r="J207" s="18"/>
      <c r="K207" s="18"/>
      <c r="L207" s="19">
        <f>SUM(F207:K207)</f>
        <v>86361.53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233295.14</v>
      </c>
      <c r="I208" s="18"/>
      <c r="J208" s="18"/>
      <c r="K208" s="18"/>
      <c r="L208" s="19">
        <f>SUM(F208:K208)</f>
        <v>233295.14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12853.07+1108.33+10517.88</f>
        <v>24479.279999999999</v>
      </c>
      <c r="I218" s="18"/>
      <c r="J218" s="18"/>
      <c r="K218" s="18"/>
      <c r="L218" s="19">
        <f t="shared" si="2"/>
        <v>24479.279999999999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344135.95000000007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344135.95000000007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295280.55</v>
      </c>
      <c r="I225" s="18"/>
      <c r="J225" s="18"/>
      <c r="K225" s="18"/>
      <c r="L225" s="19">
        <f>SUM(F225:K225)</f>
        <v>295280.55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220176.18</v>
      </c>
      <c r="I226" s="18"/>
      <c r="J226" s="18"/>
      <c r="K226" s="18"/>
      <c r="L226" s="19">
        <f>SUM(F226:K226)</f>
        <v>220176.18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12853.07+10517.88</f>
        <v>23370.949999999997</v>
      </c>
      <c r="I236" s="18"/>
      <c r="J236" s="18"/>
      <c r="K236" s="18"/>
      <c r="L236" s="19">
        <f t="shared" si="4"/>
        <v>23370.949999999997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538827.67999999993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538827.67999999993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310847.69</v>
      </c>
      <c r="G249" s="41">
        <f t="shared" si="8"/>
        <v>111331.9</v>
      </c>
      <c r="H249" s="41">
        <f t="shared" si="8"/>
        <v>1234126.32</v>
      </c>
      <c r="I249" s="41">
        <f t="shared" si="8"/>
        <v>30712.47</v>
      </c>
      <c r="J249" s="41">
        <f t="shared" si="8"/>
        <v>4066.2</v>
      </c>
      <c r="K249" s="41">
        <f t="shared" si="8"/>
        <v>31.14</v>
      </c>
      <c r="L249" s="41">
        <f t="shared" si="8"/>
        <v>1691115.72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7895.98</v>
      </c>
      <c r="L255" s="19">
        <f>SUM(F255:K255)</f>
        <v>7895.98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7895.98</v>
      </c>
      <c r="L262" s="41">
        <f t="shared" si="9"/>
        <v>7895.98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310847.69</v>
      </c>
      <c r="G263" s="42">
        <f t="shared" si="11"/>
        <v>111331.9</v>
      </c>
      <c r="H263" s="42">
        <f t="shared" si="11"/>
        <v>1234126.32</v>
      </c>
      <c r="I263" s="42">
        <f t="shared" si="11"/>
        <v>30712.47</v>
      </c>
      <c r="J263" s="42">
        <f t="shared" si="11"/>
        <v>4066.2</v>
      </c>
      <c r="K263" s="42">
        <f t="shared" si="11"/>
        <v>7927.12</v>
      </c>
      <c r="L263" s="42">
        <f t="shared" si="11"/>
        <v>1699011.7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6300.6+6300.6</f>
        <v>12601.2</v>
      </c>
      <c r="G268" s="18">
        <f>482+482.09+19.67+19.78</f>
        <v>1003.5399999999998</v>
      </c>
      <c r="H268" s="18"/>
      <c r="I268" s="18">
        <f>385.95+100+2198+877.85+909.88+724.68+820.63+266.25</f>
        <v>6283.24</v>
      </c>
      <c r="J268" s="18">
        <f>180.25+5262.02+2932.52+1000+2086.86</f>
        <v>11461.650000000001</v>
      </c>
      <c r="K268" s="18"/>
      <c r="L268" s="19">
        <f>SUM(F268:K268)</f>
        <v>31349.63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5190</v>
      </c>
      <c r="G269" s="18">
        <f>364.49+16.61</f>
        <v>381.1</v>
      </c>
      <c r="H269" s="18"/>
      <c r="I269" s="18">
        <f>199.95+921.5</f>
        <v>1121.45</v>
      </c>
      <c r="J269" s="18">
        <f>867+921</f>
        <v>1788</v>
      </c>
      <c r="K269" s="18"/>
      <c r="L269" s="19">
        <f>SUM(F269:K269)</f>
        <v>8480.5499999999993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450</v>
      </c>
      <c r="I271" s="18"/>
      <c r="J271" s="18"/>
      <c r="K271" s="18"/>
      <c r="L271" s="19">
        <f>SUM(F271:K271)</f>
        <v>450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7050</v>
      </c>
      <c r="I273" s="18"/>
      <c r="J273" s="18"/>
      <c r="K273" s="18"/>
      <c r="L273" s="19">
        <f t="shared" ref="L273:L279" si="12">SUM(F273:K273)</f>
        <v>7050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1927.5</v>
      </c>
      <c r="G274" s="18">
        <f>147.47+19.16</f>
        <v>166.63</v>
      </c>
      <c r="H274" s="18">
        <v>4395.71</v>
      </c>
      <c r="I274" s="18"/>
      <c r="J274" s="18">
        <v>280</v>
      </c>
      <c r="K274" s="18"/>
      <c r="L274" s="19">
        <f t="shared" si="12"/>
        <v>6769.84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1156.0999999999999</v>
      </c>
      <c r="I275" s="18"/>
      <c r="J275" s="18"/>
      <c r="K275" s="18"/>
      <c r="L275" s="19">
        <f t="shared" si="12"/>
        <v>1156.0999999999999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1593.82</v>
      </c>
      <c r="L277" s="19">
        <f t="shared" si="12"/>
        <v>1593.82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f>9.49+2537.77</f>
        <v>2547.2599999999998</v>
      </c>
      <c r="J278" s="18">
        <v>111.55</v>
      </c>
      <c r="K278" s="18"/>
      <c r="L278" s="19">
        <f t="shared" si="12"/>
        <v>2658.81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19718.7</v>
      </c>
      <c r="G282" s="42">
        <f t="shared" si="13"/>
        <v>1551.27</v>
      </c>
      <c r="H282" s="42">
        <f t="shared" si="13"/>
        <v>13051.81</v>
      </c>
      <c r="I282" s="42">
        <f t="shared" si="13"/>
        <v>9951.9499999999989</v>
      </c>
      <c r="J282" s="42">
        <f t="shared" si="13"/>
        <v>13641.2</v>
      </c>
      <c r="K282" s="42">
        <f t="shared" si="13"/>
        <v>1593.82</v>
      </c>
      <c r="L282" s="41">
        <f t="shared" si="13"/>
        <v>59508.75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19718.7</v>
      </c>
      <c r="G330" s="41">
        <f t="shared" si="20"/>
        <v>1551.27</v>
      </c>
      <c r="H330" s="41">
        <f t="shared" si="20"/>
        <v>13051.81</v>
      </c>
      <c r="I330" s="41">
        <f t="shared" si="20"/>
        <v>9951.9499999999989</v>
      </c>
      <c r="J330" s="41">
        <f t="shared" si="20"/>
        <v>13641.2</v>
      </c>
      <c r="K330" s="41">
        <f t="shared" si="20"/>
        <v>1593.82</v>
      </c>
      <c r="L330" s="41">
        <f t="shared" si="20"/>
        <v>59508.75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19718.7</v>
      </c>
      <c r="G344" s="41">
        <f>G330</f>
        <v>1551.27</v>
      </c>
      <c r="H344" s="41">
        <f>H330</f>
        <v>13051.81</v>
      </c>
      <c r="I344" s="41">
        <f>I330</f>
        <v>9951.9499999999989</v>
      </c>
      <c r="J344" s="41">
        <f>J330</f>
        <v>13641.2</v>
      </c>
      <c r="K344" s="47">
        <f>K330+K343</f>
        <v>1593.82</v>
      </c>
      <c r="L344" s="41">
        <f>L330+L343</f>
        <v>59508.75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5475.98</v>
      </c>
      <c r="G350" s="18">
        <f>418.9+109.34</f>
        <v>528.24</v>
      </c>
      <c r="H350" s="18">
        <v>1777.2</v>
      </c>
      <c r="I350" s="18"/>
      <c r="J350" s="18">
        <v>114.56</v>
      </c>
      <c r="K350" s="18"/>
      <c r="L350" s="13">
        <f>SUM(F350:K350)</f>
        <v>7895.98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5475.98</v>
      </c>
      <c r="G354" s="47">
        <f t="shared" si="22"/>
        <v>528.24</v>
      </c>
      <c r="H354" s="47">
        <f t="shared" si="22"/>
        <v>1777.2</v>
      </c>
      <c r="I354" s="47">
        <f t="shared" si="22"/>
        <v>0</v>
      </c>
      <c r="J354" s="47">
        <f t="shared" si="22"/>
        <v>114.56</v>
      </c>
      <c r="K354" s="47">
        <f t="shared" si="22"/>
        <v>0</v>
      </c>
      <c r="L354" s="47">
        <f t="shared" si="22"/>
        <v>7895.98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0</v>
      </c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68.03</v>
      </c>
      <c r="I381" s="18"/>
      <c r="J381" s="24" t="s">
        <v>312</v>
      </c>
      <c r="K381" s="24" t="s">
        <v>312</v>
      </c>
      <c r="L381" s="56">
        <f t="shared" si="25"/>
        <v>68.03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68.03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68.03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127.96</v>
      </c>
      <c r="I390" s="18"/>
      <c r="J390" s="24" t="s">
        <v>312</v>
      </c>
      <c r="K390" s="24" t="s">
        <v>312</v>
      </c>
      <c r="L390" s="56">
        <f t="shared" si="26"/>
        <v>127.96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127.96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127.96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195.99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195.99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f>35030.92</f>
        <v>35030.92</v>
      </c>
      <c r="L407" s="56">
        <f t="shared" si="27"/>
        <v>35030.92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35030.92</v>
      </c>
      <c r="L411" s="47">
        <f t="shared" si="28"/>
        <v>35030.92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>
        <v>32322</v>
      </c>
      <c r="I416" s="18"/>
      <c r="J416" s="18"/>
      <c r="K416" s="18"/>
      <c r="L416" s="56">
        <f t="shared" si="29"/>
        <v>32322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32322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32322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32322</v>
      </c>
      <c r="I426" s="47">
        <f t="shared" si="32"/>
        <v>0</v>
      </c>
      <c r="J426" s="47">
        <f t="shared" si="32"/>
        <v>0</v>
      </c>
      <c r="K426" s="47">
        <f t="shared" si="32"/>
        <v>35030.92</v>
      </c>
      <c r="L426" s="47">
        <f t="shared" si="32"/>
        <v>67352.92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14221</v>
      </c>
      <c r="G432" s="18">
        <v>57160.62</v>
      </c>
      <c r="H432" s="18"/>
      <c r="I432" s="56">
        <f t="shared" si="33"/>
        <v>71381.62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14221</v>
      </c>
      <c r="G438" s="13">
        <f>SUM(G431:G437)</f>
        <v>57160.62</v>
      </c>
      <c r="H438" s="13">
        <f>SUM(H431:H437)</f>
        <v>0</v>
      </c>
      <c r="I438" s="13">
        <f>SUM(I431:I437)</f>
        <v>71381.62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14221</v>
      </c>
      <c r="G449" s="18">
        <v>57160.62</v>
      </c>
      <c r="H449" s="18"/>
      <c r="I449" s="56">
        <f>SUM(F449:H449)</f>
        <v>71381.62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14221</v>
      </c>
      <c r="G450" s="83">
        <f>SUM(G446:G449)</f>
        <v>57160.62</v>
      </c>
      <c r="H450" s="83">
        <f>SUM(H446:H449)</f>
        <v>0</v>
      </c>
      <c r="I450" s="83">
        <f>SUM(I446:I449)</f>
        <v>71381.62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14221</v>
      </c>
      <c r="G451" s="42">
        <f>G444+G450</f>
        <v>57160.62</v>
      </c>
      <c r="H451" s="42">
        <f>H444+H450</f>
        <v>0</v>
      </c>
      <c r="I451" s="42">
        <f>I444+I450</f>
        <v>71381.62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5890.86</v>
      </c>
      <c r="G455" s="18">
        <v>0</v>
      </c>
      <c r="H455" s="18">
        <v>0</v>
      </c>
      <c r="I455" s="18">
        <v>0</v>
      </c>
      <c r="J455" s="18">
        <v>138538.54999999999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1741502.89</v>
      </c>
      <c r="G458" s="18">
        <v>7895.98</v>
      </c>
      <c r="H458" s="18">
        <v>59508.75</v>
      </c>
      <c r="I458" s="18"/>
      <c r="J458" s="18">
        <f>68.03+127.96</f>
        <v>195.99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1741502.89</v>
      </c>
      <c r="G460" s="53">
        <f>SUM(G458:G459)</f>
        <v>7895.98</v>
      </c>
      <c r="H460" s="53">
        <f>SUM(H458:H459)</f>
        <v>59508.75</v>
      </c>
      <c r="I460" s="53">
        <f>SUM(I458:I459)</f>
        <v>0</v>
      </c>
      <c r="J460" s="53">
        <f>SUM(J458:J459)</f>
        <v>195.99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1699011.7</v>
      </c>
      <c r="G462" s="18">
        <v>7895.98</v>
      </c>
      <c r="H462" s="18">
        <v>59508.75</v>
      </c>
      <c r="I462" s="18"/>
      <c r="J462" s="18">
        <f>32322+35030.92</f>
        <v>67352.92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1699011.7</v>
      </c>
      <c r="G464" s="53">
        <f>SUM(G462:G463)</f>
        <v>7895.98</v>
      </c>
      <c r="H464" s="53">
        <f>SUM(H462:H463)</f>
        <v>59508.75</v>
      </c>
      <c r="I464" s="53">
        <f>SUM(I462:I463)</f>
        <v>0</v>
      </c>
      <c r="J464" s="53">
        <f>SUM(J462:J463)</f>
        <v>67352.92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48382.050000000047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71381.619999999981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25950.08+17908.37+169.29+5190</f>
        <v>49217.74</v>
      </c>
      <c r="G511" s="18">
        <f>12005.15+860.04+81+64.94+3100.39+139.82+364.49+16.61</f>
        <v>16632.439999999999</v>
      </c>
      <c r="H511" s="18">
        <f>71662+225+5555.3</f>
        <v>77442.3</v>
      </c>
      <c r="I511" s="18">
        <f>1229.88+199.95+921.5</f>
        <v>2351.33</v>
      </c>
      <c r="J511" s="18">
        <f>867+921</f>
        <v>1788</v>
      </c>
      <c r="K511" s="18"/>
      <c r="L511" s="88">
        <f>SUM(F511:K511)</f>
        <v>147431.80999999997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233295.14</v>
      </c>
      <c r="I512" s="18"/>
      <c r="J512" s="18"/>
      <c r="K512" s="18"/>
      <c r="L512" s="88">
        <f>SUM(F512:K512)</f>
        <v>233295.14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220176.18</v>
      </c>
      <c r="I513" s="18"/>
      <c r="J513" s="18"/>
      <c r="K513" s="18"/>
      <c r="L513" s="88">
        <f>SUM(F513:K513)</f>
        <v>220176.18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49217.74</v>
      </c>
      <c r="G514" s="108">
        <f t="shared" ref="G514:L514" si="35">SUM(G511:G513)</f>
        <v>16632.439999999999</v>
      </c>
      <c r="H514" s="108">
        <f t="shared" si="35"/>
        <v>530913.62</v>
      </c>
      <c r="I514" s="108">
        <f t="shared" si="35"/>
        <v>2351.33</v>
      </c>
      <c r="J514" s="108">
        <f t="shared" si="35"/>
        <v>1788</v>
      </c>
      <c r="K514" s="108">
        <f t="shared" si="35"/>
        <v>0</v>
      </c>
      <c r="L514" s="89">
        <f t="shared" si="35"/>
        <v>600903.12999999989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11120.29+16192.26+4374.75+195</f>
        <v>31882.300000000003</v>
      </c>
      <c r="I516" s="18"/>
      <c r="J516" s="18"/>
      <c r="K516" s="18"/>
      <c r="L516" s="88">
        <f>SUM(F516:K516)</f>
        <v>31882.300000000003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31882.300000000003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31882.300000000003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6314</v>
      </c>
      <c r="I521" s="18"/>
      <c r="J521" s="18"/>
      <c r="K521" s="18">
        <v>588.41999999999996</v>
      </c>
      <c r="L521" s="88">
        <f>SUM(F521:K521)</f>
        <v>6902.42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6314</v>
      </c>
      <c r="I524" s="89">
        <f t="shared" si="37"/>
        <v>0</v>
      </c>
      <c r="J524" s="89">
        <f t="shared" si="37"/>
        <v>0</v>
      </c>
      <c r="K524" s="89">
        <f t="shared" si="37"/>
        <v>588.41999999999996</v>
      </c>
      <c r="L524" s="89">
        <f t="shared" si="37"/>
        <v>6902.42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14832</v>
      </c>
      <c r="I531" s="18"/>
      <c r="J531" s="18"/>
      <c r="K531" s="18"/>
      <c r="L531" s="88">
        <f>SUM(F531:K531)</f>
        <v>14832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1108.33</v>
      </c>
      <c r="I532" s="18"/>
      <c r="J532" s="18"/>
      <c r="K532" s="18"/>
      <c r="L532" s="88">
        <f>SUM(F532:K532)</f>
        <v>1108.33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15940.33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15940.33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49217.74</v>
      </c>
      <c r="G535" s="89">
        <f t="shared" ref="G535:L535" si="40">G514+G519+G524+G529+G534</f>
        <v>16632.439999999999</v>
      </c>
      <c r="H535" s="89">
        <f t="shared" si="40"/>
        <v>585050.25</v>
      </c>
      <c r="I535" s="89">
        <f t="shared" si="40"/>
        <v>2351.33</v>
      </c>
      <c r="J535" s="89">
        <f t="shared" si="40"/>
        <v>1788</v>
      </c>
      <c r="K535" s="89">
        <f t="shared" si="40"/>
        <v>588.41999999999996</v>
      </c>
      <c r="L535" s="89">
        <f t="shared" si="40"/>
        <v>655628.17999999993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147431.80999999997</v>
      </c>
      <c r="G539" s="87">
        <f>L516</f>
        <v>31882.300000000003</v>
      </c>
      <c r="H539" s="87">
        <f>L521</f>
        <v>6902.42</v>
      </c>
      <c r="I539" s="87">
        <f>L526</f>
        <v>0</v>
      </c>
      <c r="J539" s="87">
        <f>L531</f>
        <v>14832</v>
      </c>
      <c r="K539" s="87">
        <f>SUM(F539:J539)</f>
        <v>201048.53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233295.14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1108.33</v>
      </c>
      <c r="K540" s="87">
        <f>SUM(F540:J540)</f>
        <v>234403.47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220176.18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220176.18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600903.12999999989</v>
      </c>
      <c r="G542" s="89">
        <f t="shared" si="41"/>
        <v>31882.300000000003</v>
      </c>
      <c r="H542" s="89">
        <f t="shared" si="41"/>
        <v>6902.42</v>
      </c>
      <c r="I542" s="89">
        <f t="shared" si="41"/>
        <v>0</v>
      </c>
      <c r="J542" s="89">
        <f t="shared" si="41"/>
        <v>15940.33</v>
      </c>
      <c r="K542" s="89">
        <f t="shared" si="41"/>
        <v>655628.17999999993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86361.53</v>
      </c>
      <c r="H565" s="18">
        <v>295280.55</v>
      </c>
      <c r="I565" s="87">
        <f>SUM(F565:H565)</f>
        <v>381642.07999999996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71662+5555.3</f>
        <v>77217.3</v>
      </c>
      <c r="G569" s="18">
        <v>123279.69</v>
      </c>
      <c r="H569" s="18">
        <v>176176.18</v>
      </c>
      <c r="I569" s="87">
        <f t="shared" si="46"/>
        <v>376673.17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225</v>
      </c>
      <c r="G572" s="18">
        <v>110015.45</v>
      </c>
      <c r="H572" s="18">
        <v>44000</v>
      </c>
      <c r="I572" s="87">
        <f t="shared" si="46"/>
        <v>154240.45000000001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25976.15+21035.75</f>
        <v>47011.9</v>
      </c>
      <c r="I581" s="18">
        <f>12853.07+10517.88</f>
        <v>23370.949999999997</v>
      </c>
      <c r="J581" s="18">
        <f>12853.07+10517.88</f>
        <v>23370.949999999997</v>
      </c>
      <c r="K581" s="104">
        <f t="shared" ref="K581:K587" si="47">SUM(H581:J581)</f>
        <v>93753.8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14832</v>
      </c>
      <c r="I582" s="18">
        <v>1108.33</v>
      </c>
      <c r="J582" s="18"/>
      <c r="K582" s="104">
        <f t="shared" si="47"/>
        <v>15940.33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580</v>
      </c>
      <c r="I585" s="18"/>
      <c r="J585" s="18"/>
      <c r="K585" s="104">
        <f t="shared" si="47"/>
        <v>580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62423.9</v>
      </c>
      <c r="I588" s="108">
        <f>SUM(I581:I587)</f>
        <v>24479.279999999999</v>
      </c>
      <c r="J588" s="108">
        <f>SUM(J581:J587)</f>
        <v>23370.949999999997</v>
      </c>
      <c r="K588" s="108">
        <f>SUM(K581:K587)</f>
        <v>110274.13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17707.400000000001</v>
      </c>
      <c r="I594" s="18"/>
      <c r="J594" s="18"/>
      <c r="K594" s="104">
        <f>SUM(H594:J594)</f>
        <v>17707.400000000001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17707.400000000001</v>
      </c>
      <c r="I595" s="108">
        <f>SUM(I592:I594)</f>
        <v>0</v>
      </c>
      <c r="J595" s="108">
        <f>SUM(J592:J594)</f>
        <v>0</v>
      </c>
      <c r="K595" s="108">
        <f>SUM(K592:K594)</f>
        <v>17707.400000000001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1260</v>
      </c>
      <c r="G601" s="18">
        <f>96.39+101.04</f>
        <v>197.43</v>
      </c>
      <c r="H601" s="18">
        <v>225</v>
      </c>
      <c r="I601" s="18"/>
      <c r="J601" s="18"/>
      <c r="K601" s="18"/>
      <c r="L601" s="88">
        <f>SUM(F601:K601)</f>
        <v>1682.43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1260</v>
      </c>
      <c r="G604" s="108">
        <f t="shared" si="48"/>
        <v>197.43</v>
      </c>
      <c r="H604" s="108">
        <f t="shared" si="48"/>
        <v>225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1682.43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55433.53</v>
      </c>
      <c r="H607" s="109">
        <f>SUM(F44)</f>
        <v>55433.53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68.36</v>
      </c>
      <c r="H608" s="109">
        <f>SUM(G44)</f>
        <v>68.36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11609.49</v>
      </c>
      <c r="H609" s="109">
        <f>SUM(H44)</f>
        <v>11609.49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71381.62</v>
      </c>
      <c r="H611" s="109">
        <f>SUM(J44)</f>
        <v>71381.62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48382.05</v>
      </c>
      <c r="H612" s="109">
        <f>F466</f>
        <v>48382.050000000047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71381.62</v>
      </c>
      <c r="H616" s="109">
        <f>J466</f>
        <v>71381.619999999981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1741502.89</v>
      </c>
      <c r="H617" s="104">
        <f>SUM(F458)</f>
        <v>1741502.89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7895.98</v>
      </c>
      <c r="H618" s="104">
        <f>SUM(G458)</f>
        <v>7895.98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59508.75</v>
      </c>
      <c r="H619" s="104">
        <f>SUM(H458)</f>
        <v>59508.75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195.99</v>
      </c>
      <c r="H621" s="104">
        <f>SUM(J458)</f>
        <v>195.99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1699011.7</v>
      </c>
      <c r="H622" s="104">
        <f>SUM(F462)</f>
        <v>1699011.7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59508.75</v>
      </c>
      <c r="H623" s="104">
        <f>SUM(H462)</f>
        <v>59508.75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7895.98</v>
      </c>
      <c r="H625" s="104">
        <f>SUM(G462)</f>
        <v>7895.98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195.99</v>
      </c>
      <c r="H627" s="164">
        <f>SUM(J458)</f>
        <v>195.99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67352.92</v>
      </c>
      <c r="H628" s="164">
        <f>SUM(J462)</f>
        <v>67352.92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14221</v>
      </c>
      <c r="H629" s="104">
        <f>SUM(F451)</f>
        <v>14221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57160.62</v>
      </c>
      <c r="H630" s="104">
        <f>SUM(G451)</f>
        <v>57160.62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71381.62</v>
      </c>
      <c r="H632" s="104">
        <f>SUM(I451)</f>
        <v>71381.62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195.99</v>
      </c>
      <c r="H634" s="104">
        <f>H400</f>
        <v>195.99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195.99</v>
      </c>
      <c r="H636" s="104">
        <f>L400</f>
        <v>195.99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110274.13</v>
      </c>
      <c r="H637" s="104">
        <f>L200+L218+L236</f>
        <v>110274.12999999999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17707.400000000001</v>
      </c>
      <c r="H638" s="104">
        <f>(J249+J330)-(J247+J328)</f>
        <v>17707.400000000001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62423.9</v>
      </c>
      <c r="H639" s="104">
        <f>H588</f>
        <v>62423.9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24479.279999999999</v>
      </c>
      <c r="H640" s="104">
        <f>I588</f>
        <v>24479.279999999999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23370.949999999997</v>
      </c>
      <c r="H641" s="104">
        <f>J588</f>
        <v>23370.949999999997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7895.98</v>
      </c>
      <c r="H642" s="104">
        <f>K255+K337</f>
        <v>7895.98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875556.82000000007</v>
      </c>
      <c r="G650" s="19">
        <f>(L221+L301+L351)</f>
        <v>344135.95000000007</v>
      </c>
      <c r="H650" s="19">
        <f>(L239+L320+L352)</f>
        <v>538827.67999999993</v>
      </c>
      <c r="I650" s="19">
        <f>SUM(F650:H650)</f>
        <v>1758520.45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62423.9</v>
      </c>
      <c r="G652" s="19">
        <f>(L218+L298)-(J218+J298)</f>
        <v>24479.279999999999</v>
      </c>
      <c r="H652" s="19">
        <f>(L236+L317)-(J236+J317)</f>
        <v>23370.949999999997</v>
      </c>
      <c r="I652" s="19">
        <f>SUM(F652:H652)</f>
        <v>110274.12999999999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96832.13</v>
      </c>
      <c r="G653" s="200">
        <f>SUM(G565:G577)+SUM(I592:I594)+L602</f>
        <v>319656.67</v>
      </c>
      <c r="H653" s="200">
        <f>SUM(H565:H577)+SUM(J592:J594)+L603</f>
        <v>515456.73</v>
      </c>
      <c r="I653" s="19">
        <f>SUM(F653:H653)</f>
        <v>931945.53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716300.79</v>
      </c>
      <c r="G654" s="19">
        <f>G650-SUM(G651:G653)</f>
        <v>0</v>
      </c>
      <c r="H654" s="19">
        <f>H650-SUM(H651:H653)</f>
        <v>0</v>
      </c>
      <c r="I654" s="19">
        <f>I650-SUM(I651:I653)</f>
        <v>716300.78999999992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26.06</v>
      </c>
      <c r="G655" s="249"/>
      <c r="H655" s="249"/>
      <c r="I655" s="19">
        <f>SUM(F655:H655)</f>
        <v>26.06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27486.6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27486.6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27486.6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27486.6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F99F-716E-47DD-8D95-988046B19DE1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Nelson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205382.72</v>
      </c>
      <c r="C9" s="230">
        <f>'DOE25'!G189+'DOE25'!G207+'DOE25'!G225+'DOE25'!G268+'DOE25'!G287+'DOE25'!G306</f>
        <v>67930.989999999991</v>
      </c>
    </row>
    <row r="10" spans="1:3" x14ac:dyDescent="0.2">
      <c r="A10" t="s">
        <v>810</v>
      </c>
      <c r="B10" s="241">
        <v>192781.52</v>
      </c>
      <c r="C10" s="241">
        <v>63763.1</v>
      </c>
    </row>
    <row r="11" spans="1:3" x14ac:dyDescent="0.2">
      <c r="A11" t="s">
        <v>811</v>
      </c>
      <c r="B11" s="241">
        <v>12601.2</v>
      </c>
      <c r="C11" s="241">
        <v>4167.8900000000003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205382.72</v>
      </c>
      <c r="C13" s="232">
        <f>SUM(C10:C12)</f>
        <v>67930.990000000005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49217.74</v>
      </c>
      <c r="C18" s="230">
        <f>'DOE25'!G190+'DOE25'!G208+'DOE25'!G226+'DOE25'!G269+'DOE25'!G288+'DOE25'!G307</f>
        <v>16632.439999999999</v>
      </c>
    </row>
    <row r="19" spans="1:3" x14ac:dyDescent="0.2">
      <c r="A19" t="s">
        <v>810</v>
      </c>
      <c r="B19" s="241">
        <v>31140.080000000002</v>
      </c>
      <c r="C19" s="241">
        <v>10523.35</v>
      </c>
    </row>
    <row r="20" spans="1:3" x14ac:dyDescent="0.2">
      <c r="A20" t="s">
        <v>811</v>
      </c>
      <c r="B20" s="241">
        <v>18077.66</v>
      </c>
      <c r="C20" s="241">
        <v>6109.09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49217.740000000005</v>
      </c>
      <c r="C22" s="232">
        <f>SUM(C19:C21)</f>
        <v>16632.440000000002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2045</v>
      </c>
      <c r="C36" s="236">
        <f>'DOE25'!G192+'DOE25'!G210+'DOE25'!G228+'DOE25'!G271+'DOE25'!G290+'DOE25'!G309</f>
        <v>260.10000000000002</v>
      </c>
    </row>
    <row r="37" spans="1:3" x14ac:dyDescent="0.2">
      <c r="A37" t="s">
        <v>810</v>
      </c>
      <c r="B37" s="241">
        <v>2045</v>
      </c>
      <c r="C37" s="241">
        <v>260.10000000000002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2045</v>
      </c>
      <c r="C40" s="232">
        <f>SUM(C37:C39)</f>
        <v>260.10000000000002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EDC6-D798-4A3A-8D1D-0935BFE44BE7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Nelson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1276093.72</v>
      </c>
      <c r="D5" s="20">
        <f>SUM('DOE25'!L189:L192)+SUM('DOE25'!L207:L210)+SUM('DOE25'!L225:L228)-F5-G5</f>
        <v>1272727.51</v>
      </c>
      <c r="E5" s="244"/>
      <c r="F5" s="256">
        <f>SUM('DOE25'!J189:J192)+SUM('DOE25'!J207:J210)+SUM('DOE25'!J225:J228)</f>
        <v>3366.21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46449.36</v>
      </c>
      <c r="D6" s="20">
        <f>'DOE25'!L194+'DOE25'!L212+'DOE25'!L230-F6-G6</f>
        <v>46449.36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6931.03</v>
      </c>
      <c r="D7" s="20">
        <f>'DOE25'!L195+'DOE25'!L213+'DOE25'!L231-F7-G7</f>
        <v>6931.03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57894.479999999996</v>
      </c>
      <c r="D8" s="244"/>
      <c r="E8" s="20">
        <f>'DOE25'!L196+'DOE25'!L214+'DOE25'!L232-F8-G8-D9-D11</f>
        <v>57863.34</v>
      </c>
      <c r="F8" s="256">
        <f>'DOE25'!J196+'DOE25'!J214+'DOE25'!J232</f>
        <v>0</v>
      </c>
      <c r="G8" s="53">
        <f>'DOE25'!K196+'DOE25'!K214+'DOE25'!K232</f>
        <v>31.14</v>
      </c>
      <c r="H8" s="260"/>
    </row>
    <row r="9" spans="1:9" x14ac:dyDescent="0.2">
      <c r="A9" s="32">
        <v>2310</v>
      </c>
      <c r="B9" t="s">
        <v>849</v>
      </c>
      <c r="C9" s="246">
        <f t="shared" si="0"/>
        <v>2994.37</v>
      </c>
      <c r="D9" s="245">
        <v>2994.37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18462</v>
      </c>
      <c r="D11" s="245">
        <v>18462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95758.140000000014</v>
      </c>
      <c r="D12" s="20">
        <f>'DOE25'!L197+'DOE25'!L215+'DOE25'!L233-F12-G12</f>
        <v>95058.150000000009</v>
      </c>
      <c r="E12" s="244"/>
      <c r="F12" s="256">
        <f>'DOE25'!J197+'DOE25'!J215+'DOE25'!J233</f>
        <v>699.99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76247.77</v>
      </c>
      <c r="D14" s="20">
        <f>'DOE25'!L199+'DOE25'!L217+'DOE25'!L235-F14-G14</f>
        <v>76247.77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110274.12999999999</v>
      </c>
      <c r="D15" s="20">
        <f>'DOE25'!L200+'DOE25'!L218+'DOE25'!L236-F15-G15</f>
        <v>110274.12999999999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10.72</v>
      </c>
      <c r="D16" s="244"/>
      <c r="E16" s="20">
        <f>'DOE25'!L201+'DOE25'!L219+'DOE25'!L237-F16-G16</f>
        <v>10.72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7895.98</v>
      </c>
      <c r="D29" s="20">
        <f>'DOE25'!L350+'DOE25'!L351+'DOE25'!L352-'DOE25'!I359-F29-G29</f>
        <v>7781.4199999999992</v>
      </c>
      <c r="E29" s="244"/>
      <c r="F29" s="256">
        <f>'DOE25'!J350+'DOE25'!J351+'DOE25'!J352</f>
        <v>114.56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59508.750000000007</v>
      </c>
      <c r="D31" s="20">
        <f>'DOE25'!L282+'DOE25'!L301+'DOE25'!L320+'DOE25'!L325+'DOE25'!L326+'DOE25'!L327-F31-G31</f>
        <v>44273.73</v>
      </c>
      <c r="E31" s="244"/>
      <c r="F31" s="256">
        <f>'DOE25'!J282+'DOE25'!J301+'DOE25'!J320+'DOE25'!J325+'DOE25'!J326+'DOE25'!J327</f>
        <v>13641.2</v>
      </c>
      <c r="G31" s="53">
        <f>'DOE25'!K282+'DOE25'!K301+'DOE25'!K320+'DOE25'!K325+'DOE25'!K326+'DOE25'!K327</f>
        <v>1593.82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1681199.47</v>
      </c>
      <c r="E33" s="247">
        <f>SUM(E5:E31)</f>
        <v>63124.06</v>
      </c>
      <c r="F33" s="247">
        <f>SUM(F5:F31)</f>
        <v>17821.96</v>
      </c>
      <c r="G33" s="247">
        <f>SUM(G5:G31)</f>
        <v>1624.96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63124.06</v>
      </c>
      <c r="E35" s="250"/>
    </row>
    <row r="36" spans="2:8" ht="12" thickTop="1" x14ac:dyDescent="0.2">
      <c r="B36" t="s">
        <v>846</v>
      </c>
      <c r="D36" s="20">
        <f>D33</f>
        <v>1681199.47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3682-0B63-44EF-8AD7-2EDD3651159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Nelson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42893.95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71381.62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8331.02</v>
      </c>
      <c r="D12" s="95">
        <f>'DOE25'!G12</f>
        <v>68.36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2658.18</v>
      </c>
      <c r="D13" s="95">
        <f>'DOE25'!G13</f>
        <v>0</v>
      </c>
      <c r="E13" s="95">
        <f>'DOE25'!H13</f>
        <v>11259.49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1550.38</v>
      </c>
      <c r="D17" s="95">
        <f>'DOE25'!G17</f>
        <v>0</v>
      </c>
      <c r="E17" s="95">
        <f>'DOE25'!H17</f>
        <v>350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55433.53</v>
      </c>
      <c r="D19" s="41">
        <f>SUM(D9:D18)</f>
        <v>68.36</v>
      </c>
      <c r="E19" s="41">
        <f>SUM(E9:E18)</f>
        <v>11609.49</v>
      </c>
      <c r="F19" s="41">
        <f>SUM(F9:F18)</f>
        <v>0</v>
      </c>
      <c r="G19" s="41">
        <f>SUM(G9:G18)</f>
        <v>71381.62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68.36</v>
      </c>
      <c r="D22" s="95">
        <f>'DOE25'!G23</f>
        <v>0</v>
      </c>
      <c r="E22" s="95">
        <f>'DOE25'!H23</f>
        <v>8331.02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670.18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4692.03</v>
      </c>
      <c r="D24" s="95">
        <f>'DOE25'!G25</f>
        <v>0</v>
      </c>
      <c r="E24" s="95">
        <f>'DOE25'!H25</f>
        <v>2981.21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1620.91</v>
      </c>
      <c r="D28" s="95">
        <f>'DOE25'!G29</f>
        <v>68.36</v>
      </c>
      <c r="E28" s="95">
        <f>'DOE25'!H29</f>
        <v>297.26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7051.48</v>
      </c>
      <c r="D32" s="41">
        <f>SUM(D22:D31)</f>
        <v>68.36</v>
      </c>
      <c r="E32" s="41">
        <f>SUM(E22:E31)</f>
        <v>11609.49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3429.25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71381.62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14952.8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48382.05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71381.62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55433.53</v>
      </c>
      <c r="D43" s="41">
        <f>D42+D32</f>
        <v>68.36</v>
      </c>
      <c r="E43" s="41">
        <f>E42+E32</f>
        <v>11609.49</v>
      </c>
      <c r="F43" s="41">
        <f>F42+F32</f>
        <v>0</v>
      </c>
      <c r="G43" s="41">
        <f>G42+G32</f>
        <v>71381.62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1197131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14436.45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420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195.99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6092.78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20949.23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195.99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1218080.23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195.99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201381.93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260808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7304.07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469494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469494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25773.07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18897.740000000002</v>
      </c>
      <c r="D80" s="95">
        <f>SUM('DOE25'!G145:G153)</f>
        <v>0</v>
      </c>
      <c r="E80" s="95">
        <f>SUM('DOE25'!H145:H153)</f>
        <v>33735.679999999993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18897.740000000002</v>
      </c>
      <c r="D83" s="131">
        <f>SUM(D77:D82)</f>
        <v>0</v>
      </c>
      <c r="E83" s="131">
        <f>SUM(E77:E82)</f>
        <v>59508.749999999993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7895.98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35030.92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35030.92</v>
      </c>
      <c r="D95" s="86">
        <f>SUM(D85:D94)</f>
        <v>7895.98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1741502.89</v>
      </c>
      <c r="D96" s="86">
        <f>D55+D73+D83+D95</f>
        <v>7895.98</v>
      </c>
      <c r="E96" s="86">
        <f>E55+E73+E83+E95</f>
        <v>59508.749999999993</v>
      </c>
      <c r="F96" s="86">
        <f>F55+F73+F83+F95</f>
        <v>0</v>
      </c>
      <c r="G96" s="86">
        <f>G55+G73+G95</f>
        <v>195.99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681218.44</v>
      </c>
      <c r="D101" s="24" t="s">
        <v>312</v>
      </c>
      <c r="E101" s="95">
        <f>('DOE25'!L268)+('DOE25'!L287)+('DOE25'!L306)</f>
        <v>31349.63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592422.58000000007</v>
      </c>
      <c r="D102" s="24" t="s">
        <v>312</v>
      </c>
      <c r="E102" s="95">
        <f>('DOE25'!L269)+('DOE25'!L288)+('DOE25'!L307)</f>
        <v>8480.5499999999993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2452.6999999999998</v>
      </c>
      <c r="D104" s="24" t="s">
        <v>312</v>
      </c>
      <c r="E104" s="95">
        <f>+('DOE25'!L271)+('DOE25'!L290)+('DOE25'!L309)</f>
        <v>450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1276093.72</v>
      </c>
      <c r="D107" s="86">
        <f>SUM(D101:D106)</f>
        <v>0</v>
      </c>
      <c r="E107" s="86">
        <f>SUM(E101:E106)</f>
        <v>40280.18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46449.36</v>
      </c>
      <c r="D110" s="24" t="s">
        <v>312</v>
      </c>
      <c r="E110" s="95">
        <f>+('DOE25'!L273)+('DOE25'!L292)+('DOE25'!L311)</f>
        <v>7050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6931.03</v>
      </c>
      <c r="D111" s="24" t="s">
        <v>312</v>
      </c>
      <c r="E111" s="95">
        <f>+('DOE25'!L274)+('DOE25'!L293)+('DOE25'!L312)</f>
        <v>6769.84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79350.849999999991</v>
      </c>
      <c r="D112" s="24" t="s">
        <v>312</v>
      </c>
      <c r="E112" s="95">
        <f>+('DOE25'!L275)+('DOE25'!L294)+('DOE25'!L313)</f>
        <v>1156.0999999999999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95758.140000000014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1593.82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76247.77</v>
      </c>
      <c r="D115" s="24" t="s">
        <v>312</v>
      </c>
      <c r="E115" s="95">
        <f>+('DOE25'!L278)+('DOE25'!L297)+('DOE25'!L316)</f>
        <v>2658.81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110274.12999999999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10.72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7895.98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415022</v>
      </c>
      <c r="D120" s="86">
        <f>SUM(D110:D119)</f>
        <v>7895.98</v>
      </c>
      <c r="E120" s="86">
        <f>SUM(E110:E119)</f>
        <v>19228.570000000003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35030.92</v>
      </c>
    </row>
    <row r="127" spans="1:7" x14ac:dyDescent="0.2">
      <c r="A127" t="s">
        <v>256</v>
      </c>
      <c r="B127" s="32" t="s">
        <v>257</v>
      </c>
      <c r="C127" s="95">
        <f>'DOE25'!L255</f>
        <v>7895.98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68.03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127.96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-195.99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7895.98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35030.92</v>
      </c>
    </row>
    <row r="137" spans="1:9" ht="12.75" thickTop="1" thickBot="1" x14ac:dyDescent="0.25">
      <c r="A137" s="33" t="s">
        <v>267</v>
      </c>
      <c r="C137" s="86">
        <f>(C107+C120+C136)</f>
        <v>1699011.7</v>
      </c>
      <c r="D137" s="86">
        <f>(D107+D120+D136)</f>
        <v>7895.98</v>
      </c>
      <c r="E137" s="86">
        <f>(E107+E120+E136)</f>
        <v>59508.75</v>
      </c>
      <c r="F137" s="86">
        <f>(F107+F120+F136)</f>
        <v>0</v>
      </c>
      <c r="G137" s="86">
        <f>(G107+G120+G136)</f>
        <v>35030.92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6096-D259-4AF1-8ACA-4304D2224CD3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Nelson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27487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27487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712568</v>
      </c>
      <c r="D10" s="182">
        <f>ROUND((C10/$C$28)*100,1)</f>
        <v>40.5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600903</v>
      </c>
      <c r="D11" s="182">
        <f>ROUND((C11/$C$28)*100,1)</f>
        <v>34.200000000000003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2903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53499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13701</v>
      </c>
      <c r="D16" s="182">
        <f t="shared" si="0"/>
        <v>0.8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80518</v>
      </c>
      <c r="D17" s="182">
        <f t="shared" si="0"/>
        <v>4.5999999999999996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95758</v>
      </c>
      <c r="D18" s="182">
        <f t="shared" si="0"/>
        <v>5.4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1594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78907</v>
      </c>
      <c r="D20" s="182">
        <f t="shared" si="0"/>
        <v>4.5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110274</v>
      </c>
      <c r="D21" s="182">
        <f t="shared" si="0"/>
        <v>6.3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7896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1758521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1758521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1197131</v>
      </c>
      <c r="D35" s="182">
        <f t="shared" ref="D35:D40" si="1">ROUND((C35/$C$41)*100,1)</f>
        <v>67.8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21145.219999999972</v>
      </c>
      <c r="D36" s="182">
        <f t="shared" si="1"/>
        <v>1.2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469494</v>
      </c>
      <c r="D37" s="182">
        <f t="shared" si="1"/>
        <v>26.6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78406</v>
      </c>
      <c r="D39" s="182">
        <f t="shared" si="1"/>
        <v>4.4000000000000004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1766176.22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EF81-6A11-40FC-BA70-5281F61BB51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Nelson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C39:CM39"/>
    <mergeCell ref="CP39:CZ39"/>
    <mergeCell ref="BP39:BZ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2011-11-07T17:55:57Z</cp:lastPrinted>
  <dcterms:created xsi:type="dcterms:W3CDTF">1997-12-04T19:04:30Z</dcterms:created>
  <dcterms:modified xsi:type="dcterms:W3CDTF">2025-01-10T20:15:05Z</dcterms:modified>
</cp:coreProperties>
</file>