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6662B0C8-CE57-49EE-AC2E-9BDB33A79FE3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8C296C54-BA35-428D-8319-90130545A72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5" i="1" l="1"/>
  <c r="F42" i="1"/>
  <c r="F25" i="1"/>
  <c r="H594" i="1"/>
  <c r="K594" i="1" s="1"/>
  <c r="K595" i="1" s="1"/>
  <c r="G638" i="1" s="1"/>
  <c r="J582" i="1"/>
  <c r="I582" i="1"/>
  <c r="H582" i="1"/>
  <c r="K582" i="1" s="1"/>
  <c r="K588" i="1" s="1"/>
  <c r="G637" i="1" s="1"/>
  <c r="J637" i="1" s="1"/>
  <c r="J268" i="1"/>
  <c r="I268" i="1"/>
  <c r="H274" i="1"/>
  <c r="G271" i="1"/>
  <c r="G189" i="1"/>
  <c r="I190" i="1"/>
  <c r="I203" i="1" s="1"/>
  <c r="I249" i="1" s="1"/>
  <c r="I263" i="1" s="1"/>
  <c r="F189" i="1"/>
  <c r="B9" i="12" s="1"/>
  <c r="A13" i="12" s="1"/>
  <c r="G190" i="1"/>
  <c r="C18" i="12" s="1"/>
  <c r="A22" i="12" s="1"/>
  <c r="F190" i="1"/>
  <c r="L190" i="1" s="1"/>
  <c r="H147" i="1"/>
  <c r="H146" i="1"/>
  <c r="G89" i="1"/>
  <c r="D52" i="2" s="1"/>
  <c r="D54" i="2" s="1"/>
  <c r="D55" i="2" s="1"/>
  <c r="D96" i="2" s="1"/>
  <c r="F109" i="1"/>
  <c r="C37" i="10" s="1"/>
  <c r="C60" i="2"/>
  <c r="B2" i="13"/>
  <c r="F8" i="13"/>
  <c r="G8" i="13"/>
  <c r="L196" i="1"/>
  <c r="L214" i="1"/>
  <c r="C112" i="2" s="1"/>
  <c r="L232" i="1"/>
  <c r="D39" i="13"/>
  <c r="F13" i="13"/>
  <c r="G13" i="13"/>
  <c r="E13" i="13" s="1"/>
  <c r="C13" i="13" s="1"/>
  <c r="L198" i="1"/>
  <c r="L216" i="1"/>
  <c r="L234" i="1"/>
  <c r="F16" i="13"/>
  <c r="G16" i="13"/>
  <c r="L201" i="1"/>
  <c r="L219" i="1"/>
  <c r="C117" i="2" s="1"/>
  <c r="L237" i="1"/>
  <c r="E16" i="13" s="1"/>
  <c r="C16" i="13" s="1"/>
  <c r="F5" i="13"/>
  <c r="G5" i="13"/>
  <c r="L189" i="1"/>
  <c r="C10" i="10" s="1"/>
  <c r="L191" i="1"/>
  <c r="L192" i="1"/>
  <c r="L207" i="1"/>
  <c r="L221" i="1" s="1"/>
  <c r="L208" i="1"/>
  <c r="L209" i="1"/>
  <c r="L210" i="1"/>
  <c r="C13" i="10" s="1"/>
  <c r="L225" i="1"/>
  <c r="L239" i="1" s="1"/>
  <c r="L226" i="1"/>
  <c r="L227" i="1"/>
  <c r="L228" i="1"/>
  <c r="F6" i="13"/>
  <c r="G6" i="13"/>
  <c r="L194" i="1"/>
  <c r="D6" i="13" s="1"/>
  <c r="C6" i="13" s="1"/>
  <c r="L212" i="1"/>
  <c r="L230" i="1"/>
  <c r="F7" i="13"/>
  <c r="G7" i="13"/>
  <c r="L195" i="1"/>
  <c r="L213" i="1"/>
  <c r="L231" i="1"/>
  <c r="C111" i="2" s="1"/>
  <c r="C120" i="2" s="1"/>
  <c r="F12" i="13"/>
  <c r="G12" i="13"/>
  <c r="L197" i="1"/>
  <c r="L215" i="1"/>
  <c r="L233" i="1"/>
  <c r="D12" i="13" s="1"/>
  <c r="C12" i="13" s="1"/>
  <c r="F14" i="13"/>
  <c r="G14" i="13"/>
  <c r="L199" i="1"/>
  <c r="C115" i="2" s="1"/>
  <c r="L217" i="1"/>
  <c r="L235" i="1"/>
  <c r="F15" i="13"/>
  <c r="G15" i="13"/>
  <c r="D15" i="13" s="1"/>
  <c r="C15" i="13" s="1"/>
  <c r="L200" i="1"/>
  <c r="L218" i="1"/>
  <c r="L236" i="1"/>
  <c r="F17" i="13"/>
  <c r="G17" i="13"/>
  <c r="L243" i="1"/>
  <c r="C106" i="2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H651" i="1" s="1"/>
  <c r="L351" i="1"/>
  <c r="G651" i="1" s="1"/>
  <c r="L352" i="1"/>
  <c r="I359" i="1"/>
  <c r="J282" i="1"/>
  <c r="F31" i="13" s="1"/>
  <c r="J301" i="1"/>
  <c r="J320" i="1"/>
  <c r="K282" i="1"/>
  <c r="K301" i="1"/>
  <c r="G31" i="13" s="1"/>
  <c r="K320" i="1"/>
  <c r="L268" i="1"/>
  <c r="E101" i="2" s="1"/>
  <c r="L269" i="1"/>
  <c r="L270" i="1"/>
  <c r="L271" i="1"/>
  <c r="L282" i="1" s="1"/>
  <c r="L273" i="1"/>
  <c r="L274" i="1"/>
  <c r="L275" i="1"/>
  <c r="L276" i="1"/>
  <c r="L277" i="1"/>
  <c r="E114" i="2" s="1"/>
  <c r="L278" i="1"/>
  <c r="E115" i="2" s="1"/>
  <c r="L279" i="1"/>
  <c r="C21" i="10" s="1"/>
  <c r="L280" i="1"/>
  <c r="L287" i="1"/>
  <c r="L288" i="1"/>
  <c r="L289" i="1"/>
  <c r="L290" i="1"/>
  <c r="L301" i="1" s="1"/>
  <c r="L292" i="1"/>
  <c r="L293" i="1"/>
  <c r="L294" i="1"/>
  <c r="L295" i="1"/>
  <c r="L296" i="1"/>
  <c r="L297" i="1"/>
  <c r="L298" i="1"/>
  <c r="L299" i="1"/>
  <c r="L306" i="1"/>
  <c r="L307" i="1"/>
  <c r="L308" i="1"/>
  <c r="C12" i="10" s="1"/>
  <c r="L309" i="1"/>
  <c r="L311" i="1"/>
  <c r="L312" i="1"/>
  <c r="L313" i="1"/>
  <c r="L314" i="1"/>
  <c r="E113" i="2" s="1"/>
  <c r="L315" i="1"/>
  <c r="L316" i="1"/>
  <c r="L317" i="1"/>
  <c r="H652" i="1" s="1"/>
  <c r="L318" i="1"/>
  <c r="L325" i="1"/>
  <c r="L326" i="1"/>
  <c r="E106" i="2" s="1"/>
  <c r="L327" i="1"/>
  <c r="L252" i="1"/>
  <c r="L253" i="1"/>
  <c r="L333" i="1"/>
  <c r="L334" i="1"/>
  <c r="L343" i="1" s="1"/>
  <c r="H25" i="13"/>
  <c r="H33" i="13" s="1"/>
  <c r="L247" i="1"/>
  <c r="F22" i="13" s="1"/>
  <c r="C22" i="13" s="1"/>
  <c r="L328" i="1"/>
  <c r="E122" i="2" s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13" i="12"/>
  <c r="C9" i="12"/>
  <c r="C13" i="12"/>
  <c r="B18" i="12"/>
  <c r="B22" i="12"/>
  <c r="C22" i="12"/>
  <c r="B1" i="12"/>
  <c r="L379" i="1"/>
  <c r="L380" i="1"/>
  <c r="L381" i="1"/>
  <c r="L382" i="1"/>
  <c r="L385" i="1" s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3" i="2"/>
  <c r="G54" i="2"/>
  <c r="G55" i="2"/>
  <c r="F2" i="11"/>
  <c r="L603" i="1"/>
  <c r="H653" i="1" s="1"/>
  <c r="L602" i="1"/>
  <c r="G653" i="1"/>
  <c r="L601" i="1"/>
  <c r="L604" i="1" s="1"/>
  <c r="C40" i="10"/>
  <c r="F52" i="1"/>
  <c r="G52" i="1"/>
  <c r="H52" i="1"/>
  <c r="C35" i="10" s="1"/>
  <c r="I52" i="1"/>
  <c r="I104" i="1" s="1"/>
  <c r="F71" i="1"/>
  <c r="C49" i="2" s="1"/>
  <c r="C54" i="2" s="1"/>
  <c r="C55" i="2" s="1"/>
  <c r="F86" i="1"/>
  <c r="F103" i="1"/>
  <c r="F104" i="1"/>
  <c r="F185" i="1" s="1"/>
  <c r="H71" i="1"/>
  <c r="H86" i="1"/>
  <c r="H103" i="1"/>
  <c r="H104" i="1"/>
  <c r="I103" i="1"/>
  <c r="J103" i="1"/>
  <c r="J104" i="1" s="1"/>
  <c r="F113" i="1"/>
  <c r="F132" i="1" s="1"/>
  <c r="F128" i="1"/>
  <c r="G113" i="1"/>
  <c r="G132" i="1" s="1"/>
  <c r="G128" i="1"/>
  <c r="H113" i="1"/>
  <c r="H132" i="1" s="1"/>
  <c r="H128" i="1"/>
  <c r="I113" i="1"/>
  <c r="I132" i="1" s="1"/>
  <c r="I128" i="1"/>
  <c r="J113" i="1"/>
  <c r="J132" i="1" s="1"/>
  <c r="J128" i="1"/>
  <c r="F139" i="1"/>
  <c r="F154" i="1"/>
  <c r="F161" i="1"/>
  <c r="G139" i="1"/>
  <c r="G161" i="1" s="1"/>
  <c r="G154" i="1"/>
  <c r="H139" i="1"/>
  <c r="E77" i="2" s="1"/>
  <c r="E83" i="2" s="1"/>
  <c r="H154" i="1"/>
  <c r="I139" i="1"/>
  <c r="I161" i="1" s="1"/>
  <c r="I154" i="1"/>
  <c r="C15" i="10"/>
  <c r="C18" i="10"/>
  <c r="L242" i="1"/>
  <c r="C23" i="10" s="1"/>
  <c r="L324" i="1"/>
  <c r="L246" i="1"/>
  <c r="C25" i="10"/>
  <c r="L260" i="1"/>
  <c r="C26" i="10" s="1"/>
  <c r="L261" i="1"/>
  <c r="L341" i="1"/>
  <c r="E134" i="2" s="1"/>
  <c r="L342" i="1"/>
  <c r="E135" i="2" s="1"/>
  <c r="I655" i="1"/>
  <c r="I660" i="1"/>
  <c r="F652" i="1"/>
  <c r="G652" i="1"/>
  <c r="I659" i="1"/>
  <c r="C6" i="10"/>
  <c r="C5" i="10"/>
  <c r="C42" i="10"/>
  <c r="C32" i="10"/>
  <c r="L366" i="1"/>
  <c r="L367" i="1"/>
  <c r="L368" i="1"/>
  <c r="F122" i="2" s="1"/>
  <c r="F136" i="2" s="1"/>
  <c r="L369" i="1"/>
  <c r="L370" i="1"/>
  <c r="L371" i="1"/>
  <c r="L372" i="1"/>
  <c r="B2" i="10"/>
  <c r="L336" i="1"/>
  <c r="E126" i="2" s="1"/>
  <c r="L337" i="1"/>
  <c r="L338" i="1"/>
  <c r="L339" i="1"/>
  <c r="K343" i="1"/>
  <c r="L511" i="1"/>
  <c r="F539" i="1" s="1"/>
  <c r="L512" i="1"/>
  <c r="F540" i="1" s="1"/>
  <c r="L513" i="1"/>
  <c r="F541" i="1"/>
  <c r="L516" i="1"/>
  <c r="G539" i="1"/>
  <c r="L517" i="1"/>
  <c r="G540" i="1" s="1"/>
  <c r="L518" i="1"/>
  <c r="G541" i="1" s="1"/>
  <c r="L521" i="1"/>
  <c r="L524" i="1" s="1"/>
  <c r="L522" i="1"/>
  <c r="H540" i="1"/>
  <c r="L523" i="1"/>
  <c r="H541" i="1" s="1"/>
  <c r="L526" i="1"/>
  <c r="I539" i="1" s="1"/>
  <c r="L527" i="1"/>
  <c r="I540" i="1" s="1"/>
  <c r="L528" i="1"/>
  <c r="I541" i="1"/>
  <c r="L531" i="1"/>
  <c r="J539" i="1"/>
  <c r="L532" i="1"/>
  <c r="L534" i="1" s="1"/>
  <c r="L533" i="1"/>
  <c r="J541" i="1" s="1"/>
  <c r="E124" i="2"/>
  <c r="E123" i="2"/>
  <c r="K262" i="1"/>
  <c r="J262" i="1"/>
  <c r="L262" i="1" s="1"/>
  <c r="I262" i="1"/>
  <c r="H262" i="1"/>
  <c r="G262" i="1"/>
  <c r="F262" i="1"/>
  <c r="C124" i="2"/>
  <c r="C123" i="2"/>
  <c r="A1" i="2"/>
  <c r="A2" i="2"/>
  <c r="C9" i="2"/>
  <c r="C19" i="2" s="1"/>
  <c r="D9" i="2"/>
  <c r="E9" i="2"/>
  <c r="F9" i="2"/>
  <c r="F19" i="2" s="1"/>
  <c r="I431" i="1"/>
  <c r="J9" i="1"/>
  <c r="G9" i="2" s="1"/>
  <c r="C10" i="2"/>
  <c r="D10" i="2"/>
  <c r="E10" i="2"/>
  <c r="E19" i="2" s="1"/>
  <c r="F10" i="2"/>
  <c r="I432" i="1"/>
  <c r="J10" i="1" s="1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22" i="2"/>
  <c r="D22" i="2"/>
  <c r="D32" i="2" s="1"/>
  <c r="E22" i="2"/>
  <c r="E32" i="2" s="1"/>
  <c r="F22" i="2"/>
  <c r="F32" i="2" s="1"/>
  <c r="I440" i="1"/>
  <c r="J23" i="1" s="1"/>
  <c r="C23" i="2"/>
  <c r="D23" i="2"/>
  <c r="E23" i="2"/>
  <c r="F23" i="2"/>
  <c r="I441" i="1"/>
  <c r="J24" i="1"/>
  <c r="G23" i="2"/>
  <c r="C24" i="2"/>
  <c r="C32" i="2" s="1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C43" i="2" s="1"/>
  <c r="D34" i="2"/>
  <c r="D42" i="2" s="1"/>
  <c r="D43" i="2" s="1"/>
  <c r="E34" i="2"/>
  <c r="F34" i="2"/>
  <c r="F42" i="2" s="1"/>
  <c r="C35" i="2"/>
  <c r="D35" i="2"/>
  <c r="E35" i="2"/>
  <c r="F35" i="2"/>
  <c r="C36" i="2"/>
  <c r="D36" i="2"/>
  <c r="E36" i="2"/>
  <c r="F36" i="2"/>
  <c r="I446" i="1"/>
  <c r="I450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D40" i="2"/>
  <c r="E40" i="2"/>
  <c r="E42" i="2" s="1"/>
  <c r="E43" i="2" s="1"/>
  <c r="F40" i="2"/>
  <c r="I449" i="1"/>
  <c r="J41" i="1" s="1"/>
  <c r="G40" i="2" s="1"/>
  <c r="C41" i="2"/>
  <c r="D41" i="2"/>
  <c r="E41" i="2"/>
  <c r="F41" i="2"/>
  <c r="C48" i="2"/>
  <c r="D48" i="2"/>
  <c r="E48" i="2"/>
  <c r="E55" i="2" s="1"/>
  <c r="E49" i="2"/>
  <c r="C50" i="2"/>
  <c r="E50" i="2"/>
  <c r="E54" i="2" s="1"/>
  <c r="C51" i="2"/>
  <c r="D51" i="2"/>
  <c r="E51" i="2"/>
  <c r="F51" i="2"/>
  <c r="C53" i="2"/>
  <c r="D53" i="2"/>
  <c r="E53" i="2"/>
  <c r="F53" i="2"/>
  <c r="F54" i="2"/>
  <c r="C58" i="2"/>
  <c r="C62" i="2" s="1"/>
  <c r="C59" i="2"/>
  <c r="C61" i="2"/>
  <c r="D61" i="2"/>
  <c r="D62" i="2"/>
  <c r="E61" i="2"/>
  <c r="E62" i="2" s="1"/>
  <c r="E73" i="2" s="1"/>
  <c r="F61" i="2"/>
  <c r="F62" i="2" s="1"/>
  <c r="G61" i="2"/>
  <c r="G62" i="2"/>
  <c r="C64" i="2"/>
  <c r="F64" i="2"/>
  <c r="F70" i="2" s="1"/>
  <c r="F73" i="2" s="1"/>
  <c r="C65" i="2"/>
  <c r="C70" i="2" s="1"/>
  <c r="F65" i="2"/>
  <c r="C66" i="2"/>
  <c r="C67" i="2"/>
  <c r="C68" i="2"/>
  <c r="E68" i="2"/>
  <c r="F68" i="2"/>
  <c r="C69" i="2"/>
  <c r="D69" i="2"/>
  <c r="D70" i="2" s="1"/>
  <c r="D73" i="2" s="1"/>
  <c r="E69" i="2"/>
  <c r="F69" i="2"/>
  <c r="G69" i="2"/>
  <c r="G70" i="2" s="1"/>
  <c r="G73" i="2" s="1"/>
  <c r="G96" i="2" s="1"/>
  <c r="C71" i="2"/>
  <c r="D71" i="2"/>
  <c r="E71" i="2"/>
  <c r="C72" i="2"/>
  <c r="E72" i="2"/>
  <c r="C77" i="2"/>
  <c r="C83" i="2" s="1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F86" i="2"/>
  <c r="D88" i="2"/>
  <c r="E88" i="2"/>
  <c r="F88" i="2"/>
  <c r="G88" i="2"/>
  <c r="C89" i="2"/>
  <c r="C95" i="2" s="1"/>
  <c r="D89" i="2"/>
  <c r="D95" i="2" s="1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2" i="2"/>
  <c r="C103" i="2"/>
  <c r="E105" i="2"/>
  <c r="D107" i="2"/>
  <c r="D137" i="2" s="1"/>
  <c r="F107" i="2"/>
  <c r="G107" i="2"/>
  <c r="C110" i="2"/>
  <c r="E110" i="2"/>
  <c r="E120" i="2" s="1"/>
  <c r="E111" i="2"/>
  <c r="E112" i="2"/>
  <c r="C113" i="2"/>
  <c r="C116" i="2"/>
  <c r="E116" i="2"/>
  <c r="E117" i="2"/>
  <c r="D119" i="2"/>
  <c r="D120" i="2" s="1"/>
  <c r="F120" i="2"/>
  <c r="G120" i="2"/>
  <c r="D126" i="2"/>
  <c r="F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/>
  <c r="E129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G152" i="2" s="1"/>
  <c r="F152" i="2"/>
  <c r="F490" i="1"/>
  <c r="K490" i="1" s="1"/>
  <c r="B153" i="2"/>
  <c r="G490" i="1"/>
  <c r="C153" i="2" s="1"/>
  <c r="G153" i="2" s="1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G155" i="2" s="1"/>
  <c r="E155" i="2"/>
  <c r="F155" i="2"/>
  <c r="F493" i="1"/>
  <c r="B156" i="2" s="1"/>
  <c r="G493" i="1"/>
  <c r="K493" i="1" s="1"/>
  <c r="H493" i="1"/>
  <c r="D156" i="2"/>
  <c r="I493" i="1"/>
  <c r="E156" i="2" s="1"/>
  <c r="J493" i="1"/>
  <c r="F156" i="2"/>
  <c r="F19" i="1"/>
  <c r="G19" i="1"/>
  <c r="H19" i="1"/>
  <c r="I19" i="1"/>
  <c r="F33" i="1"/>
  <c r="G33" i="1"/>
  <c r="H33" i="1"/>
  <c r="H44" i="1" s="1"/>
  <c r="H609" i="1" s="1"/>
  <c r="J609" i="1" s="1"/>
  <c r="I33" i="1"/>
  <c r="I44" i="1" s="1"/>
  <c r="H610" i="1" s="1"/>
  <c r="F43" i="1"/>
  <c r="F44" i="1" s="1"/>
  <c r="H607" i="1" s="1"/>
  <c r="J607" i="1" s="1"/>
  <c r="G43" i="1"/>
  <c r="G44" i="1" s="1"/>
  <c r="H608" i="1" s="1"/>
  <c r="J608" i="1" s="1"/>
  <c r="H43" i="1"/>
  <c r="I43" i="1"/>
  <c r="F169" i="1"/>
  <c r="I169" i="1"/>
  <c r="I184" i="1" s="1"/>
  <c r="F175" i="1"/>
  <c r="G175" i="1"/>
  <c r="G184" i="1" s="1"/>
  <c r="H175" i="1"/>
  <c r="I175" i="1"/>
  <c r="J175" i="1"/>
  <c r="F180" i="1"/>
  <c r="G180" i="1"/>
  <c r="H180" i="1"/>
  <c r="H184" i="1" s="1"/>
  <c r="I180" i="1"/>
  <c r="F184" i="1"/>
  <c r="J184" i="1"/>
  <c r="F203" i="1"/>
  <c r="F249" i="1" s="1"/>
  <c r="F263" i="1" s="1"/>
  <c r="G203" i="1"/>
  <c r="G249" i="1" s="1"/>
  <c r="G263" i="1" s="1"/>
  <c r="H203" i="1"/>
  <c r="H249" i="1" s="1"/>
  <c r="H263" i="1" s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82" i="1"/>
  <c r="F330" i="1" s="1"/>
  <c r="F344" i="1" s="1"/>
  <c r="G282" i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G330" i="1"/>
  <c r="G344" i="1" s="1"/>
  <c r="F354" i="1"/>
  <c r="G354" i="1"/>
  <c r="H354" i="1"/>
  <c r="I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I393" i="1"/>
  <c r="F399" i="1"/>
  <c r="G399" i="1"/>
  <c r="G400" i="1" s="1"/>
  <c r="H635" i="1" s="1"/>
  <c r="H399" i="1"/>
  <c r="H400" i="1" s="1"/>
  <c r="H634" i="1" s="1"/>
  <c r="I399" i="1"/>
  <c r="I400" i="1" s="1"/>
  <c r="L405" i="1"/>
  <c r="L406" i="1"/>
  <c r="L407" i="1"/>
  <c r="L408" i="1"/>
  <c r="L409" i="1"/>
  <c r="L410" i="1"/>
  <c r="F411" i="1"/>
  <c r="F426" i="1" s="1"/>
  <c r="G411" i="1"/>
  <c r="H411" i="1"/>
  <c r="H426" i="1" s="1"/>
  <c r="I411" i="1"/>
  <c r="I426" i="1" s="1"/>
  <c r="J411" i="1"/>
  <c r="J426" i="1" s="1"/>
  <c r="L411" i="1"/>
  <c r="L426" i="1" s="1"/>
  <c r="G628" i="1" s="1"/>
  <c r="J628" i="1" s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G426" i="1"/>
  <c r="F438" i="1"/>
  <c r="G438" i="1"/>
  <c r="G630" i="1" s="1"/>
  <c r="J630" i="1" s="1"/>
  <c r="H438" i="1"/>
  <c r="G631" i="1" s="1"/>
  <c r="I438" i="1"/>
  <c r="F444" i="1"/>
  <c r="G444" i="1"/>
  <c r="H444" i="1"/>
  <c r="I444" i="1"/>
  <c r="F450" i="1"/>
  <c r="G450" i="1"/>
  <c r="H450" i="1"/>
  <c r="F451" i="1"/>
  <c r="G451" i="1"/>
  <c r="H451" i="1"/>
  <c r="H631" i="1" s="1"/>
  <c r="J460" i="1"/>
  <c r="J466" i="1" s="1"/>
  <c r="H616" i="1" s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J514" i="1"/>
  <c r="K514" i="1"/>
  <c r="K535" i="1" s="1"/>
  <c r="F519" i="1"/>
  <c r="G519" i="1"/>
  <c r="H519" i="1"/>
  <c r="I519" i="1"/>
  <c r="I535" i="1" s="1"/>
  <c r="J519" i="1"/>
  <c r="J535" i="1" s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5" i="1"/>
  <c r="H535" i="1"/>
  <c r="L547" i="1"/>
  <c r="L548" i="1"/>
  <c r="L549" i="1"/>
  <c r="F550" i="1"/>
  <c r="G550" i="1"/>
  <c r="H550" i="1"/>
  <c r="H561" i="1" s="1"/>
  <c r="I550" i="1"/>
  <c r="I561" i="1" s="1"/>
  <c r="J550" i="1"/>
  <c r="J561" i="1" s="1"/>
  <c r="K550" i="1"/>
  <c r="L550" i="1"/>
  <c r="L552" i="1"/>
  <c r="L553" i="1"/>
  <c r="L555" i="1" s="1"/>
  <c r="L554" i="1"/>
  <c r="F555" i="1"/>
  <c r="G555" i="1"/>
  <c r="H555" i="1"/>
  <c r="I555" i="1"/>
  <c r="J555" i="1"/>
  <c r="K555" i="1"/>
  <c r="L557" i="1"/>
  <c r="L558" i="1"/>
  <c r="L559" i="1"/>
  <c r="F560" i="1"/>
  <c r="F561" i="1" s="1"/>
  <c r="G560" i="1"/>
  <c r="H560" i="1"/>
  <c r="I560" i="1"/>
  <c r="J560" i="1"/>
  <c r="K560" i="1"/>
  <c r="L560" i="1"/>
  <c r="G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5" i="1"/>
  <c r="K586" i="1"/>
  <c r="K587" i="1"/>
  <c r="I588" i="1"/>
  <c r="J588" i="1"/>
  <c r="H641" i="1" s="1"/>
  <c r="K592" i="1"/>
  <c r="K593" i="1"/>
  <c r="H595" i="1"/>
  <c r="I595" i="1"/>
  <c r="J595" i="1"/>
  <c r="F604" i="1"/>
  <c r="G604" i="1"/>
  <c r="H604" i="1"/>
  <c r="I604" i="1"/>
  <c r="J604" i="1"/>
  <c r="K604" i="1"/>
  <c r="G607" i="1"/>
  <c r="G608" i="1"/>
  <c r="G609" i="1"/>
  <c r="G610" i="1"/>
  <c r="J610" i="1" s="1"/>
  <c r="G612" i="1"/>
  <c r="G614" i="1"/>
  <c r="G615" i="1"/>
  <c r="H621" i="1"/>
  <c r="G624" i="1"/>
  <c r="J624" i="1" s="1"/>
  <c r="H626" i="1"/>
  <c r="H627" i="1"/>
  <c r="H628" i="1"/>
  <c r="G629" i="1"/>
  <c r="J629" i="1" s="1"/>
  <c r="H629" i="1"/>
  <c r="H630" i="1"/>
  <c r="G632" i="1"/>
  <c r="G633" i="1"/>
  <c r="G634" i="1"/>
  <c r="J634" i="1" s="1"/>
  <c r="G635" i="1"/>
  <c r="J635" i="1" s="1"/>
  <c r="H637" i="1"/>
  <c r="G639" i="1"/>
  <c r="G640" i="1"/>
  <c r="J640" i="1" s="1"/>
  <c r="H640" i="1"/>
  <c r="G641" i="1"/>
  <c r="G642" i="1"/>
  <c r="J642" i="1" s="1"/>
  <c r="H642" i="1"/>
  <c r="G643" i="1"/>
  <c r="J643" i="1" s="1"/>
  <c r="H643" i="1"/>
  <c r="G644" i="1"/>
  <c r="J644" i="1" s="1"/>
  <c r="H644" i="1"/>
  <c r="G645" i="1"/>
  <c r="J645" i="1" s="1"/>
  <c r="H645" i="1"/>
  <c r="G95" i="2"/>
  <c r="D83" i="2"/>
  <c r="D17" i="13"/>
  <c r="C17" i="13" s="1"/>
  <c r="D19" i="2"/>
  <c r="E70" i="2"/>
  <c r="E8" i="13"/>
  <c r="C8" i="13" s="1"/>
  <c r="D14" i="13"/>
  <c r="C14" i="13" s="1"/>
  <c r="C19" i="10"/>
  <c r="C114" i="2"/>
  <c r="D29" i="13"/>
  <c r="C29" i="13" s="1"/>
  <c r="G460" i="1"/>
  <c r="H618" i="1"/>
  <c r="J19" i="1" l="1"/>
  <c r="G611" i="1" s="1"/>
  <c r="G10" i="2"/>
  <c r="G542" i="1"/>
  <c r="C133" i="2"/>
  <c r="C130" i="2"/>
  <c r="L400" i="1"/>
  <c r="E136" i="2"/>
  <c r="J641" i="1"/>
  <c r="F43" i="2"/>
  <c r="I652" i="1"/>
  <c r="G33" i="13"/>
  <c r="J631" i="1"/>
  <c r="F33" i="13"/>
  <c r="G617" i="1"/>
  <c r="F458" i="1"/>
  <c r="G650" i="1"/>
  <c r="G654" i="1" s="1"/>
  <c r="J639" i="1"/>
  <c r="G19" i="2"/>
  <c r="K540" i="1"/>
  <c r="C73" i="2"/>
  <c r="C96" i="2" s="1"/>
  <c r="E96" i="2"/>
  <c r="I542" i="1"/>
  <c r="F542" i="1"/>
  <c r="L561" i="1"/>
  <c r="J263" i="1"/>
  <c r="I185" i="1"/>
  <c r="J633" i="1"/>
  <c r="G137" i="2"/>
  <c r="G22" i="2"/>
  <c r="G32" i="2" s="1"/>
  <c r="J33" i="1"/>
  <c r="C38" i="10"/>
  <c r="D5" i="13"/>
  <c r="C102" i="2"/>
  <c r="C11" i="10"/>
  <c r="L203" i="1"/>
  <c r="I451" i="1"/>
  <c r="H632" i="1" s="1"/>
  <c r="J632" i="1" s="1"/>
  <c r="F137" i="2"/>
  <c r="J185" i="1"/>
  <c r="E107" i="2"/>
  <c r="E137" i="2" s="1"/>
  <c r="K541" i="1"/>
  <c r="E33" i="13"/>
  <c r="D35" i="13" s="1"/>
  <c r="L514" i="1"/>
  <c r="L535" i="1" s="1"/>
  <c r="C122" i="2"/>
  <c r="C105" i="2"/>
  <c r="F48" i="2"/>
  <c r="F55" i="2" s="1"/>
  <c r="J540" i="1"/>
  <c r="J542" i="1" s="1"/>
  <c r="F651" i="1"/>
  <c r="I651" i="1" s="1"/>
  <c r="G103" i="1"/>
  <c r="G104" i="1" s="1"/>
  <c r="G185" i="1" s="1"/>
  <c r="G618" i="1" s="1"/>
  <c r="J618" i="1" s="1"/>
  <c r="F653" i="1"/>
  <c r="I653" i="1" s="1"/>
  <c r="C17" i="10"/>
  <c r="C104" i="2"/>
  <c r="H161" i="1"/>
  <c r="H185" i="1" s="1"/>
  <c r="C25" i="13"/>
  <c r="E104" i="2"/>
  <c r="H588" i="1"/>
  <c r="H639" i="1" s="1"/>
  <c r="L529" i="1"/>
  <c r="K330" i="1"/>
  <c r="K344" i="1" s="1"/>
  <c r="C134" i="2"/>
  <c r="E103" i="2"/>
  <c r="C29" i="10"/>
  <c r="C20" i="10"/>
  <c r="L320" i="1"/>
  <c r="L330" i="1" s="1"/>
  <c r="L344" i="1" s="1"/>
  <c r="H539" i="1"/>
  <c r="H542" i="1" s="1"/>
  <c r="G613" i="1"/>
  <c r="J330" i="1"/>
  <c r="J344" i="1" s="1"/>
  <c r="F77" i="2"/>
  <c r="F83" i="2" s="1"/>
  <c r="L374" i="1"/>
  <c r="G626" i="1" s="1"/>
  <c r="J626" i="1" s="1"/>
  <c r="C156" i="2"/>
  <c r="G156" i="2" s="1"/>
  <c r="J37" i="1"/>
  <c r="C16" i="10"/>
  <c r="L354" i="1"/>
  <c r="C101" i="2"/>
  <c r="C24" i="10"/>
  <c r="D7" i="13"/>
  <c r="C7" i="13" s="1"/>
  <c r="G619" i="1" l="1"/>
  <c r="H458" i="1"/>
  <c r="G623" i="1"/>
  <c r="H462" i="1"/>
  <c r="C136" i="2"/>
  <c r="C39" i="10"/>
  <c r="C5" i="13"/>
  <c r="D33" i="13"/>
  <c r="D36" i="13" s="1"/>
  <c r="K539" i="1"/>
  <c r="K542" i="1" s="1"/>
  <c r="C36" i="10"/>
  <c r="I458" i="1"/>
  <c r="G620" i="1"/>
  <c r="H650" i="1"/>
  <c r="H654" i="1" s="1"/>
  <c r="C27" i="10"/>
  <c r="G625" i="1"/>
  <c r="G462" i="1"/>
  <c r="D31" i="13"/>
  <c r="C31" i="13" s="1"/>
  <c r="G657" i="1"/>
  <c r="G662" i="1"/>
  <c r="J43" i="1"/>
  <c r="G36" i="2"/>
  <c r="G42" i="2" s="1"/>
  <c r="G43" i="2" s="1"/>
  <c r="F96" i="2"/>
  <c r="F650" i="1"/>
  <c r="L249" i="1"/>
  <c r="L263" i="1" s="1"/>
  <c r="H638" i="1"/>
  <c r="J638" i="1" s="1"/>
  <c r="H617" i="1"/>
  <c r="J617" i="1" s="1"/>
  <c r="F460" i="1"/>
  <c r="G627" i="1"/>
  <c r="J627" i="1" s="1"/>
  <c r="H636" i="1"/>
  <c r="G621" i="1"/>
  <c r="J621" i="1" s="1"/>
  <c r="G636" i="1"/>
  <c r="C107" i="2"/>
  <c r="C41" i="10" l="1"/>
  <c r="D39" i="10"/>
  <c r="H625" i="1"/>
  <c r="J625" i="1" s="1"/>
  <c r="G464" i="1"/>
  <c r="G466" i="1" s="1"/>
  <c r="H613" i="1" s="1"/>
  <c r="J613" i="1" s="1"/>
  <c r="I650" i="1"/>
  <c r="I654" i="1" s="1"/>
  <c r="F654" i="1"/>
  <c r="D27" i="10"/>
  <c r="C28" i="10"/>
  <c r="H623" i="1"/>
  <c r="H464" i="1"/>
  <c r="C137" i="2"/>
  <c r="H662" i="1"/>
  <c r="H657" i="1"/>
  <c r="J623" i="1"/>
  <c r="J620" i="1"/>
  <c r="H619" i="1"/>
  <c r="J619" i="1" s="1"/>
  <c r="H460" i="1"/>
  <c r="H466" i="1" s="1"/>
  <c r="H614" i="1" s="1"/>
  <c r="J614" i="1" s="1"/>
  <c r="G622" i="1"/>
  <c r="F462" i="1"/>
  <c r="J636" i="1"/>
  <c r="J44" i="1"/>
  <c r="H611" i="1" s="1"/>
  <c r="J611" i="1" s="1"/>
  <c r="G616" i="1"/>
  <c r="H620" i="1"/>
  <c r="I460" i="1"/>
  <c r="I466" i="1" s="1"/>
  <c r="H615" i="1" s="1"/>
  <c r="J615" i="1" s="1"/>
  <c r="I662" i="1" l="1"/>
  <c r="C7" i="10" s="1"/>
  <c r="I657" i="1"/>
  <c r="F464" i="1"/>
  <c r="F466" i="1" s="1"/>
  <c r="H612" i="1" s="1"/>
  <c r="J612" i="1" s="1"/>
  <c r="H622" i="1"/>
  <c r="D22" i="10"/>
  <c r="C30" i="10"/>
  <c r="D18" i="10"/>
  <c r="D23" i="10"/>
  <c r="D10" i="10"/>
  <c r="D28" i="10" s="1"/>
  <c r="D15" i="10"/>
  <c r="D19" i="10"/>
  <c r="D13" i="10"/>
  <c r="D21" i="10"/>
  <c r="D26" i="10"/>
  <c r="D12" i="10"/>
  <c r="D25" i="10"/>
  <c r="D20" i="10"/>
  <c r="D16" i="10"/>
  <c r="D11" i="10"/>
  <c r="D24" i="10"/>
  <c r="D17" i="10"/>
  <c r="J622" i="1"/>
  <c r="D40" i="10"/>
  <c r="D35" i="10"/>
  <c r="D37" i="10"/>
  <c r="D38" i="10"/>
  <c r="F657" i="1"/>
  <c r="F662" i="1"/>
  <c r="C4" i="10" s="1"/>
  <c r="J616" i="1"/>
  <c r="H646" i="1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141E667-A421-494B-8365-CEDF7F314EB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42F4AF9-FE8A-4C4B-81D9-B0DFAE91AD1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6F17E2C-AD26-4C98-AFA5-3477FA1D46C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1A99329-F870-4350-8F60-840DF761035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37E6F46-7AE4-4EB6-BAEF-11CB284F831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BE06B3DE-8317-4ED0-B045-2C2D14C7D8E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A981DDC-6874-4363-A2DE-ADECF64E93E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5DFBF07-5BE9-4094-8C8A-643748C3443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1986A1D-CE83-479A-9461-E778902E20D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75BC7FD-5FC5-41F8-9F85-6071C44FA92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7453414-7DCF-4798-9170-6F0C23711CF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4E2B671-799B-431D-A94A-74E36F8284E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<sst xmlns="http://schemas.openxmlformats.org/spreadsheetml/2006/main" count="3862" uniqueCount="899">
  <si>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</si>
  <si>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</si>
  <si>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</si>
  <si>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</si>
  <si>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</si>
  <si>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</si>
  <si>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</si>
  <si>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</si>
  <si>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</si>
  <si>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</si>
  <si>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</si>
  <si>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</si>
  <si>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</si>
  <si>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</si>
  <si>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</si>
  <si>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</si>
  <si>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</si>
  <si>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</si>
  <si>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</si>
  <si>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</si>
  <si>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</si>
  <si>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</si>
  <si>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</si>
  <si>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</si>
  <si>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</si>
  <si>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</si>
  <si>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</si>
  <si>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</si>
  <si>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</si>
  <si>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</si>
  <si>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</si>
  <si>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</si>
  <si>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</si>
  <si>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</si>
  <si>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</si>
  <si>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</si>
  <si>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</si>
  <si>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</si>
  <si>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</si>
  <si>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</si>
  <si>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</si>
  <si>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</si>
  <si>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</si>
  <si>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</si>
  <si>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</si>
  <si>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</si>
  <si>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</si>
  <si>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</si>
  <si>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</si>
  <si>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</si>
  <si>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</si>
  <si>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</si>
  <si>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</si>
  <si>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</si>
  <si>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</si>
  <si>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</si>
  <si>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</si>
  <si>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</si>
  <si>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</si>
  <si>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</si>
  <si>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</si>
  <si>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</si>
  <si>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</si>
  <si>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</si>
  <si>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</si>
  <si>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</si>
  <si>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</si>
  <si>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</si>
  <si>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</si>
  <si>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</si>
  <si>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</si>
  <si>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</si>
  <si>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</si>
  <si>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</si>
  <si>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</si>
  <si>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</si>
  <si>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</si>
  <si>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</si>
  <si>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</si>
  <si>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</si>
  <si>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</si>
  <si>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</si>
  <si>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</si>
  <si>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</si>
  <si>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</si>
  <si>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</si>
  <si>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</si>
  <si>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</si>
  <si>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</si>
  <si>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</si>
  <si>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</si>
  <si>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</si>
  <si>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</si>
  <si>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</si>
  <si>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</si>
  <si>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</si>
  <si>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</si>
  <si>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</si>
  <si>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</si>
  <si>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</si>
  <si>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</si>
  <si>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</si>
  <si>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</si>
  <si>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</si>
  <si>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</si>
  <si>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</si>
  <si>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</si>
  <si>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</si>
  <si>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</si>
  <si>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</si>
  <si>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</si>
  <si>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</si>
  <si>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</si>
  <si>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</si>
  <si>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</si>
  <si>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</si>
  <si>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</si>
  <si>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</si>
  <si>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</si>
  <si>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</si>
  <si>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</si>
  <si>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</si>
  <si>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</si>
  <si>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</si>
  <si>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</si>
  <si>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</si>
  <si>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</si>
  <si>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</si>
  <si>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</si>
  <si>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</si>
  <si>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</si>
  <si>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</si>
  <si>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</si>
  <si>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</si>
  <si>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</si>
  <si>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</si>
  <si>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</si>
  <si>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</si>
  <si>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</si>
  <si>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</si>
  <si>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</si>
  <si>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</si>
  <si>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</si>
  <si>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</si>
  <si>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</si>
  <si>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</si>
  <si>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</si>
  <si>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</si>
  <si>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</si>
  <si>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</si>
  <si>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</si>
  <si>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</si>
  <si>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</si>
  <si>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</si>
  <si>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</si>
  <si>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</si>
  <si>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</si>
  <si>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</si>
  <si>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</si>
  <si>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</si>
  <si>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</si>
  <si>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</si>
  <si>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</si>
  <si>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</si>
  <si>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</si>
  <si>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</si>
  <si>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</si>
  <si>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</si>
  <si>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</si>
  <si>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</si>
  <si>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</si>
  <si>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</si>
  <si>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</si>
  <si>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</si>
  <si>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</si>
  <si>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</si>
  <si>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</si>
  <si>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</si>
  <si>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</si>
  <si>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</si>
  <si>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</si>
  <si>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</si>
  <si>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</si>
  <si>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</si>
  <si>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</si>
  <si>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</si>
  <si>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</si>
  <si>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</si>
  <si>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</si>
  <si>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</si>
  <si>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</si>
  <si>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</si>
  <si>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</si>
  <si>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</si>
  <si>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</si>
  <si>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</si>
  <si>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</si>
  <si>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</si>
  <si>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</si>
  <si>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</si>
  <si>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</si>
  <si>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</si>
  <si>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</si>
  <si>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</si>
  <si>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</si>
  <si>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</si>
  <si>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</si>
  <si>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</si>
  <si>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</si>
  <si>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</si>
  <si>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</si>
  <si>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</si>
  <si>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</si>
  <si>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</si>
  <si>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</si>
  <si>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</si>
  <si>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</si>
  <si>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</si>
  <si>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</si>
  <si>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</si>
  <si>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</si>
  <si>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</si>
  <si>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</si>
  <si>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</si>
  <si>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</si>
  <si>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</si>
  <si>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</si>
  <si>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</si>
  <si>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</si>
  <si>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</si>
  <si>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</si>
  <si>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</si>
  <si>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</si>
  <si>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</si>
  <si>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</si>
  <si>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</si>
  <si>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</si>
  <si>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</si>
  <si>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</si>
  <si>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</si>
  <si>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</si>
  <si>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</si>
  <si>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</si>
  <si>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</si>
  <si>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</si>
  <si>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</si>
  <si>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</si>
  <si>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</si>
  <si>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</si>
  <si>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</si>
  <si>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</si>
  <si>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</si>
  <si>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</si>
  <si>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</si>
  <si>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</si>
  <si>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</si>
  <si>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</si>
  <si>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</si>
  <si>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</si>
  <si>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</si>
  <si>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</si>
  <si>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</si>
  <si>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</si>
  <si>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</si>
  <si>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</si>
  <si>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</si>
  <si>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</si>
  <si>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</si>
  <si>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</si>
  <si>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</si>
  <si>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</si>
  <si>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</si>
  <si>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</si>
  <si>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</si>
  <si>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</si>
  <si>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</si>
  <si>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</si>
  <si>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</si>
  <si>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</si>
  <si>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</si>
  <si>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</si>
  <si>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</si>
  <si>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</si>
  <si>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</si>
  <si>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</si>
  <si>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</si>
  <si>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</si>
  <si>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</si>
  <si>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</si>
  <si>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</si>
  <si>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</si>
  <si>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</si>
  <si>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</si>
  <si>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</si>
  <si>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</si>
  <si>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</si>
  <si>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</si>
  <si>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</si>
  <si>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</si>
  <si>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</si>
  <si>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</si>
  <si>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</si>
  <si>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</si>
  <si>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</si>
  <si>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</si>
  <si>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</si>
  <si>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</si>
  <si>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</si>
  <si>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</si>
  <si>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</si>
  <si>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</si>
  <si>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</si>
  <si>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</si>
  <si>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</si>
  <si>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</si>
  <si>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</si>
  <si>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</si>
  <si>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</si>
  <si>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</si>
  <si>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</si>
  <si>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</si>
  <si>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</si>
  <si>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</si>
  <si>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</si>
  <si>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</si>
  <si>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</si>
  <si>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</si>
  <si>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</si>
  <si>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</si>
  <si>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</si>
  <si>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</si>
  <si>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</si>
  <si>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</si>
  <si>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</si>
  <si>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</si>
  <si>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</si>
  <si>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</si>
  <si>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</si>
  <si>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</si>
  <si>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</si>
  <si>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</si>
  <si>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</si>
  <si>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</si>
  <si>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</si>
  <si>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</si>
  <si>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</si>
  <si>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</si>
  <si>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</si>
  <si>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</si>
  <si>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</si>
  <si>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</si>
  <si>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</si>
  <si>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</si>
  <si>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</si>
  <si>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</si>
  <si>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</si>
  <si>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</si>
  <si>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</si>
  <si>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</si>
  <si>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</si>
  <si>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</si>
  <si>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</si>
  <si>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</si>
  <si>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</si>
  <si>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</si>
  <si>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</si>
  <si>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</si>
  <si>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</si>
  <si>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</si>
  <si>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</si>
  <si>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</si>
  <si>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</si>
  <si>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</si>
  <si>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</si>
  <si>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</si>
  <si>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</si>
  <si>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</si>
  <si>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</si>
  <si>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</si>
  <si>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</si>
  <si>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</si>
  <si>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</si>
  <si>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</si>
  <si>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</si>
  <si>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</si>
  <si>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</si>
  <si>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</si>
  <si>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</si>
  <si>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</si>
  <si>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</si>
  <si>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</si>
  <si>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</si>
  <si>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</si>
  <si>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</si>
  <si>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</si>
  <si>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</si>
  <si>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</si>
  <si>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</si>
  <si>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</si>
  <si>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</si>
  <si>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</si>
  <si>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</si>
  <si>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</si>
  <si>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</si>
  <si>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</si>
  <si>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</si>
  <si>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</si>
  <si>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</si>
  <si>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</si>
  <si>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</si>
  <si>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</si>
  <si>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</si>
  <si>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</si>
  <si>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</si>
  <si>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</si>
  <si>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</si>
  <si>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</si>
  <si>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</si>
  <si>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</si>
  <si>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</si>
  <si>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</si>
  <si>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</si>
  <si>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</si>
  <si>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</si>
  <si>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</si>
  <si>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</si>
  <si>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</si>
  <si>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</si>
  <si>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</si>
  <si>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</si>
  <si>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</si>
  <si>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</si>
  <si>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</si>
  <si>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</si>
  <si>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</si>
  <si>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</si>
  <si>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</si>
  <si>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</si>
  <si>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</si>
  <si>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</si>
  <si>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</si>
  <si>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</si>
  <si>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</si>
  <si>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</si>
  <si>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</si>
  <si>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</si>
  <si>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</si>
  <si>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</si>
  <si>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</si>
  <si>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</si>
  <si>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</si>
  <si>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</si>
  <si>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</si>
  <si>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</si>
  <si>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</si>
  <si>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</si>
  <si>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</si>
  <si>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</si>
  <si>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</si>
  <si>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</si>
  <si>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</si>
  <si>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</si>
  <si>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</si>
  <si>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</si>
  <si>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</si>
  <si>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</si>
  <si>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</si>
  <si>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</si>
  <si>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</si>
  <si>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</si>
  <si>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</si>
  <si>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</si>
  <si>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</si>
  <si>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</si>
  <si>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</si>
  <si>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</si>
  <si>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</si>
  <si>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</si>
  <si>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</si>
  <si>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</si>
  <si>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</si>
  <si>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</si>
  <si>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</si>
  <si>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</si>
  <si>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</si>
  <si>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</si>
  <si>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</si>
  <si>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</si>
  <si>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</si>
  <si>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</si>
  <si>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</si>
  <si>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</si>
  <si>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</si>
  <si>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</si>
  <si>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</si>
  <si>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</si>
  <si>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</si>
  <si>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</si>
  <si>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</si>
  <si>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</si>
  <si>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</si>
  <si>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</si>
  <si>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</si>
  <si>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</si>
  <si>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</si>
  <si>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</si>
  <si>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</si>
  <si>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</si>
  <si>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</si>
  <si>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</si>
  <si>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</si>
  <si>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</si>
  <si>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</si>
  <si>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</si>
  <si>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</si>
  <si>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</si>
  <si>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</si>
  <si>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</si>
  <si>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</si>
  <si>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</si>
  <si>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</si>
  <si>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</si>
  <si>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</si>
  <si>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</si>
  <si>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</si>
  <si>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</si>
  <si>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</si>
  <si>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</si>
  <si>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</si>
  <si>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</si>
  <si>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</si>
  <si>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</si>
  <si>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</si>
  <si>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</si>
  <si>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</si>
  <si>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</si>
  <si>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</si>
  <si>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</si>
  <si>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</si>
  <si>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</si>
  <si>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</si>
  <si>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</si>
  <si>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</si>
  <si>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</si>
  <si>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</si>
  <si>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</si>
  <si>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</si>
  <si>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</si>
  <si>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</si>
  <si>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</si>
  <si>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</si>
  <si>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</si>
  <si>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</si>
  <si>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</si>
  <si>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</si>
  <si>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</si>
  <si>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</si>
  <si>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</si>
  <si>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</si>
  <si>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</si>
  <si>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</si>
  <si>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</si>
  <si>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</si>
  <si>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</si>
  <si>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</si>
  <si>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</si>
  <si>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</si>
  <si>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</si>
  <si>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</si>
  <si>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</si>
  <si>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</si>
  <si>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</si>
  <si>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</si>
  <si>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</si>
  <si>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</si>
  <si>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</si>
  <si>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</si>
  <si>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</si>
  <si>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</si>
  <si>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</si>
  <si>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</si>
  <si>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</si>
  <si>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</si>
  <si>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</si>
  <si>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</si>
  <si>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</si>
  <si>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</si>
  <si>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</si>
  <si>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</si>
  <si>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</si>
  <si>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</si>
  <si>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</si>
  <si>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</si>
  <si>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</si>
  <si>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</si>
  <si>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</si>
  <si>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</si>
  <si>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</si>
  <si>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</si>
  <si>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</si>
  <si>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</si>
  <si>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</si>
  <si>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</si>
  <si>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</si>
  <si>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</si>
  <si>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</si>
  <si>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</si>
  <si>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</si>
  <si>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</si>
  <si>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</si>
  <si>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</si>
  <si>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</si>
  <si>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</si>
  <si>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</si>
  <si>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</si>
  <si>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</si>
  <si>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</si>
  <si>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</si>
  <si>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</si>
  <si>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</si>
  <si>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</si>
  <si>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</si>
  <si>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</si>
  <si>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</si>
  <si>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</si>
  <si>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</si>
  <si>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</si>
  <si>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</si>
  <si>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</si>
  <si>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</si>
  <si>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</si>
  <si>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</si>
  <si>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</si>
  <si>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</si>
  <si>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</si>
  <si>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</si>
  <si>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</si>
  <si>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</si>
  <si>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</si>
  <si>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</si>
  <si>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</si>
  <si>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</si>
  <si>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</si>
  <si>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</si>
  <si>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</si>
  <si>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</si>
  <si>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</si>
  <si>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</si>
  <si>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</si>
  <si>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</si>
  <si>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</si>
  <si>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</si>
  <si>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</si>
  <si>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</si>
  <si>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</si>
  <si>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</si>
  <si>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</si>
  <si>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</si>
  <si>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</si>
  <si>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</si>
  <si>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</si>
  <si>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</si>
  <si>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</si>
  <si>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</si>
  <si>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</si>
  <si>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</si>
  <si>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</si>
  <si>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</si>
  <si>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</si>
  <si>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</si>
  <si>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</si>
  <si>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</si>
  <si>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</si>
  <si>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</si>
  <si>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</si>
  <si>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</si>
  <si>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</si>
  <si>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</si>
  <si>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</si>
  <si>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</si>
  <si>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</si>
  <si>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</si>
  <si>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</si>
  <si>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</si>
  <si>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</si>
  <si>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</si>
  <si>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</si>
  <si>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</si>
  <si>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</si>
  <si>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</si>
  <si>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</si>
  <si>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</si>
  <si>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</si>
  <si>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</si>
  <si>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</si>
  <si>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</si>
  <si>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</si>
  <si>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</si>
  <si>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</si>
  <si>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</si>
  <si>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</si>
  <si>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</si>
  <si>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</si>
  <si>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</si>
  <si>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</si>
  <si>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</si>
  <si>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</si>
  <si>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</si>
  <si>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</si>
  <si>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</si>
  <si>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</si>
  <si>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</si>
  <si>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</si>
  <si>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</si>
  <si>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</si>
  <si>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</si>
  <si>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</si>
  <si>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</si>
  <si>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</si>
  <si>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</si>
  <si>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</si>
  <si>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</si>
  <si>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</si>
  <si>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</si>
  <si>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</si>
  <si>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</si>
  <si>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</si>
  <si>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</si>
  <si>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</si>
  <si>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</si>
  <si>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</si>
  <si>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</si>
  <si>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</si>
  <si>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</si>
  <si>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</si>
  <si>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</si>
  <si>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</si>
  <si>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</si>
  <si>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</si>
  <si>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</si>
  <si>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</si>
  <si>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</si>
  <si>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</si>
  <si>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</si>
  <si>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</si>
  <si>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</si>
  <si>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</si>
  <si>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</si>
  <si>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</si>
  <si>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</si>
  <si>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</si>
  <si>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</si>
  <si>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</si>
  <si>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</si>
  <si>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</si>
  <si>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</si>
  <si>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</si>
  <si>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</si>
  <si>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</si>
  <si>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</si>
  <si>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</si>
  <si>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</si>
  <si>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</si>
  <si>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</si>
  <si>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</si>
  <si>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</si>
  <si>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</si>
  <si>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</si>
  <si>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</si>
  <si>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</si>
  <si>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</si>
  <si>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</si>
  <si>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</si>
  <si>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</si>
  <si>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</si>
  <si>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</si>
  <si>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</si>
  <si>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</si>
  <si>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</si>
  <si>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</si>
  <si>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</si>
  <si>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</si>
  <si>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</si>
  <si>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</si>
  <si>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</si>
  <si>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</si>
  <si>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</si>
  <si>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</si>
  <si>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</si>
  <si>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</si>
  <si>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</si>
  <si>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</si>
  <si>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</si>
  <si>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</si>
  <si>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</si>
  <si>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</si>
  <si>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</si>
  <si>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</si>
  <si>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</si>
  <si>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</si>
  <si>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</si>
  <si>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</si>
  <si>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</si>
  <si>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</si>
  <si>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</si>
  <si>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</si>
  <si>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</si>
  <si>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</si>
  <si>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</si>
  <si>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</si>
  <si>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</si>
  <si>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</si>
  <si>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</si>
  <si>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</si>
  <si>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</si>
  <si>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</si>
  <si>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</si>
  <si>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</si>
  <si>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</si>
  <si>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</si>
  <si>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</si>
  <si>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</si>
  <si>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</si>
  <si>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</si>
  <si>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</si>
  <si>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</si>
  <si>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</si>
  <si>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</si>
  <si>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</si>
  <si>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</si>
  <si>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</si>
  <si>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</si>
  <si>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</si>
  <si>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</si>
  <si>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</si>
  <si>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</si>
  <si>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</si>
  <si>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</si>
  <si>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</si>
  <si>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</si>
  <si>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</si>
  <si>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</si>
  <si>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</si>
  <si>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</si>
  <si>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</si>
  <si>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</si>
  <si>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</si>
  <si>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</si>
  <si>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</si>
  <si>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</si>
  <si>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</si>
  <si>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</si>
  <si>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</si>
  <si>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</si>
  <si>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</si>
  <si>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</si>
  <si>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</si>
  <si>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</si>
  <si>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</si>
  <si>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</si>
  <si>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</si>
  <si>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</si>
  <si>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</si>
  <si>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</si>
  <si>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</si>
  <si>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</si>
  <si>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</si>
  <si>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</si>
  <si>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</si>
  <si>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</si>
  <si>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</si>
  <si>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</si>
  <si>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</si>
  <si>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</si>
  <si>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</si>
  <si>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</si>
  <si>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</si>
  <si>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</si>
  <si>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</si>
  <si>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</si>
  <si>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</si>
  <si>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</si>
  <si>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</si>
  <si>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</si>
  <si>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</si>
  <si>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</si>
  <si>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</si>
  <si>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</si>
  <si>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</si>
  <si>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</si>
  <si>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</si>
  <si>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</si>
  <si>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</si>
  <si>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</si>
  <si>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New Boston School District</t>
  </si>
  <si>
    <t xml:space="preserve">Multiple </t>
  </si>
  <si>
    <t>Multiple</t>
  </si>
  <si>
    <t xml:space="preserve">Updated to reflect a transfer of $100,000 from the General Fund into a newly created </t>
  </si>
  <si>
    <t xml:space="preserve"> Building Renovation Capital Reserve Trust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</si>
</sst>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2050-3C5A-4559-A008-229941CD7D14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/>
      <c r="C2" s="21"/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852324</v>
      </c>
      <c r="G9" s="18">
        <v>0</v>
      </c>
      <c r="H9" s="18">
        <v>0</v>
      </c>
      <c r="I9" s="18">
        <v>15305</v>
      </c>
      <c r="J9" s="67">
        <f>SUM(I431)</f>
        <v>100000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26520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9797</v>
      </c>
      <c r="G13" s="18">
        <v>5127</v>
      </c>
      <c r="H13" s="18">
        <v>23915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1817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8092</v>
      </c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5771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904321</v>
      </c>
      <c r="G19" s="41">
        <f>SUM(G9:G18)</f>
        <v>5127</v>
      </c>
      <c r="H19" s="41">
        <f>SUM(H9:H18)</f>
        <v>23915</v>
      </c>
      <c r="I19" s="41">
        <f>SUM(I9:I18)</f>
        <v>15305</v>
      </c>
      <c r="J19" s="41">
        <f>SUM(J9:J18)</f>
        <v>100000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5127</v>
      </c>
      <c r="H23" s="18">
        <v>23915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51408+10247</f>
        <v>61655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29984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180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91819</v>
      </c>
      <c r="G33" s="41">
        <f>SUM(G23:G32)</f>
        <v>5127</v>
      </c>
      <c r="H33" s="41">
        <f>SUM(H23:H32)</f>
        <v>23915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8092</v>
      </c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4481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249509</v>
      </c>
      <c r="G37" s="18"/>
      <c r="H37" s="18"/>
      <c r="I37" s="18">
        <v>15305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120000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100000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242046+190283-1909</f>
        <v>430420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812502</v>
      </c>
      <c r="G43" s="41">
        <f>SUM(G35:G42)</f>
        <v>0</v>
      </c>
      <c r="H43" s="41">
        <f>SUM(H35:H42)</f>
        <v>0</v>
      </c>
      <c r="I43" s="41">
        <f>SUM(I35:I42)</f>
        <v>15305</v>
      </c>
      <c r="J43" s="41">
        <f>SUM(J35:J42)</f>
        <v>100000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904321</v>
      </c>
      <c r="G44" s="41">
        <f>G43+G33</f>
        <v>5127</v>
      </c>
      <c r="H44" s="41">
        <f>H43+H33</f>
        <v>23915</v>
      </c>
      <c r="I44" s="41">
        <f>I43+I33</f>
        <v>15305</v>
      </c>
      <c r="J44" s="41">
        <f>J43+J33</f>
        <v>100000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6755380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6755380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4080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4080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2825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71808+11480+4874+27868</f>
        <v>116030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13821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6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905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3736</v>
      </c>
      <c r="G103" s="41">
        <f>SUM(G88:G102)</f>
        <v>116030</v>
      </c>
      <c r="H103" s="41">
        <f>SUM(H88:H102)</f>
        <v>13821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6763196</v>
      </c>
      <c r="G104" s="41">
        <f>G52+G103</f>
        <v>116030</v>
      </c>
      <c r="H104" s="41">
        <f>H52+H71+H86+H103</f>
        <v>13821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2218216-77638</f>
        <v>2140578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1279963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77638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3498179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2528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26642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1870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29170</v>
      </c>
      <c r="G128" s="41">
        <f>SUM(G115:G127)</f>
        <v>1870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3527349</v>
      </c>
      <c r="G132" s="41">
        <f>G113+SUM(G128:G129)</f>
        <v>1870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15348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929+8723</f>
        <v>9652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24995+7177+54144</f>
        <v>86316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21430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20714</v>
      </c>
      <c r="G152" s="24" t="s">
        <v>312</v>
      </c>
      <c r="H152" s="18">
        <v>3833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20714</v>
      </c>
      <c r="G154" s="41">
        <f>SUM(G142:G153)</f>
        <v>21430</v>
      </c>
      <c r="H154" s="41">
        <f>SUM(H142:H153)</f>
        <v>115149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>
        <v>5468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20714</v>
      </c>
      <c r="G161" s="41">
        <f>G139+G154+SUM(G155:G160)</f>
        <v>26898</v>
      </c>
      <c r="H161" s="41">
        <f>H139+H154+SUM(H155:H160)</f>
        <v>115149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33833</v>
      </c>
      <c r="H171" s="18"/>
      <c r="I171" s="18"/>
      <c r="J171" s="18"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33833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33833</v>
      </c>
      <c r="H184" s="41">
        <f>+H175+SUM(H180:H183)</f>
        <v>0</v>
      </c>
      <c r="I184" s="41">
        <f>I169+I175+SUM(I180:I183)</f>
        <v>0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10311259</v>
      </c>
      <c r="G185" s="47">
        <f>G104+G132+G161+G184</f>
        <v>178631</v>
      </c>
      <c r="H185" s="47">
        <f>H104+H132+H161+H184</f>
        <v>128970</v>
      </c>
      <c r="I185" s="47">
        <f>I104+I132+I161+I184</f>
        <v>0</v>
      </c>
      <c r="J185" s="47">
        <f>J104+J132+J184</f>
        <v>100000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1609464+104742</f>
        <v>1714206</v>
      </c>
      <c r="G189" s="18">
        <f>50197+651956+422</f>
        <v>702575</v>
      </c>
      <c r="H189" s="18">
        <v>14236</v>
      </c>
      <c r="I189" s="18">
        <v>87120</v>
      </c>
      <c r="J189" s="18">
        <v>9101</v>
      </c>
      <c r="K189" s="18">
        <v>135</v>
      </c>
      <c r="L189" s="19">
        <f>SUM(F189:K189)</f>
        <v>2527373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22876+602403</f>
        <v>625279</v>
      </c>
      <c r="G190" s="18">
        <f>4193+329223</f>
        <v>333416</v>
      </c>
      <c r="H190" s="18">
        <v>32922</v>
      </c>
      <c r="I190" s="18">
        <f>1763+4094</f>
        <v>5857</v>
      </c>
      <c r="J190" s="18">
        <v>3298</v>
      </c>
      <c r="K190" s="18">
        <v>0</v>
      </c>
      <c r="L190" s="19">
        <f>SUM(F190:K190)</f>
        <v>1000772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40816</v>
      </c>
      <c r="G192" s="18">
        <v>6038</v>
      </c>
      <c r="H192" s="18"/>
      <c r="I192" s="18"/>
      <c r="J192" s="18"/>
      <c r="K192" s="18"/>
      <c r="L192" s="19">
        <f>SUM(F192:K192)</f>
        <v>46854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247868</v>
      </c>
      <c r="G194" s="18">
        <v>92310</v>
      </c>
      <c r="H194" s="18">
        <v>32999</v>
      </c>
      <c r="I194" s="18">
        <v>2186</v>
      </c>
      <c r="J194" s="18"/>
      <c r="K194" s="18"/>
      <c r="L194" s="19">
        <f t="shared" ref="L194:L200" si="0">SUM(F194:K194)</f>
        <v>375363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73958</v>
      </c>
      <c r="G195" s="18">
        <v>29731</v>
      </c>
      <c r="H195" s="18">
        <v>15832</v>
      </c>
      <c r="I195" s="18">
        <v>23746</v>
      </c>
      <c r="J195" s="18"/>
      <c r="K195" s="18">
        <v>180</v>
      </c>
      <c r="L195" s="19">
        <f t="shared" si="0"/>
        <v>143447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3500</v>
      </c>
      <c r="G196" s="18">
        <v>295</v>
      </c>
      <c r="H196" s="18">
        <v>310261</v>
      </c>
      <c r="I196" s="18">
        <v>519</v>
      </c>
      <c r="J196" s="18"/>
      <c r="K196" s="18">
        <v>3735</v>
      </c>
      <c r="L196" s="19">
        <f t="shared" si="0"/>
        <v>318310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254609</v>
      </c>
      <c r="G197" s="18">
        <v>78842</v>
      </c>
      <c r="H197" s="18">
        <v>10160</v>
      </c>
      <c r="I197" s="18">
        <v>74</v>
      </c>
      <c r="J197" s="18"/>
      <c r="K197" s="18">
        <v>810</v>
      </c>
      <c r="L197" s="19">
        <f t="shared" si="0"/>
        <v>344495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151096</v>
      </c>
      <c r="G199" s="18">
        <v>54062</v>
      </c>
      <c r="H199" s="18">
        <v>140438</v>
      </c>
      <c r="I199" s="18">
        <v>151436</v>
      </c>
      <c r="J199" s="18">
        <v>500</v>
      </c>
      <c r="K199" s="18"/>
      <c r="L199" s="19">
        <f t="shared" si="0"/>
        <v>497532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490525</v>
      </c>
      <c r="I200" s="18"/>
      <c r="J200" s="18"/>
      <c r="K200" s="18"/>
      <c r="L200" s="19">
        <f t="shared" si="0"/>
        <v>490525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3111332</v>
      </c>
      <c r="G203" s="41">
        <f t="shared" si="1"/>
        <v>1297269</v>
      </c>
      <c r="H203" s="41">
        <f t="shared" si="1"/>
        <v>1047373</v>
      </c>
      <c r="I203" s="41">
        <f t="shared" si="1"/>
        <v>270938</v>
      </c>
      <c r="J203" s="41">
        <f t="shared" si="1"/>
        <v>12899</v>
      </c>
      <c r="K203" s="41">
        <f t="shared" si="1"/>
        <v>4860</v>
      </c>
      <c r="L203" s="41">
        <f t="shared" si="1"/>
        <v>5744671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1422021</v>
      </c>
      <c r="I207" s="18"/>
      <c r="J207" s="18"/>
      <c r="K207" s="18"/>
      <c r="L207" s="19">
        <f>SUM(F207:K207)</f>
        <v>1422021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41315</v>
      </c>
      <c r="I208" s="18"/>
      <c r="J208" s="18"/>
      <c r="K208" s="18"/>
      <c r="L208" s="19">
        <f>SUM(F208:K208)</f>
        <v>41315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5500</v>
      </c>
      <c r="I218" s="18"/>
      <c r="J218" s="18"/>
      <c r="K218" s="18"/>
      <c r="L218" s="19">
        <f t="shared" si="2"/>
        <v>5500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1468836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1468836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2888518</v>
      </c>
      <c r="I225" s="18"/>
      <c r="J225" s="18"/>
      <c r="K225" s="18"/>
      <c r="L225" s="19">
        <f>SUM(F225:K225)</f>
        <v>2888518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236450</v>
      </c>
      <c r="I226" s="18"/>
      <c r="J226" s="18"/>
      <c r="K226" s="18"/>
      <c r="L226" s="19">
        <f>SUM(F226:K226)</f>
        <v>236450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59953</v>
      </c>
      <c r="I236" s="18"/>
      <c r="J236" s="18"/>
      <c r="K236" s="18"/>
      <c r="L236" s="19">
        <f t="shared" si="4"/>
        <v>59953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3184921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3184921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3111332</v>
      </c>
      <c r="G249" s="41">
        <f t="shared" si="8"/>
        <v>1297269</v>
      </c>
      <c r="H249" s="41">
        <f t="shared" si="8"/>
        <v>5701130</v>
      </c>
      <c r="I249" s="41">
        <f t="shared" si="8"/>
        <v>270938</v>
      </c>
      <c r="J249" s="41">
        <f t="shared" si="8"/>
        <v>12899</v>
      </c>
      <c r="K249" s="41">
        <f t="shared" si="8"/>
        <v>4860</v>
      </c>
      <c r="L249" s="41">
        <f t="shared" si="8"/>
        <v>10398428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33833</v>
      </c>
      <c r="L255" s="19">
        <f>SUM(F255:K255)</f>
        <v>33833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133833</v>
      </c>
      <c r="L262" s="41">
        <f t="shared" si="9"/>
        <v>133833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3111332</v>
      </c>
      <c r="G263" s="42">
        <f t="shared" si="11"/>
        <v>1297269</v>
      </c>
      <c r="H263" s="42">
        <f t="shared" si="11"/>
        <v>5701130</v>
      </c>
      <c r="I263" s="42">
        <f t="shared" si="11"/>
        <v>270938</v>
      </c>
      <c r="J263" s="42">
        <f t="shared" si="11"/>
        <v>12899</v>
      </c>
      <c r="K263" s="42">
        <f t="shared" si="11"/>
        <v>138693</v>
      </c>
      <c r="L263" s="42">
        <f t="shared" si="11"/>
        <v>10532261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4000</v>
      </c>
      <c r="G268" s="18">
        <v>670</v>
      </c>
      <c r="H268" s="18">
        <v>563</v>
      </c>
      <c r="I268" s="18">
        <f>1840+7684+1735</f>
        <v>11259</v>
      </c>
      <c r="J268" s="18">
        <f>3437+18534</f>
        <v>21971</v>
      </c>
      <c r="K268" s="18"/>
      <c r="L268" s="19">
        <f>SUM(F268:K268)</f>
        <v>38463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80510</v>
      </c>
      <c r="G269" s="18">
        <v>14159</v>
      </c>
      <c r="H269" s="18">
        <v>601</v>
      </c>
      <c r="I269" s="18"/>
      <c r="J269" s="18"/>
      <c r="K269" s="18"/>
      <c r="L269" s="19">
        <f>SUM(F269:K269)</f>
        <v>95270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4250</v>
      </c>
      <c r="G271" s="18">
        <f>325+341</f>
        <v>666</v>
      </c>
      <c r="H271" s="18"/>
      <c r="I271" s="18">
        <v>297</v>
      </c>
      <c r="J271" s="18"/>
      <c r="K271" s="18"/>
      <c r="L271" s="19">
        <f>SUM(F271:K271)</f>
        <v>5213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925</v>
      </c>
      <c r="I273" s="18"/>
      <c r="J273" s="18"/>
      <c r="K273" s="18"/>
      <c r="L273" s="19">
        <f t="shared" ref="L273:L279" si="12">SUM(F273:K273)</f>
        <v>925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325</v>
      </c>
      <c r="G274" s="18">
        <v>63</v>
      </c>
      <c r="H274" s="18">
        <f>2027+7616</f>
        <v>9643</v>
      </c>
      <c r="I274" s="18">
        <v>884</v>
      </c>
      <c r="J274" s="18"/>
      <c r="K274" s="18"/>
      <c r="L274" s="19">
        <f t="shared" si="12"/>
        <v>10915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89085</v>
      </c>
      <c r="G282" s="42">
        <f t="shared" si="13"/>
        <v>15558</v>
      </c>
      <c r="H282" s="42">
        <f t="shared" si="13"/>
        <v>11732</v>
      </c>
      <c r="I282" s="42">
        <f t="shared" si="13"/>
        <v>12440</v>
      </c>
      <c r="J282" s="42">
        <f t="shared" si="13"/>
        <v>21971</v>
      </c>
      <c r="K282" s="42">
        <f t="shared" si="13"/>
        <v>0</v>
      </c>
      <c r="L282" s="41">
        <f t="shared" si="13"/>
        <v>150786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89085</v>
      </c>
      <c r="G330" s="41">
        <f t="shared" si="20"/>
        <v>15558</v>
      </c>
      <c r="H330" s="41">
        <f t="shared" si="20"/>
        <v>11732</v>
      </c>
      <c r="I330" s="41">
        <f t="shared" si="20"/>
        <v>12440</v>
      </c>
      <c r="J330" s="41">
        <f t="shared" si="20"/>
        <v>21971</v>
      </c>
      <c r="K330" s="41">
        <f t="shared" si="20"/>
        <v>0</v>
      </c>
      <c r="L330" s="41">
        <f t="shared" si="20"/>
        <v>150786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89085</v>
      </c>
      <c r="G344" s="41">
        <f>G330</f>
        <v>15558</v>
      </c>
      <c r="H344" s="41">
        <f>H330</f>
        <v>11732</v>
      </c>
      <c r="I344" s="41">
        <f>I330</f>
        <v>12440</v>
      </c>
      <c r="J344" s="41">
        <f>J330</f>
        <v>21971</v>
      </c>
      <c r="K344" s="47">
        <f>K330+K343</f>
        <v>0</v>
      </c>
      <c r="L344" s="41">
        <f>L330+L343</f>
        <v>150786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44517</v>
      </c>
      <c r="G350" s="18">
        <v>19075</v>
      </c>
      <c r="H350" s="18">
        <v>1463</v>
      </c>
      <c r="I350" s="18">
        <v>112662</v>
      </c>
      <c r="J350" s="18"/>
      <c r="K350" s="18">
        <v>914</v>
      </c>
      <c r="L350" s="13">
        <f>SUM(F350:K350)</f>
        <v>178631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44517</v>
      </c>
      <c r="G354" s="47">
        <f t="shared" si="22"/>
        <v>19075</v>
      </c>
      <c r="H354" s="47">
        <f t="shared" si="22"/>
        <v>1463</v>
      </c>
      <c r="I354" s="47">
        <f t="shared" si="22"/>
        <v>112662</v>
      </c>
      <c r="J354" s="47">
        <f t="shared" si="22"/>
        <v>0</v>
      </c>
      <c r="K354" s="47">
        <f t="shared" si="22"/>
        <v>914</v>
      </c>
      <c r="L354" s="47">
        <f t="shared" si="22"/>
        <v>178631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101447</v>
      </c>
      <c r="G359" s="18"/>
      <c r="H359" s="18"/>
      <c r="I359" s="56">
        <f>SUM(F359:H359)</f>
        <v>101447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11215</v>
      </c>
      <c r="G360" s="63"/>
      <c r="H360" s="63"/>
      <c r="I360" s="56">
        <f>SUM(F360:H360)</f>
        <v>11215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112662</v>
      </c>
      <c r="G361" s="47">
        <f>SUM(G359:G360)</f>
        <v>0</v>
      </c>
      <c r="H361" s="47">
        <f>SUM(H359:H360)</f>
        <v>0</v>
      </c>
      <c r="I361" s="47">
        <f>SUM(I359:I360)</f>
        <v>112662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100000</v>
      </c>
      <c r="H381" s="18"/>
      <c r="I381" s="18"/>
      <c r="J381" s="24" t="s">
        <v>312</v>
      </c>
      <c r="K381" s="24" t="s">
        <v>312</v>
      </c>
      <c r="L381" s="56">
        <f t="shared" si="25"/>
        <v>100000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100000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100000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100000</v>
      </c>
      <c r="G431" s="18"/>
      <c r="H431" s="18"/>
      <c r="I431" s="56">
        <f t="shared" ref="I431:I437" si="33">SUM(F431:H431)</f>
        <v>100000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100000</v>
      </c>
      <c r="G438" s="13">
        <f>SUM(G431:G437)</f>
        <v>0</v>
      </c>
      <c r="H438" s="13">
        <f>SUM(H431:H437)</f>
        <v>0</v>
      </c>
      <c r="I438" s="13">
        <f>SUM(I431:I437)</f>
        <v>100000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100000</v>
      </c>
      <c r="G449" s="18"/>
      <c r="H449" s="18"/>
      <c r="I449" s="56">
        <f>SUM(F449:H449)</f>
        <v>100000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100000</v>
      </c>
      <c r="G450" s="83">
        <f>SUM(G446:G449)</f>
        <v>0</v>
      </c>
      <c r="H450" s="83">
        <f>SUM(H446:H449)</f>
        <v>0</v>
      </c>
      <c r="I450" s="83">
        <f>SUM(I446:I449)</f>
        <v>100000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100000</v>
      </c>
      <c r="G451" s="42">
        <f>G444+G450</f>
        <v>0</v>
      </c>
      <c r="H451" s="42">
        <f>H444+H450</f>
        <v>0</v>
      </c>
      <c r="I451" s="42">
        <f>I444+I450</f>
        <v>100000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f>950187+83317</f>
        <v>1033504</v>
      </c>
      <c r="G455" s="18">
        <v>0</v>
      </c>
      <c r="H455" s="18">
        <v>21816</v>
      </c>
      <c r="I455" s="18">
        <v>15305</v>
      </c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10311259</v>
      </c>
      <c r="G458" s="18">
        <v>178631</v>
      </c>
      <c r="H458" s="18">
        <f>H185</f>
        <v>128970</v>
      </c>
      <c r="I458" s="18">
        <f>I185</f>
        <v>0</v>
      </c>
      <c r="J458" s="18">
        <v>100000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10311259</v>
      </c>
      <c r="G460" s="53">
        <f>SUM(G458:G459)</f>
        <v>178631</v>
      </c>
      <c r="H460" s="53">
        <f>SUM(H458:H459)</f>
        <v>128970</v>
      </c>
      <c r="I460" s="53">
        <f>SUM(I458:I459)</f>
        <v>0</v>
      </c>
      <c r="J460" s="53">
        <f>SUM(J458:J459)</f>
        <v>100000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10532261</v>
      </c>
      <c r="G462" s="18">
        <f>L354</f>
        <v>178631</v>
      </c>
      <c r="H462" s="18">
        <f>L344</f>
        <v>150786</v>
      </c>
      <c r="I462" s="18">
        <v>0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10532261</v>
      </c>
      <c r="G464" s="53">
        <f>SUM(G462:G463)</f>
        <v>178631</v>
      </c>
      <c r="H464" s="53">
        <f>SUM(H462:H463)</f>
        <v>150786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812502</v>
      </c>
      <c r="G466" s="53">
        <f>(G455+G460)- G464</f>
        <v>0</v>
      </c>
      <c r="H466" s="53">
        <f>(H455+H460)- H464</f>
        <v>0</v>
      </c>
      <c r="I466" s="53">
        <f>(I455+I460)- I464</f>
        <v>15305</v>
      </c>
      <c r="J466" s="53">
        <f>(J455+J460)- J464</f>
        <v>100000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705789</v>
      </c>
      <c r="G511" s="18">
        <v>347575</v>
      </c>
      <c r="H511" s="18">
        <v>33977</v>
      </c>
      <c r="I511" s="18">
        <v>4094</v>
      </c>
      <c r="J511" s="18">
        <v>3298</v>
      </c>
      <c r="K511" s="18"/>
      <c r="L511" s="88">
        <f>SUM(F511:K511)</f>
        <v>1094733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61500</v>
      </c>
      <c r="I512" s="18"/>
      <c r="J512" s="18"/>
      <c r="K512" s="18"/>
      <c r="L512" s="88">
        <f>SUM(F512:K512)</f>
        <v>61500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258549</v>
      </c>
      <c r="I513" s="18"/>
      <c r="J513" s="18"/>
      <c r="K513" s="18"/>
      <c r="L513" s="88">
        <f>SUM(F513:K513)</f>
        <v>258549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705789</v>
      </c>
      <c r="G514" s="108">
        <f t="shared" ref="G514:L514" si="35">SUM(G511:G513)</f>
        <v>347575</v>
      </c>
      <c r="H514" s="108">
        <f t="shared" si="35"/>
        <v>354026</v>
      </c>
      <c r="I514" s="108">
        <f t="shared" si="35"/>
        <v>4094</v>
      </c>
      <c r="J514" s="108">
        <f t="shared" si="35"/>
        <v>3298</v>
      </c>
      <c r="K514" s="108">
        <f t="shared" si="35"/>
        <v>0</v>
      </c>
      <c r="L514" s="89">
        <f t="shared" si="35"/>
        <v>1414782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140748</v>
      </c>
      <c r="G516" s="18">
        <v>65817</v>
      </c>
      <c r="H516" s="18">
        <v>42560</v>
      </c>
      <c r="I516" s="18">
        <v>837</v>
      </c>
      <c r="J516" s="18"/>
      <c r="K516" s="18"/>
      <c r="L516" s="88">
        <f>SUM(F516:K516)</f>
        <v>249962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140748</v>
      </c>
      <c r="G519" s="89">
        <f t="shared" ref="G519:L519" si="36">SUM(G516:G518)</f>
        <v>65817</v>
      </c>
      <c r="H519" s="89">
        <f t="shared" si="36"/>
        <v>42560</v>
      </c>
      <c r="I519" s="89">
        <f t="shared" si="36"/>
        <v>837</v>
      </c>
      <c r="J519" s="89">
        <f t="shared" si="36"/>
        <v>0</v>
      </c>
      <c r="K519" s="89">
        <f t="shared" si="36"/>
        <v>0</v>
      </c>
      <c r="L519" s="89">
        <f t="shared" si="36"/>
        <v>249962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67989</v>
      </c>
      <c r="G521" s="18">
        <v>37386</v>
      </c>
      <c r="H521" s="18"/>
      <c r="I521" s="18"/>
      <c r="J521" s="18"/>
      <c r="K521" s="18"/>
      <c r="L521" s="88">
        <f>SUM(F521:K521)</f>
        <v>105375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67989</v>
      </c>
      <c r="G524" s="89">
        <f t="shared" ref="G524:L524" si="37">SUM(G521:G523)</f>
        <v>37386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105375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1183</v>
      </c>
      <c r="I526" s="18"/>
      <c r="J526" s="18"/>
      <c r="K526" s="18"/>
      <c r="L526" s="88">
        <f>SUM(F526:K526)</f>
        <v>1183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1183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1183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50329</v>
      </c>
      <c r="I531" s="18"/>
      <c r="J531" s="18"/>
      <c r="K531" s="18"/>
      <c r="L531" s="88">
        <f>SUM(F531:K531)</f>
        <v>50329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5500</v>
      </c>
      <c r="I532" s="18"/>
      <c r="J532" s="18"/>
      <c r="K532" s="18"/>
      <c r="L532" s="88">
        <f>SUM(F532:K532)</f>
        <v>5500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59953</v>
      </c>
      <c r="I533" s="18"/>
      <c r="J533" s="18"/>
      <c r="K533" s="18"/>
      <c r="L533" s="88">
        <f>SUM(F533:K533)</f>
        <v>59953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115782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115782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914526</v>
      </c>
      <c r="G535" s="89">
        <f t="shared" ref="G535:L535" si="40">G514+G519+G524+G529+G534</f>
        <v>450778</v>
      </c>
      <c r="H535" s="89">
        <f t="shared" si="40"/>
        <v>513551</v>
      </c>
      <c r="I535" s="89">
        <f t="shared" si="40"/>
        <v>4931</v>
      </c>
      <c r="J535" s="89">
        <f t="shared" si="40"/>
        <v>3298</v>
      </c>
      <c r="K535" s="89">
        <f t="shared" si="40"/>
        <v>0</v>
      </c>
      <c r="L535" s="89">
        <f t="shared" si="40"/>
        <v>1887084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1094733</v>
      </c>
      <c r="G539" s="87">
        <f>L516</f>
        <v>249962</v>
      </c>
      <c r="H539" s="87">
        <f>L521</f>
        <v>105375</v>
      </c>
      <c r="I539" s="87">
        <f>L526</f>
        <v>1183</v>
      </c>
      <c r="J539" s="87">
        <f>L531</f>
        <v>50329</v>
      </c>
      <c r="K539" s="87">
        <f>SUM(F539:J539)</f>
        <v>1501582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61500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5500</v>
      </c>
      <c r="K540" s="87">
        <f>SUM(F540:J540)</f>
        <v>67000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258549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59953</v>
      </c>
      <c r="K541" s="87">
        <f>SUM(F541:J541)</f>
        <v>318502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1414782</v>
      </c>
      <c r="G542" s="89">
        <f t="shared" si="41"/>
        <v>249962</v>
      </c>
      <c r="H542" s="89">
        <f t="shared" si="41"/>
        <v>105375</v>
      </c>
      <c r="I542" s="89">
        <f t="shared" si="41"/>
        <v>1183</v>
      </c>
      <c r="J542" s="89">
        <f t="shared" si="41"/>
        <v>115782</v>
      </c>
      <c r="K542" s="89">
        <f t="shared" si="41"/>
        <v>1887084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22876</v>
      </c>
      <c r="G552" s="18">
        <v>4193</v>
      </c>
      <c r="H552" s="18"/>
      <c r="I552" s="18"/>
      <c r="J552" s="18"/>
      <c r="K552" s="18"/>
      <c r="L552" s="88">
        <f>SUM(F552:K552)</f>
        <v>27069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22876</v>
      </c>
      <c r="G555" s="89">
        <f t="shared" si="43"/>
        <v>4193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27069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22876</v>
      </c>
      <c r="G561" s="89">
        <f t="shared" ref="G561:L561" si="45">G550+G555+G560</f>
        <v>4193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27069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1422021</v>
      </c>
      <c r="H565" s="18">
        <v>2888518</v>
      </c>
      <c r="I565" s="87">
        <f>SUM(F565:H565)</f>
        <v>4310539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35387</v>
      </c>
      <c r="I569" s="87">
        <f t="shared" si="46"/>
        <v>35387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127254</v>
      </c>
      <c r="I573" s="87">
        <f t="shared" si="46"/>
        <v>127254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433344</v>
      </c>
      <c r="I581" s="18"/>
      <c r="J581" s="18"/>
      <c r="K581" s="104">
        <f t="shared" ref="K581:K587" si="47">SUM(H581:J581)</f>
        <v>433344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H531</f>
        <v>50329</v>
      </c>
      <c r="I582" s="18">
        <f>H532</f>
        <v>5500</v>
      </c>
      <c r="J582" s="18">
        <f>H533</f>
        <v>59953</v>
      </c>
      <c r="K582" s="104">
        <f t="shared" si="47"/>
        <v>115782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6852</v>
      </c>
      <c r="I585" s="18"/>
      <c r="J585" s="18"/>
      <c r="K585" s="104">
        <f t="shared" si="47"/>
        <v>6852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490525</v>
      </c>
      <c r="I588" s="108">
        <f>SUM(I581:I587)</f>
        <v>5500</v>
      </c>
      <c r="J588" s="108">
        <f>SUM(J581:J587)</f>
        <v>59953</v>
      </c>
      <c r="K588" s="108">
        <f>SUM(K581:K587)</f>
        <v>555978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12899+21971</f>
        <v>34870</v>
      </c>
      <c r="I594" s="18"/>
      <c r="J594" s="18"/>
      <c r="K594" s="104">
        <f>SUM(H594:J594)</f>
        <v>34870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34870</v>
      </c>
      <c r="I595" s="108">
        <f>SUM(I592:I594)</f>
        <v>0</v>
      </c>
      <c r="J595" s="108">
        <f>SUM(J592:J594)</f>
        <v>0</v>
      </c>
      <c r="K595" s="108">
        <f>SUM(K592:K594)</f>
        <v>34870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40816</v>
      </c>
      <c r="G601" s="18">
        <v>6038</v>
      </c>
      <c r="H601" s="18"/>
      <c r="I601" s="18"/>
      <c r="J601" s="18"/>
      <c r="K601" s="18"/>
      <c r="L601" s="88">
        <f>SUM(F601:K601)</f>
        <v>46854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40816</v>
      </c>
      <c r="G604" s="108">
        <f t="shared" si="48"/>
        <v>6038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46854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904321</v>
      </c>
      <c r="H607" s="109">
        <f>SUM(F44)</f>
        <v>904321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5127</v>
      </c>
      <c r="H608" s="109">
        <f>SUM(G44)</f>
        <v>5127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23915</v>
      </c>
      <c r="H609" s="109">
        <f>SUM(H44)</f>
        <v>23915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15305</v>
      </c>
      <c r="H610" s="109">
        <f>SUM(I44)</f>
        <v>15305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100000</v>
      </c>
      <c r="H611" s="109">
        <f>SUM(J44)</f>
        <v>100000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812502</v>
      </c>
      <c r="H612" s="109">
        <f>F466</f>
        <v>812502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15305</v>
      </c>
      <c r="H615" s="109">
        <f>I466</f>
        <v>15305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100000</v>
      </c>
      <c r="H616" s="109">
        <f>J466</f>
        <v>100000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10311259</v>
      </c>
      <c r="H617" s="104">
        <f>SUM(F458)</f>
        <v>10311259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178631</v>
      </c>
      <c r="H618" s="104">
        <f>SUM(G458)</f>
        <v>178631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128970</v>
      </c>
      <c r="H619" s="104">
        <f>SUM(H458)</f>
        <v>128970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100000</v>
      </c>
      <c r="H621" s="104">
        <f>SUM(J458)</f>
        <v>100000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10532261</v>
      </c>
      <c r="H622" s="104">
        <f>SUM(F462)</f>
        <v>10532261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150786</v>
      </c>
      <c r="H623" s="104">
        <f>SUM(H462)</f>
        <v>150786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112662</v>
      </c>
      <c r="H624" s="104">
        <f>I361</f>
        <v>112662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178631</v>
      </c>
      <c r="H625" s="104">
        <f>SUM(G462)</f>
        <v>178631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100000</v>
      </c>
      <c r="H627" s="164">
        <f>SUM(J458)</f>
        <v>100000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100000</v>
      </c>
      <c r="H629" s="104">
        <f>SUM(F451)</f>
        <v>100000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100000</v>
      </c>
      <c r="H632" s="104">
        <f>SUM(I451)</f>
        <v>100000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100000</v>
      </c>
      <c r="H636" s="104">
        <f>L400</f>
        <v>100000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555978</v>
      </c>
      <c r="H637" s="104">
        <f>L200+L218+L236</f>
        <v>555978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34870</v>
      </c>
      <c r="H638" s="104">
        <f>(J249+J330)-(J247+J328)</f>
        <v>34870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490525</v>
      </c>
      <c r="H639" s="104">
        <f>H588</f>
        <v>490525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5500</v>
      </c>
      <c r="H640" s="104">
        <f>I588</f>
        <v>5500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59953</v>
      </c>
      <c r="H641" s="104">
        <f>J588</f>
        <v>59953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33833</v>
      </c>
      <c r="H642" s="104">
        <f>K255+K337</f>
        <v>33833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6074088</v>
      </c>
      <c r="G650" s="19">
        <f>(L221+L301+L351)</f>
        <v>1468836</v>
      </c>
      <c r="H650" s="19">
        <f>(L239+L320+L352)</f>
        <v>3184921</v>
      </c>
      <c r="I650" s="19">
        <f>SUM(F650:H650)</f>
        <v>10727845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116030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116030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490525</v>
      </c>
      <c r="G652" s="19">
        <f>(L218+L298)-(J218+J298)</f>
        <v>5500</v>
      </c>
      <c r="H652" s="19">
        <f>(L236+L317)-(J236+J317)</f>
        <v>59953</v>
      </c>
      <c r="I652" s="19">
        <f>SUM(F652:H652)</f>
        <v>555978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81724</v>
      </c>
      <c r="G653" s="200">
        <f>SUM(G565:G577)+SUM(I592:I594)+L602</f>
        <v>1422021</v>
      </c>
      <c r="H653" s="200">
        <f>SUM(H565:H577)+SUM(J592:J594)+L603</f>
        <v>3051159</v>
      </c>
      <c r="I653" s="19">
        <f>SUM(F653:H653)</f>
        <v>4554904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5385809</v>
      </c>
      <c r="G654" s="19">
        <f>G650-SUM(G651:G653)</f>
        <v>41315</v>
      </c>
      <c r="H654" s="19">
        <f>H650-SUM(H651:H653)</f>
        <v>73809</v>
      </c>
      <c r="I654" s="19">
        <f>I650-SUM(I651:I653)</f>
        <v>5500933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507.44</v>
      </c>
      <c r="G655" s="249"/>
      <c r="H655" s="249"/>
      <c r="I655" s="19">
        <f>SUM(F655:H655)</f>
        <v>507.44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10613.69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10840.56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-41315</v>
      </c>
      <c r="H659" s="18">
        <v>-73809</v>
      </c>
      <c r="I659" s="19">
        <f>SUM(F659:H659)</f>
        <v>-115124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10613.69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10613.69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D1D9-F929-469B-8BD7-1BFF193F80D7}">
  <sheetPr>
    <tabColor indexed="20"/>
  </sheetPr>
  <dimension ref="A1:C52"/>
  <sheetViews>
    <sheetView workbookViewId="0">
      <selection activeCell="P41" sqref="P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New Boston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1718206</v>
      </c>
      <c r="C9" s="230">
        <f>'DOE25'!G189+'DOE25'!G207+'DOE25'!G225+'DOE25'!G268+'DOE25'!G287+'DOE25'!G306</f>
        <v>703245</v>
      </c>
    </row>
    <row r="10" spans="1:3" x14ac:dyDescent="0.2">
      <c r="A10" t="s">
        <v>810</v>
      </c>
      <c r="B10" s="241">
        <v>1564715</v>
      </c>
      <c r="C10" s="241">
        <v>646985</v>
      </c>
    </row>
    <row r="11" spans="1:3" x14ac:dyDescent="0.2">
      <c r="A11" t="s">
        <v>811</v>
      </c>
      <c r="B11" s="241">
        <v>100662</v>
      </c>
      <c r="C11" s="241">
        <v>35163</v>
      </c>
    </row>
    <row r="12" spans="1:3" x14ac:dyDescent="0.2">
      <c r="A12" t="s">
        <v>812</v>
      </c>
      <c r="B12" s="241">
        <v>52829</v>
      </c>
      <c r="C12" s="241">
        <v>21097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1718206</v>
      </c>
      <c r="C13" s="232">
        <f>SUM(C10:C12)</f>
        <v>703245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705789</v>
      </c>
      <c r="C18" s="230">
        <f>'DOE25'!G190+'DOE25'!G208+'DOE25'!G226+'DOE25'!G269+'DOE25'!G288+'DOE25'!G307</f>
        <v>347575</v>
      </c>
    </row>
    <row r="19" spans="1:3" x14ac:dyDescent="0.2">
      <c r="A19" t="s">
        <v>810</v>
      </c>
      <c r="B19" s="241">
        <v>341027</v>
      </c>
      <c r="C19" s="241">
        <v>149458</v>
      </c>
    </row>
    <row r="20" spans="1:3" x14ac:dyDescent="0.2">
      <c r="A20" t="s">
        <v>811</v>
      </c>
      <c r="B20" s="241">
        <v>360761</v>
      </c>
      <c r="C20" s="241">
        <v>198117</v>
      </c>
    </row>
    <row r="21" spans="1:3" x14ac:dyDescent="0.2">
      <c r="A21" t="s">
        <v>812</v>
      </c>
      <c r="B21" s="241">
        <v>4001</v>
      </c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705789</v>
      </c>
      <c r="C22" s="232">
        <f>SUM(C19:C21)</f>
        <v>347575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45066</v>
      </c>
      <c r="C36" s="236">
        <f>'DOE25'!G192+'DOE25'!G210+'DOE25'!G228+'DOE25'!G271+'DOE25'!G290+'DOE25'!G309</f>
        <v>6704</v>
      </c>
    </row>
    <row r="37" spans="1:3" x14ac:dyDescent="0.2">
      <c r="A37" t="s">
        <v>810</v>
      </c>
      <c r="B37" s="241">
        <v>36300</v>
      </c>
      <c r="C37" s="241">
        <v>5692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8766</v>
      </c>
      <c r="C39" s="241">
        <v>1012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45066</v>
      </c>
      <c r="C40" s="232">
        <f>SUM(C37:C39)</f>
        <v>6704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7A9C-4238-4048-9F61-A19D4DCB784E}">
  <sheetPr>
    <tabColor indexed="11"/>
  </sheetPr>
  <dimension ref="A1:I51"/>
  <sheetViews>
    <sheetView workbookViewId="0">
      <pane ySplit="4" topLeftCell="A5" activePane="bottomLeft" state="frozen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 Boston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8163303</v>
      </c>
      <c r="D5" s="20">
        <f>SUM('DOE25'!L189:L192)+SUM('DOE25'!L207:L210)+SUM('DOE25'!L225:L228)-F5-G5</f>
        <v>8150769</v>
      </c>
      <c r="E5" s="244"/>
      <c r="F5" s="256">
        <f>SUM('DOE25'!J189:J192)+SUM('DOE25'!J207:J210)+SUM('DOE25'!J225:J228)</f>
        <v>12399</v>
      </c>
      <c r="G5" s="53">
        <f>SUM('DOE25'!K189:K192)+SUM('DOE25'!K207:K210)+SUM('DOE25'!K225:K228)</f>
        <v>135</v>
      </c>
      <c r="H5" s="260"/>
    </row>
    <row r="6" spans="1:9" x14ac:dyDescent="0.2">
      <c r="A6" s="32">
        <v>2100</v>
      </c>
      <c r="B6" t="s">
        <v>832</v>
      </c>
      <c r="C6" s="246">
        <f t="shared" si="0"/>
        <v>375363</v>
      </c>
      <c r="D6" s="20">
        <f>'DOE25'!L194+'DOE25'!L212+'DOE25'!L230-F6-G6</f>
        <v>375363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143447</v>
      </c>
      <c r="D7" s="20">
        <f>'DOE25'!L195+'DOE25'!L213+'DOE25'!L231-F7-G7</f>
        <v>143267</v>
      </c>
      <c r="E7" s="244"/>
      <c r="F7" s="256">
        <f>'DOE25'!J195+'DOE25'!J213+'DOE25'!J231</f>
        <v>0</v>
      </c>
      <c r="G7" s="53">
        <f>'DOE25'!K195+'DOE25'!K213+'DOE25'!K231</f>
        <v>180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162409</v>
      </c>
      <c r="D8" s="244"/>
      <c r="E8" s="20">
        <f>'DOE25'!L196+'DOE25'!L214+'DOE25'!L232-F8-G8-D9-D11</f>
        <v>158674</v>
      </c>
      <c r="F8" s="256">
        <f>'DOE25'!J196+'DOE25'!J214+'DOE25'!J232</f>
        <v>0</v>
      </c>
      <c r="G8" s="53">
        <f>'DOE25'!K196+'DOE25'!K214+'DOE25'!K232</f>
        <v>3735</v>
      </c>
      <c r="H8" s="260"/>
    </row>
    <row r="9" spans="1:9" x14ac:dyDescent="0.2">
      <c r="A9" s="32">
        <v>2310</v>
      </c>
      <c r="B9" t="s">
        <v>849</v>
      </c>
      <c r="C9" s="246">
        <f t="shared" si="0"/>
        <v>8519</v>
      </c>
      <c r="D9" s="245">
        <v>8519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5325</v>
      </c>
      <c r="D10" s="244"/>
      <c r="E10" s="245">
        <v>5325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147382</v>
      </c>
      <c r="D11" s="245">
        <v>147382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344495</v>
      </c>
      <c r="D12" s="20">
        <f>'DOE25'!L197+'DOE25'!L215+'DOE25'!L233-F12-G12</f>
        <v>343685</v>
      </c>
      <c r="E12" s="244"/>
      <c r="F12" s="256">
        <f>'DOE25'!J197+'DOE25'!J215+'DOE25'!J233</f>
        <v>0</v>
      </c>
      <c r="G12" s="53">
        <f>'DOE25'!K197+'DOE25'!K215+'DOE25'!K233</f>
        <v>810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497532</v>
      </c>
      <c r="D14" s="20">
        <f>'DOE25'!L199+'DOE25'!L217+'DOE25'!L235-F14-G14</f>
        <v>497032</v>
      </c>
      <c r="E14" s="244"/>
      <c r="F14" s="256">
        <f>'DOE25'!J199+'DOE25'!J217+'DOE25'!J235</f>
        <v>500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555978</v>
      </c>
      <c r="D15" s="20">
        <f>'DOE25'!L200+'DOE25'!L218+'DOE25'!L236-F15-G15</f>
        <v>555978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77184</v>
      </c>
      <c r="D29" s="20">
        <f>'DOE25'!L350+'DOE25'!L351+'DOE25'!L352-'DOE25'!I359-F29-G29</f>
        <v>76270</v>
      </c>
      <c r="E29" s="244"/>
      <c r="F29" s="256">
        <f>'DOE25'!J350+'DOE25'!J351+'DOE25'!J352</f>
        <v>0</v>
      </c>
      <c r="G29" s="53">
        <f>'DOE25'!K350+'DOE25'!K351+'DOE25'!K352</f>
        <v>914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150786</v>
      </c>
      <c r="D31" s="20">
        <f>'DOE25'!L282+'DOE25'!L301+'DOE25'!L320+'DOE25'!L325+'DOE25'!L326+'DOE25'!L327-F31-G31</f>
        <v>128815</v>
      </c>
      <c r="E31" s="244"/>
      <c r="F31" s="256">
        <f>'DOE25'!J282+'DOE25'!J301+'DOE25'!J320+'DOE25'!J325+'DOE25'!J326+'DOE25'!J327</f>
        <v>21971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10427080</v>
      </c>
      <c r="E33" s="247">
        <f>SUM(E5:E31)</f>
        <v>163999</v>
      </c>
      <c r="F33" s="247">
        <f>SUM(F5:F31)</f>
        <v>34870</v>
      </c>
      <c r="G33" s="247">
        <f>SUM(G5:G31)</f>
        <v>5774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163999</v>
      </c>
      <c r="E35" s="250"/>
    </row>
    <row r="36" spans="2:8" ht="12" thickTop="1" x14ac:dyDescent="0.2">
      <c r="B36" t="s">
        <v>846</v>
      </c>
      <c r="D36" s="20">
        <f>D33</f>
        <v>10427080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30366-D27C-4F3B-AF4B-F2F576936FF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I15" sqref="I15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Boston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852324</v>
      </c>
      <c r="D9" s="95">
        <f>'DOE25'!G9</f>
        <v>0</v>
      </c>
      <c r="E9" s="95">
        <f>'DOE25'!H9</f>
        <v>0</v>
      </c>
      <c r="F9" s="95">
        <f>'DOE25'!I9</f>
        <v>15305</v>
      </c>
      <c r="G9" s="95">
        <f>'DOE25'!J9</f>
        <v>100000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26520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9797</v>
      </c>
      <c r="D13" s="95">
        <f>'DOE25'!G13</f>
        <v>5127</v>
      </c>
      <c r="E13" s="95">
        <f>'DOE25'!H13</f>
        <v>23915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1817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8092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5771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904321</v>
      </c>
      <c r="D19" s="41">
        <f>SUM(D9:D18)</f>
        <v>5127</v>
      </c>
      <c r="E19" s="41">
        <f>SUM(E9:E18)</f>
        <v>23915</v>
      </c>
      <c r="F19" s="41">
        <f>SUM(F9:F18)</f>
        <v>15305</v>
      </c>
      <c r="G19" s="41">
        <f>SUM(G9:G18)</f>
        <v>100000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5127</v>
      </c>
      <c r="E22" s="95">
        <f>'DOE25'!H23</f>
        <v>23915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61655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29984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180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91819</v>
      </c>
      <c r="D32" s="41">
        <f>SUM(D22:D31)</f>
        <v>5127</v>
      </c>
      <c r="E32" s="41">
        <f>SUM(E22:E31)</f>
        <v>23915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8092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4481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249509</v>
      </c>
      <c r="D36" s="95">
        <f>'DOE25'!G37</f>
        <v>0</v>
      </c>
      <c r="E36" s="95">
        <f>'DOE25'!H37</f>
        <v>0</v>
      </c>
      <c r="F36" s="95">
        <f>'DOE25'!I37</f>
        <v>15305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120000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100000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430420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812502</v>
      </c>
      <c r="D42" s="41">
        <f>SUM(D34:D41)</f>
        <v>0</v>
      </c>
      <c r="E42" s="41">
        <f>SUM(E34:E41)</f>
        <v>0</v>
      </c>
      <c r="F42" s="41">
        <f>SUM(F34:F41)</f>
        <v>15305</v>
      </c>
      <c r="G42" s="41">
        <f>SUM(G34:G41)</f>
        <v>100000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904321</v>
      </c>
      <c r="D43" s="41">
        <f>D42+D32</f>
        <v>5127</v>
      </c>
      <c r="E43" s="41">
        <f>E42+E32</f>
        <v>23915</v>
      </c>
      <c r="F43" s="41">
        <f>F42+F32</f>
        <v>15305</v>
      </c>
      <c r="G43" s="41">
        <f>G42+G32</f>
        <v>100000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6755380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4080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2825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116030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911</v>
      </c>
      <c r="D53" s="95">
        <f>SUM('DOE25'!G90:G102)</f>
        <v>0</v>
      </c>
      <c r="E53" s="95">
        <f>SUM('DOE25'!H90:H102)</f>
        <v>13821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7816</v>
      </c>
      <c r="D54" s="130">
        <f>SUM(D49:D53)</f>
        <v>116030</v>
      </c>
      <c r="E54" s="130">
        <f>SUM(E49:E53)</f>
        <v>13821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6763196</v>
      </c>
      <c r="D55" s="22">
        <f>D48+D54</f>
        <v>116030</v>
      </c>
      <c r="E55" s="22">
        <f>E48+E54</f>
        <v>13821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2140578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1279963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77638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3498179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2528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26642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1870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29170</v>
      </c>
      <c r="D70" s="130">
        <f>SUM(D64:D69)</f>
        <v>1870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3527349</v>
      </c>
      <c r="D73" s="130">
        <f>SUM(D71:D72)+D70+D62</f>
        <v>1870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15348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20714</v>
      </c>
      <c r="D80" s="95">
        <f>SUM('DOE25'!G145:G153)</f>
        <v>21430</v>
      </c>
      <c r="E80" s="95">
        <f>SUM('DOE25'!H145:H153)</f>
        <v>99801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5468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20714</v>
      </c>
      <c r="D83" s="131">
        <f>SUM(D77:D82)</f>
        <v>26898</v>
      </c>
      <c r="E83" s="131">
        <f>SUM(E77:E82)</f>
        <v>115149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33833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33833</v>
      </c>
      <c r="E95" s="86">
        <f>SUM(E85:E94)</f>
        <v>0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796</v>
      </c>
      <c r="C96" s="86">
        <f>C55+C73+C83+C95</f>
        <v>10311259</v>
      </c>
      <c r="D96" s="86">
        <f>D55+D73+D83+D95</f>
        <v>178631</v>
      </c>
      <c r="E96" s="86">
        <f>E55+E73+E83+E95</f>
        <v>128970</v>
      </c>
      <c r="F96" s="86">
        <f>F55+F73+F83+F95</f>
        <v>0</v>
      </c>
      <c r="G96" s="86">
        <f>G55+G73+G95</f>
        <v>100000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6837912</v>
      </c>
      <c r="D101" s="24" t="s">
        <v>312</v>
      </c>
      <c r="E101" s="95">
        <f>('DOE25'!L268)+('DOE25'!L287)+('DOE25'!L306)</f>
        <v>38463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1278537</v>
      </c>
      <c r="D102" s="24" t="s">
        <v>312</v>
      </c>
      <c r="E102" s="95">
        <f>('DOE25'!L269)+('DOE25'!L288)+('DOE25'!L307)</f>
        <v>95270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46854</v>
      </c>
      <c r="D104" s="24" t="s">
        <v>312</v>
      </c>
      <c r="E104" s="95">
        <f>+('DOE25'!L271)+('DOE25'!L290)+('DOE25'!L309)</f>
        <v>5213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8163303</v>
      </c>
      <c r="D107" s="86">
        <f>SUM(D101:D106)</f>
        <v>0</v>
      </c>
      <c r="E107" s="86">
        <f>SUM(E101:E106)</f>
        <v>138946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375363</v>
      </c>
      <c r="D110" s="24" t="s">
        <v>312</v>
      </c>
      <c r="E110" s="95">
        <f>+('DOE25'!L273)+('DOE25'!L292)+('DOE25'!L311)</f>
        <v>925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143447</v>
      </c>
      <c r="D111" s="24" t="s">
        <v>312</v>
      </c>
      <c r="E111" s="95">
        <f>+('DOE25'!L274)+('DOE25'!L293)+('DOE25'!L312)</f>
        <v>10915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318310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344495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497532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555978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178631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2235125</v>
      </c>
      <c r="D120" s="86">
        <f>SUM(D110:D119)</f>
        <v>178631</v>
      </c>
      <c r="E120" s="86">
        <f>SUM(E110:E119)</f>
        <v>11840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33833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100000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133833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10532261</v>
      </c>
      <c r="D137" s="86">
        <f>(D107+D120+D136)</f>
        <v>178631</v>
      </c>
      <c r="E137" s="86">
        <f>(E107+E120+E136)</f>
        <v>150786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365C-78BB-46FE-BAF4-179B8F470CC9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 Boston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10614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10614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6876375</v>
      </c>
      <c r="D10" s="182">
        <f>ROUND((C10/$C$28)*100,1)</f>
        <v>64.8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1373807</v>
      </c>
      <c r="D11" s="182">
        <f>ROUND((C11/$C$28)*100,1)</f>
        <v>12.9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52067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376288</v>
      </c>
      <c r="D15" s="182">
        <f t="shared" ref="D15:D27" si="0">ROUND((C15/$C$28)*100,1)</f>
        <v>3.5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154362</v>
      </c>
      <c r="D16" s="182">
        <f t="shared" si="0"/>
        <v>1.5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318310</v>
      </c>
      <c r="D17" s="182">
        <f t="shared" si="0"/>
        <v>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344495</v>
      </c>
      <c r="D18" s="182">
        <f t="shared" si="0"/>
        <v>3.2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497532</v>
      </c>
      <c r="D20" s="182">
        <f t="shared" si="0"/>
        <v>4.7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555978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62601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10611815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10611815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6755380</v>
      </c>
      <c r="D35" s="182">
        <f t="shared" ref="D35:D40" si="1">ROUND((C35/$C$41)*100,1)</f>
        <v>64.5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21637</v>
      </c>
      <c r="D36" s="182">
        <f t="shared" si="1"/>
        <v>0.2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3498179</v>
      </c>
      <c r="D37" s="182">
        <f t="shared" si="1"/>
        <v>33.4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31040</v>
      </c>
      <c r="D38" s="182">
        <f t="shared" si="1"/>
        <v>0.3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162761</v>
      </c>
      <c r="D39" s="182">
        <f t="shared" si="1"/>
        <v>1.6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10468997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F100-33E7-46A8-BDB3-3E8BC06CFA05}">
  <sheetPr>
    <tabColor indexed="17"/>
  </sheetPr>
  <dimension ref="A1:IV90"/>
  <sheetViews>
    <sheetView workbookViewId="0">
      <pane ySplit="3" topLeftCell="A4" activePane="bottomLeft" state="frozen"/>
      <selection pane="bottomLeft" activeCell="T20" sqref="T2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New Boston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 t="s">
        <v>895</v>
      </c>
      <c r="B4" s="220" t="s">
        <v>896</v>
      </c>
      <c r="C4" s="280" t="s">
        <v>897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898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2011-11-03T18:41:50Z</cp:lastPrinted>
  <dcterms:created xsi:type="dcterms:W3CDTF">1997-12-04T19:04:30Z</dcterms:created>
  <dcterms:modified xsi:type="dcterms:W3CDTF">2025-01-10T20:14:59Z</dcterms:modified>
</cp:coreProperties>
</file>