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045B47EA-B88B-40C2-B1B0-E3960EE288CB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6B3D59C8-AD2A-4A19-ADBB-282002610C2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2" i="1" l="1"/>
  <c r="G601" i="1"/>
  <c r="G602" i="1"/>
  <c r="G603" i="1"/>
  <c r="F601" i="1"/>
  <c r="H513" i="1"/>
  <c r="H512" i="1"/>
  <c r="H511" i="1"/>
  <c r="G237" i="1"/>
  <c r="L237" i="1"/>
  <c r="F102" i="1"/>
  <c r="G32" i="1"/>
  <c r="D31" i="2" s="1"/>
  <c r="D32" i="2" s="1"/>
  <c r="F462" i="1"/>
  <c r="F458" i="1"/>
  <c r="G228" i="1"/>
  <c r="G226" i="1"/>
  <c r="G210" i="1"/>
  <c r="G208" i="1"/>
  <c r="L208" i="1" s="1"/>
  <c r="G192" i="1"/>
  <c r="C36" i="12" s="1"/>
  <c r="A40" i="12" s="1"/>
  <c r="G190" i="1"/>
  <c r="L190" i="1" s="1"/>
  <c r="B19" i="12"/>
  <c r="G225" i="1"/>
  <c r="L225" i="1" s="1"/>
  <c r="L239" i="1" s="1"/>
  <c r="G207" i="1"/>
  <c r="G189" i="1"/>
  <c r="C9" i="12" s="1"/>
  <c r="A13" i="12" s="1"/>
  <c r="F288" i="1"/>
  <c r="H458" i="1"/>
  <c r="H25" i="1"/>
  <c r="G462" i="1"/>
  <c r="G41" i="1"/>
  <c r="G9" i="1"/>
  <c r="J594" i="1"/>
  <c r="I594" i="1"/>
  <c r="G653" i="1" s="1"/>
  <c r="H594" i="1"/>
  <c r="G458" i="1"/>
  <c r="G431" i="1"/>
  <c r="H313" i="1"/>
  <c r="L313" i="1" s="1"/>
  <c r="E112" i="2" s="1"/>
  <c r="H274" i="1"/>
  <c r="H235" i="1"/>
  <c r="K233" i="1"/>
  <c r="H233" i="1"/>
  <c r="L233" i="1" s="1"/>
  <c r="H232" i="1"/>
  <c r="H231" i="1"/>
  <c r="H230" i="1"/>
  <c r="K228" i="1"/>
  <c r="H226" i="1"/>
  <c r="H225" i="1"/>
  <c r="H217" i="1"/>
  <c r="H221" i="1" s="1"/>
  <c r="K215" i="1"/>
  <c r="H215" i="1"/>
  <c r="H214" i="1"/>
  <c r="H213" i="1"/>
  <c r="H212" i="1"/>
  <c r="K210" i="1"/>
  <c r="H208" i="1"/>
  <c r="H207" i="1"/>
  <c r="H199" i="1"/>
  <c r="K197" i="1"/>
  <c r="H197" i="1"/>
  <c r="H196" i="1"/>
  <c r="H203" i="1" s="1"/>
  <c r="H249" i="1" s="1"/>
  <c r="H263" i="1" s="1"/>
  <c r="H195" i="1"/>
  <c r="H194" i="1"/>
  <c r="H190" i="1"/>
  <c r="H189" i="1"/>
  <c r="C37" i="12"/>
  <c r="B37" i="12"/>
  <c r="C19" i="12"/>
  <c r="C22" i="12" s="1"/>
  <c r="A22" i="12" s="1"/>
  <c r="C10" i="12"/>
  <c r="C13" i="12" s="1"/>
  <c r="B10" i="12"/>
  <c r="C37" i="10"/>
  <c r="C60" i="2"/>
  <c r="B2" i="13"/>
  <c r="F8" i="13"/>
  <c r="G8" i="13"/>
  <c r="L214" i="1"/>
  <c r="L232" i="1"/>
  <c r="D39" i="13"/>
  <c r="F13" i="13"/>
  <c r="G13" i="13"/>
  <c r="L198" i="1"/>
  <c r="L216" i="1"/>
  <c r="C114" i="2" s="1"/>
  <c r="L234" i="1"/>
  <c r="F16" i="13"/>
  <c r="G16" i="13"/>
  <c r="L201" i="1"/>
  <c r="L219" i="1"/>
  <c r="F5" i="13"/>
  <c r="G5" i="13"/>
  <c r="L191" i="1"/>
  <c r="L207" i="1"/>
  <c r="L209" i="1"/>
  <c r="L210" i="1"/>
  <c r="L226" i="1"/>
  <c r="L227" i="1"/>
  <c r="L228" i="1"/>
  <c r="F6" i="13"/>
  <c r="G6" i="13"/>
  <c r="L194" i="1"/>
  <c r="L212" i="1"/>
  <c r="L230" i="1"/>
  <c r="C15" i="10" s="1"/>
  <c r="F7" i="13"/>
  <c r="G7" i="13"/>
  <c r="L195" i="1"/>
  <c r="L213" i="1"/>
  <c r="L231" i="1"/>
  <c r="F12" i="13"/>
  <c r="G12" i="13"/>
  <c r="G33" i="13" s="1"/>
  <c r="L197" i="1"/>
  <c r="L215" i="1"/>
  <c r="F14" i="13"/>
  <c r="G14" i="13"/>
  <c r="G15" i="13"/>
  <c r="G17" i="13"/>
  <c r="G18" i="13"/>
  <c r="G19" i="13"/>
  <c r="G29" i="13"/>
  <c r="K282" i="1"/>
  <c r="G31" i="13"/>
  <c r="L199" i="1"/>
  <c r="L235" i="1"/>
  <c r="F15" i="13"/>
  <c r="F33" i="13" s="1"/>
  <c r="L200" i="1"/>
  <c r="L218" i="1"/>
  <c r="L236" i="1"/>
  <c r="C21" i="10" s="1"/>
  <c r="F17" i="13"/>
  <c r="L243" i="1"/>
  <c r="F18" i="13"/>
  <c r="L244" i="1"/>
  <c r="D18" i="13" s="1"/>
  <c r="C18" i="13" s="1"/>
  <c r="F19" i="13"/>
  <c r="L245" i="1"/>
  <c r="F29" i="13"/>
  <c r="L350" i="1"/>
  <c r="F651" i="1" s="1"/>
  <c r="L351" i="1"/>
  <c r="L352" i="1"/>
  <c r="I359" i="1"/>
  <c r="J282" i="1"/>
  <c r="J301" i="1"/>
  <c r="F31" i="13" s="1"/>
  <c r="J320" i="1"/>
  <c r="K301" i="1"/>
  <c r="K320" i="1"/>
  <c r="L268" i="1"/>
  <c r="L269" i="1"/>
  <c r="E102" i="2" s="1"/>
  <c r="L270" i="1"/>
  <c r="L271" i="1"/>
  <c r="L273" i="1"/>
  <c r="L274" i="1"/>
  <c r="L275" i="1"/>
  <c r="L276" i="1"/>
  <c r="L277" i="1"/>
  <c r="L278" i="1"/>
  <c r="L279" i="1"/>
  <c r="L280" i="1"/>
  <c r="L287" i="1"/>
  <c r="L301" i="1" s="1"/>
  <c r="L288" i="1"/>
  <c r="L289" i="1"/>
  <c r="C12" i="10" s="1"/>
  <c r="L290" i="1"/>
  <c r="L292" i="1"/>
  <c r="L293" i="1"/>
  <c r="L294" i="1"/>
  <c r="L295" i="1"/>
  <c r="L296" i="1"/>
  <c r="L297" i="1"/>
  <c r="L298" i="1"/>
  <c r="L299" i="1"/>
  <c r="L306" i="1"/>
  <c r="L307" i="1"/>
  <c r="L308" i="1"/>
  <c r="L309" i="1"/>
  <c r="L311" i="1"/>
  <c r="L312" i="1"/>
  <c r="L314" i="1"/>
  <c r="L315" i="1"/>
  <c r="L316" i="1"/>
  <c r="L317" i="1"/>
  <c r="L318" i="1"/>
  <c r="L325" i="1"/>
  <c r="L326" i="1"/>
  <c r="L327" i="1"/>
  <c r="L252" i="1"/>
  <c r="H25" i="13" s="1"/>
  <c r="L253" i="1"/>
  <c r="L333" i="1"/>
  <c r="E123" i="2" s="1"/>
  <c r="L334" i="1"/>
  <c r="C25" i="10" s="1"/>
  <c r="L247" i="1"/>
  <c r="F22" i="13" s="1"/>
  <c r="C22" i="13" s="1"/>
  <c r="L328" i="1"/>
  <c r="C11" i="13"/>
  <c r="C10" i="13"/>
  <c r="C9" i="13"/>
  <c r="L353" i="1"/>
  <c r="B4" i="12"/>
  <c r="B36" i="12"/>
  <c r="B40" i="12"/>
  <c r="C40" i="12"/>
  <c r="B27" i="12"/>
  <c r="A31" i="12" s="1"/>
  <c r="C27" i="12"/>
  <c r="B31" i="12"/>
  <c r="C31" i="12"/>
  <c r="B9" i="12"/>
  <c r="B13" i="12"/>
  <c r="B18" i="12"/>
  <c r="B22" i="12"/>
  <c r="C18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/>
  <c r="G55" i="2" s="1"/>
  <c r="G51" i="2"/>
  <c r="G53" i="2"/>
  <c r="G54" i="2"/>
  <c r="G69" i="2"/>
  <c r="G70" i="2"/>
  <c r="G73" i="2" s="1"/>
  <c r="G61" i="2"/>
  <c r="G62" i="2" s="1"/>
  <c r="G88" i="2"/>
  <c r="G95" i="2" s="1"/>
  <c r="G89" i="2"/>
  <c r="G90" i="2"/>
  <c r="F2" i="11"/>
  <c r="L603" i="1"/>
  <c r="H653" i="1" s="1"/>
  <c r="L602" i="1"/>
  <c r="L601" i="1"/>
  <c r="F653" i="1"/>
  <c r="C40" i="10"/>
  <c r="F52" i="1"/>
  <c r="G52" i="1"/>
  <c r="C35" i="10" s="1"/>
  <c r="H52" i="1"/>
  <c r="I52" i="1"/>
  <c r="F71" i="1"/>
  <c r="C49" i="2" s="1"/>
  <c r="C54" i="2" s="1"/>
  <c r="C55" i="2" s="1"/>
  <c r="F86" i="1"/>
  <c r="F103" i="1"/>
  <c r="G103" i="1"/>
  <c r="G104" i="1"/>
  <c r="H71" i="1"/>
  <c r="H86" i="1"/>
  <c r="H103" i="1"/>
  <c r="H104" i="1"/>
  <c r="I103" i="1"/>
  <c r="I104" i="1"/>
  <c r="J103" i="1"/>
  <c r="J104" i="1" s="1"/>
  <c r="J185" i="1" s="1"/>
  <c r="F113" i="1"/>
  <c r="F128" i="1"/>
  <c r="F132" i="1" s="1"/>
  <c r="G113" i="1"/>
  <c r="G132" i="1" s="1"/>
  <c r="G128" i="1"/>
  <c r="H113" i="1"/>
  <c r="H132" i="1" s="1"/>
  <c r="H185" i="1" s="1"/>
  <c r="G619" i="1" s="1"/>
  <c r="J619" i="1" s="1"/>
  <c r="H128" i="1"/>
  <c r="I113" i="1"/>
  <c r="I128" i="1"/>
  <c r="I132" i="1" s="1"/>
  <c r="J113" i="1"/>
  <c r="J132" i="1" s="1"/>
  <c r="J128" i="1"/>
  <c r="F139" i="1"/>
  <c r="F161" i="1" s="1"/>
  <c r="C39" i="10" s="1"/>
  <c r="F154" i="1"/>
  <c r="G139" i="1"/>
  <c r="G154" i="1"/>
  <c r="G161" i="1" s="1"/>
  <c r="H139" i="1"/>
  <c r="H154" i="1"/>
  <c r="H161" i="1"/>
  <c r="I139" i="1"/>
  <c r="I154" i="1"/>
  <c r="I161" i="1"/>
  <c r="C16" i="10"/>
  <c r="L242" i="1"/>
  <c r="C23" i="10" s="1"/>
  <c r="L324" i="1"/>
  <c r="L246" i="1"/>
  <c r="C24" i="10"/>
  <c r="L260" i="1"/>
  <c r="L261" i="1"/>
  <c r="C26" i="10" s="1"/>
  <c r="L341" i="1"/>
  <c r="L342" i="1"/>
  <c r="I655" i="1"/>
  <c r="I660" i="1"/>
  <c r="F652" i="1"/>
  <c r="G652" i="1"/>
  <c r="H652" i="1"/>
  <c r="I659" i="1"/>
  <c r="C42" i="10"/>
  <c r="C32" i="10"/>
  <c r="L366" i="1"/>
  <c r="L367" i="1"/>
  <c r="L368" i="1"/>
  <c r="L369" i="1"/>
  <c r="C29" i="10" s="1"/>
  <c r="L370" i="1"/>
  <c r="L371" i="1"/>
  <c r="L372" i="1"/>
  <c r="B2" i="10"/>
  <c r="L336" i="1"/>
  <c r="L337" i="1"/>
  <c r="E127" i="2" s="1"/>
  <c r="L338" i="1"/>
  <c r="L339" i="1"/>
  <c r="K343" i="1"/>
  <c r="K330" i="1"/>
  <c r="K344" i="1" s="1"/>
  <c r="L511" i="1"/>
  <c r="F539" i="1"/>
  <c r="L512" i="1"/>
  <c r="F540" i="1" s="1"/>
  <c r="L513" i="1"/>
  <c r="F541" i="1"/>
  <c r="L516" i="1"/>
  <c r="G539" i="1" s="1"/>
  <c r="L517" i="1"/>
  <c r="G540" i="1" s="1"/>
  <c r="L518" i="1"/>
  <c r="G541" i="1" s="1"/>
  <c r="K541" i="1" s="1"/>
  <c r="L521" i="1"/>
  <c r="H539" i="1"/>
  <c r="L522" i="1"/>
  <c r="H540" i="1" s="1"/>
  <c r="H542" i="1" s="1"/>
  <c r="L523" i="1"/>
  <c r="H541" i="1"/>
  <c r="L526" i="1"/>
  <c r="I539" i="1"/>
  <c r="L527" i="1"/>
  <c r="I540" i="1"/>
  <c r="I542" i="1" s="1"/>
  <c r="L528" i="1"/>
  <c r="I541" i="1"/>
  <c r="L531" i="1"/>
  <c r="J539" i="1"/>
  <c r="L532" i="1"/>
  <c r="J540" i="1" s="1"/>
  <c r="L533" i="1"/>
  <c r="J541" i="1" s="1"/>
  <c r="K262" i="1"/>
  <c r="J262" i="1"/>
  <c r="J263" i="1" s="1"/>
  <c r="I262" i="1"/>
  <c r="H262" i="1"/>
  <c r="G262" i="1"/>
  <c r="F262" i="1"/>
  <c r="C124" i="2"/>
  <c r="C123" i="2"/>
  <c r="A1" i="2"/>
  <c r="A2" i="2"/>
  <c r="C9" i="2"/>
  <c r="D9" i="2"/>
  <c r="E9" i="2"/>
  <c r="F9" i="2"/>
  <c r="F19" i="2" s="1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D19" i="2" s="1"/>
  <c r="E12" i="2"/>
  <c r="F12" i="2"/>
  <c r="I433" i="1"/>
  <c r="J12" i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22" i="2"/>
  <c r="D22" i="2"/>
  <c r="E22" i="2"/>
  <c r="F22" i="2"/>
  <c r="F32" i="2" s="1"/>
  <c r="I440" i="1"/>
  <c r="J23" i="1" s="1"/>
  <c r="C23" i="2"/>
  <c r="D23" i="2"/>
  <c r="E23" i="2"/>
  <c r="E32" i="2" s="1"/>
  <c r="F23" i="2"/>
  <c r="I441" i="1"/>
  <c r="J24" i="1"/>
  <c r="G23" i="2"/>
  <c r="C24" i="2"/>
  <c r="D24" i="2"/>
  <c r="E24" i="2"/>
  <c r="F24" i="2"/>
  <c r="I442" i="1"/>
  <c r="J25" i="1"/>
  <c r="G24" i="2" s="1"/>
  <c r="C25" i="2"/>
  <c r="C32" i="2" s="1"/>
  <c r="C43" i="2" s="1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E31" i="2"/>
  <c r="F31" i="2"/>
  <c r="I443" i="1"/>
  <c r="J32" i="1" s="1"/>
  <c r="G31" i="2" s="1"/>
  <c r="C34" i="2"/>
  <c r="D34" i="2"/>
  <c r="D42" i="2" s="1"/>
  <c r="E34" i="2"/>
  <c r="F34" i="2"/>
  <c r="C35" i="2"/>
  <c r="D35" i="2"/>
  <c r="E35" i="2"/>
  <c r="F35" i="2"/>
  <c r="C36" i="2"/>
  <c r="D36" i="2"/>
  <c r="E36" i="2"/>
  <c r="E42" i="2" s="1"/>
  <c r="F36" i="2"/>
  <c r="I446" i="1"/>
  <c r="J37" i="1"/>
  <c r="G36" i="2"/>
  <c r="C37" i="2"/>
  <c r="D37" i="2"/>
  <c r="E37" i="2"/>
  <c r="F37" i="2"/>
  <c r="I447" i="1"/>
  <c r="J38" i="1" s="1"/>
  <c r="C38" i="2"/>
  <c r="D38" i="2"/>
  <c r="E38" i="2"/>
  <c r="F38" i="2"/>
  <c r="I448" i="1"/>
  <c r="J40" i="1"/>
  <c r="G39" i="2" s="1"/>
  <c r="C40" i="2"/>
  <c r="D40" i="2"/>
  <c r="D41" i="2"/>
  <c r="E40" i="2"/>
  <c r="F40" i="2"/>
  <c r="I449" i="1"/>
  <c r="J41" i="1"/>
  <c r="C41" i="2"/>
  <c r="E41" i="2"/>
  <c r="F41" i="2"/>
  <c r="F42" i="2"/>
  <c r="C48" i="2"/>
  <c r="D48" i="2"/>
  <c r="E48" i="2"/>
  <c r="E55" i="2" s="1"/>
  <c r="F48" i="2"/>
  <c r="E49" i="2"/>
  <c r="C50" i="2"/>
  <c r="E50" i="2"/>
  <c r="C51" i="2"/>
  <c r="D51" i="2"/>
  <c r="D54" i="2" s="1"/>
  <c r="D55" i="2" s="1"/>
  <c r="D96" i="2" s="1"/>
  <c r="E51" i="2"/>
  <c r="E54" i="2" s="1"/>
  <c r="F51" i="2"/>
  <c r="D52" i="2"/>
  <c r="C53" i="2"/>
  <c r="D53" i="2"/>
  <c r="E53" i="2"/>
  <c r="F53" i="2"/>
  <c r="F54" i="2"/>
  <c r="F55" i="2" s="1"/>
  <c r="F64" i="2"/>
  <c r="F70" i="2" s="1"/>
  <c r="F73" i="2" s="1"/>
  <c r="F65" i="2"/>
  <c r="F68" i="2"/>
  <c r="F69" i="2"/>
  <c r="F61" i="2"/>
  <c r="F62" i="2"/>
  <c r="F77" i="2"/>
  <c r="F79" i="2"/>
  <c r="F80" i="2"/>
  <c r="F83" i="2" s="1"/>
  <c r="F81" i="2"/>
  <c r="F85" i="2"/>
  <c r="F86" i="2"/>
  <c r="F88" i="2"/>
  <c r="F95" i="2" s="1"/>
  <c r="F89" i="2"/>
  <c r="F91" i="2"/>
  <c r="F92" i="2"/>
  <c r="F93" i="2"/>
  <c r="F94" i="2"/>
  <c r="C58" i="2"/>
  <c r="C59" i="2"/>
  <c r="C61" i="2"/>
  <c r="D61" i="2"/>
  <c r="E61" i="2"/>
  <c r="E62" i="2" s="1"/>
  <c r="E71" i="2"/>
  <c r="E72" i="2"/>
  <c r="E68" i="2"/>
  <c r="E70" i="2" s="1"/>
  <c r="E73" i="2" s="1"/>
  <c r="E69" i="2"/>
  <c r="D62" i="2"/>
  <c r="C64" i="2"/>
  <c r="C65" i="2"/>
  <c r="C66" i="2"/>
  <c r="C67" i="2"/>
  <c r="C70" i="2" s="1"/>
  <c r="C73" i="2" s="1"/>
  <c r="C68" i="2"/>
  <c r="C69" i="2"/>
  <c r="D69" i="2"/>
  <c r="D70" i="2"/>
  <c r="C71" i="2"/>
  <c r="D71" i="2"/>
  <c r="C72" i="2"/>
  <c r="C77" i="2"/>
  <c r="D77" i="2"/>
  <c r="E77" i="2"/>
  <c r="C79" i="2"/>
  <c r="E79" i="2"/>
  <c r="E83" i="2" s="1"/>
  <c r="C80" i="2"/>
  <c r="D80" i="2"/>
  <c r="E80" i="2"/>
  <c r="C81" i="2"/>
  <c r="D81" i="2"/>
  <c r="E81" i="2"/>
  <c r="C82" i="2"/>
  <c r="C85" i="2"/>
  <c r="C86" i="2"/>
  <c r="D88" i="2"/>
  <c r="E88" i="2"/>
  <c r="C89" i="2"/>
  <c r="C95" i="2" s="1"/>
  <c r="D89" i="2"/>
  <c r="D90" i="2"/>
  <c r="D91" i="2"/>
  <c r="D92" i="2"/>
  <c r="D93" i="2"/>
  <c r="D94" i="2"/>
  <c r="D95" i="2"/>
  <c r="E89" i="2"/>
  <c r="E95" i="2" s="1"/>
  <c r="E90" i="2"/>
  <c r="E91" i="2"/>
  <c r="E92" i="2"/>
  <c r="E93" i="2"/>
  <c r="E94" i="2"/>
  <c r="C90" i="2"/>
  <c r="C91" i="2"/>
  <c r="C92" i="2"/>
  <c r="C93" i="2"/>
  <c r="C94" i="2"/>
  <c r="C103" i="2"/>
  <c r="E103" i="2"/>
  <c r="E104" i="2"/>
  <c r="E105" i="2"/>
  <c r="E106" i="2"/>
  <c r="C106" i="2"/>
  <c r="D107" i="2"/>
  <c r="F107" i="2"/>
  <c r="G107" i="2"/>
  <c r="E110" i="2"/>
  <c r="E111" i="2"/>
  <c r="E113" i="2"/>
  <c r="E114" i="2"/>
  <c r="E115" i="2"/>
  <c r="C116" i="2"/>
  <c r="E116" i="2"/>
  <c r="E117" i="2"/>
  <c r="D126" i="2"/>
  <c r="D136" i="2"/>
  <c r="F120" i="2"/>
  <c r="G120" i="2"/>
  <c r="C122" i="2"/>
  <c r="E122" i="2"/>
  <c r="F126" i="2"/>
  <c r="E126" i="2"/>
  <c r="E129" i="2"/>
  <c r="E134" i="2"/>
  <c r="E135" i="2"/>
  <c r="K411" i="1"/>
  <c r="K426" i="1" s="1"/>
  <c r="G126" i="2" s="1"/>
  <c r="G136" i="2" s="1"/>
  <c r="G137" i="2" s="1"/>
  <c r="K419" i="1"/>
  <c r="K425" i="1"/>
  <c r="L255" i="1"/>
  <c r="C127" i="2"/>
  <c r="C134" i="2"/>
  <c r="C135" i="2"/>
  <c r="C111" i="2"/>
  <c r="C117" i="2"/>
  <c r="L256" i="1"/>
  <c r="C128" i="2" s="1"/>
  <c r="L257" i="1"/>
  <c r="C129" i="2" s="1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B151" i="2"/>
  <c r="C151" i="2"/>
  <c r="D151" i="2"/>
  <c r="G151" i="2" s="1"/>
  <c r="E151" i="2"/>
  <c r="F151" i="2"/>
  <c r="B152" i="2"/>
  <c r="C152" i="2"/>
  <c r="D152" i="2"/>
  <c r="E152" i="2"/>
  <c r="F152" i="2"/>
  <c r="F490" i="1"/>
  <c r="K490" i="1" s="1"/>
  <c r="G490" i="1"/>
  <c r="C153" i="2" s="1"/>
  <c r="H490" i="1"/>
  <c r="D153" i="2" s="1"/>
  <c r="I490" i="1"/>
  <c r="E153" i="2" s="1"/>
  <c r="J490" i="1"/>
  <c r="F153" i="2" s="1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C156" i="2" s="1"/>
  <c r="H493" i="1"/>
  <c r="D156" i="2" s="1"/>
  <c r="I493" i="1"/>
  <c r="E156" i="2" s="1"/>
  <c r="J493" i="1"/>
  <c r="F156" i="2" s="1"/>
  <c r="F19" i="1"/>
  <c r="G607" i="1"/>
  <c r="G19" i="1"/>
  <c r="H19" i="1"/>
  <c r="G609" i="1" s="1"/>
  <c r="I19" i="1"/>
  <c r="F33" i="1"/>
  <c r="H33" i="1"/>
  <c r="I33" i="1"/>
  <c r="I44" i="1" s="1"/>
  <c r="H610" i="1" s="1"/>
  <c r="J610" i="1" s="1"/>
  <c r="F43" i="1"/>
  <c r="G43" i="1"/>
  <c r="H43" i="1"/>
  <c r="I43" i="1"/>
  <c r="F169" i="1"/>
  <c r="F184" i="1"/>
  <c r="I169" i="1"/>
  <c r="I184" i="1" s="1"/>
  <c r="F175" i="1"/>
  <c r="G175" i="1"/>
  <c r="G184" i="1" s="1"/>
  <c r="H175" i="1"/>
  <c r="H184" i="1"/>
  <c r="I175" i="1"/>
  <c r="J175" i="1"/>
  <c r="J184" i="1" s="1"/>
  <c r="F180" i="1"/>
  <c r="G180" i="1"/>
  <c r="H180" i="1"/>
  <c r="I180" i="1"/>
  <c r="F203" i="1"/>
  <c r="G203" i="1"/>
  <c r="G249" i="1" s="1"/>
  <c r="G263" i="1" s="1"/>
  <c r="I203" i="1"/>
  <c r="J203" i="1"/>
  <c r="K203" i="1"/>
  <c r="F221" i="1"/>
  <c r="G221" i="1"/>
  <c r="I221" i="1"/>
  <c r="J221" i="1"/>
  <c r="K221" i="1"/>
  <c r="F239" i="1"/>
  <c r="G239" i="1"/>
  <c r="I239" i="1"/>
  <c r="J239" i="1"/>
  <c r="K239" i="1"/>
  <c r="F248" i="1"/>
  <c r="G248" i="1"/>
  <c r="L248" i="1" s="1"/>
  <c r="H248" i="1"/>
  <c r="I248" i="1"/>
  <c r="J248" i="1"/>
  <c r="K248" i="1"/>
  <c r="F282" i="1"/>
  <c r="F330" i="1" s="1"/>
  <c r="F344" i="1" s="1"/>
  <c r="G282" i="1"/>
  <c r="H282" i="1"/>
  <c r="I282" i="1"/>
  <c r="F301" i="1"/>
  <c r="G301" i="1"/>
  <c r="H301" i="1"/>
  <c r="I301" i="1"/>
  <c r="F320" i="1"/>
  <c r="G320" i="1"/>
  <c r="I320" i="1"/>
  <c r="F329" i="1"/>
  <c r="G329" i="1"/>
  <c r="H329" i="1"/>
  <c r="L329" i="1" s="1"/>
  <c r="I329" i="1"/>
  <c r="J329" i="1"/>
  <c r="J330" i="1" s="1"/>
  <c r="J344" i="1" s="1"/>
  <c r="K329" i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H393" i="1"/>
  <c r="H400" i="1" s="1"/>
  <c r="H634" i="1" s="1"/>
  <c r="I393" i="1"/>
  <c r="F399" i="1"/>
  <c r="G399" i="1"/>
  <c r="H399" i="1"/>
  <c r="I399" i="1"/>
  <c r="I400" i="1" s="1"/>
  <c r="F400" i="1"/>
  <c r="H633" i="1" s="1"/>
  <c r="J633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G426" i="1" s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H426" i="1" s="1"/>
  <c r="I419" i="1"/>
  <c r="J419" i="1"/>
  <c r="L421" i="1"/>
  <c r="L422" i="1"/>
  <c r="L425" i="1" s="1"/>
  <c r="L423" i="1"/>
  <c r="L424" i="1"/>
  <c r="F425" i="1"/>
  <c r="G425" i="1"/>
  <c r="H425" i="1"/>
  <c r="I425" i="1"/>
  <c r="I426" i="1" s="1"/>
  <c r="J425" i="1"/>
  <c r="J426" i="1"/>
  <c r="F438" i="1"/>
  <c r="G438" i="1"/>
  <c r="H438" i="1"/>
  <c r="G631" i="1" s="1"/>
  <c r="F444" i="1"/>
  <c r="G444" i="1"/>
  <c r="H444" i="1"/>
  <c r="H451" i="1" s="1"/>
  <c r="H631" i="1" s="1"/>
  <c r="F450" i="1"/>
  <c r="G450" i="1"/>
  <c r="H450" i="1"/>
  <c r="I450" i="1"/>
  <c r="F451" i="1"/>
  <c r="G451" i="1"/>
  <c r="H630" i="1" s="1"/>
  <c r="F460" i="1"/>
  <c r="G460" i="1"/>
  <c r="H460" i="1"/>
  <c r="H466" i="1" s="1"/>
  <c r="H614" i="1" s="1"/>
  <c r="J614" i="1" s="1"/>
  <c r="I460" i="1"/>
  <c r="I466" i="1" s="1"/>
  <c r="H615" i="1" s="1"/>
  <c r="J615" i="1" s="1"/>
  <c r="J460" i="1"/>
  <c r="F464" i="1"/>
  <c r="F466" i="1" s="1"/>
  <c r="H612" i="1" s="1"/>
  <c r="J612" i="1" s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19" i="1"/>
  <c r="F524" i="1"/>
  <c r="G514" i="1"/>
  <c r="G535" i="1" s="1"/>
  <c r="H514" i="1"/>
  <c r="I514" i="1"/>
  <c r="I535" i="1" s="1"/>
  <c r="J514" i="1"/>
  <c r="J535" i="1" s="1"/>
  <c r="J519" i="1"/>
  <c r="K514" i="1"/>
  <c r="L514" i="1"/>
  <c r="G519" i="1"/>
  <c r="H519" i="1"/>
  <c r="I519" i="1"/>
  <c r="K519" i="1"/>
  <c r="G524" i="1"/>
  <c r="H524" i="1"/>
  <c r="I524" i="1"/>
  <c r="J524" i="1"/>
  <c r="K524" i="1"/>
  <c r="L524" i="1"/>
  <c r="F529" i="1"/>
  <c r="F535" i="1" s="1"/>
  <c r="G529" i="1"/>
  <c r="H529" i="1"/>
  <c r="I529" i="1"/>
  <c r="J529" i="1"/>
  <c r="K529" i="1"/>
  <c r="K535" i="1" s="1"/>
  <c r="L529" i="1"/>
  <c r="F534" i="1"/>
  <c r="G534" i="1"/>
  <c r="H534" i="1"/>
  <c r="I534" i="1"/>
  <c r="J534" i="1"/>
  <c r="K534" i="1"/>
  <c r="L534" i="1"/>
  <c r="L547" i="1"/>
  <c r="L550" i="1" s="1"/>
  <c r="L548" i="1"/>
  <c r="L549" i="1"/>
  <c r="F550" i="1"/>
  <c r="G550" i="1"/>
  <c r="H550" i="1"/>
  <c r="H561" i="1" s="1"/>
  <c r="I550" i="1"/>
  <c r="I561" i="1" s="1"/>
  <c r="J550" i="1"/>
  <c r="K550" i="1"/>
  <c r="K561" i="1"/>
  <c r="L552" i="1"/>
  <c r="L555" i="1"/>
  <c r="L553" i="1"/>
  <c r="L554" i="1"/>
  <c r="F555" i="1"/>
  <c r="G555" i="1"/>
  <c r="G561" i="1" s="1"/>
  <c r="H555" i="1"/>
  <c r="I555" i="1"/>
  <c r="J555" i="1"/>
  <c r="K555" i="1"/>
  <c r="L557" i="1"/>
  <c r="L558" i="1"/>
  <c r="L560" i="1" s="1"/>
  <c r="L559" i="1"/>
  <c r="F560" i="1"/>
  <c r="F561" i="1" s="1"/>
  <c r="G560" i="1"/>
  <c r="H560" i="1"/>
  <c r="I560" i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K588" i="1" s="1"/>
  <c r="G637" i="1" s="1"/>
  <c r="J637" i="1" s="1"/>
  <c r="H588" i="1"/>
  <c r="H639" i="1" s="1"/>
  <c r="I588" i="1"/>
  <c r="H640" i="1"/>
  <c r="J588" i="1"/>
  <c r="H641" i="1" s="1"/>
  <c r="K592" i="1"/>
  <c r="K593" i="1"/>
  <c r="K594" i="1"/>
  <c r="K595" i="1" s="1"/>
  <c r="G638" i="1" s="1"/>
  <c r="J638" i="1" s="1"/>
  <c r="H595" i="1"/>
  <c r="I595" i="1"/>
  <c r="J595" i="1"/>
  <c r="F604" i="1"/>
  <c r="G604" i="1"/>
  <c r="H604" i="1"/>
  <c r="I604" i="1"/>
  <c r="J604" i="1"/>
  <c r="K604" i="1"/>
  <c r="L604" i="1"/>
  <c r="G608" i="1"/>
  <c r="G610" i="1"/>
  <c r="G612" i="1"/>
  <c r="G613" i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H629" i="1"/>
  <c r="J629" i="1"/>
  <c r="G630" i="1"/>
  <c r="J630" i="1" s="1"/>
  <c r="G633" i="1"/>
  <c r="G634" i="1"/>
  <c r="G635" i="1"/>
  <c r="J635" i="1" s="1"/>
  <c r="H637" i="1"/>
  <c r="G639" i="1"/>
  <c r="J639" i="1" s="1"/>
  <c r="G640" i="1"/>
  <c r="J640" i="1" s="1"/>
  <c r="G641" i="1"/>
  <c r="J641" i="1" s="1"/>
  <c r="G642" i="1"/>
  <c r="J642" i="1" s="1"/>
  <c r="H642" i="1"/>
  <c r="G643" i="1"/>
  <c r="H643" i="1"/>
  <c r="J643" i="1"/>
  <c r="G644" i="1"/>
  <c r="H644" i="1"/>
  <c r="J644" i="1" s="1"/>
  <c r="G645" i="1"/>
  <c r="H645" i="1"/>
  <c r="J645" i="1"/>
  <c r="D83" i="2"/>
  <c r="G152" i="2"/>
  <c r="G150" i="2"/>
  <c r="G148" i="2"/>
  <c r="C83" i="2"/>
  <c r="C62" i="2"/>
  <c r="E19" i="2"/>
  <c r="D73" i="2"/>
  <c r="C42" i="2"/>
  <c r="D19" i="13"/>
  <c r="C19" i="13" s="1"/>
  <c r="D17" i="13"/>
  <c r="C17" i="13"/>
  <c r="I652" i="1"/>
  <c r="D7" i="13"/>
  <c r="C7" i="13" s="1"/>
  <c r="K249" i="1"/>
  <c r="K263" i="1"/>
  <c r="J249" i="1"/>
  <c r="H638" i="1" s="1"/>
  <c r="I249" i="1"/>
  <c r="I263" i="1" s="1"/>
  <c r="F249" i="1"/>
  <c r="F263" i="1"/>
  <c r="L354" i="1"/>
  <c r="G625" i="1" s="1"/>
  <c r="J625" i="1" s="1"/>
  <c r="I330" i="1"/>
  <c r="I344" i="1" s="1"/>
  <c r="G330" i="1"/>
  <c r="G344" i="1"/>
  <c r="H239" i="1"/>
  <c r="H44" i="1"/>
  <c r="H609" i="1" s="1"/>
  <c r="J466" i="1"/>
  <c r="H616" i="1"/>
  <c r="G466" i="1"/>
  <c r="H613" i="1"/>
  <c r="J613" i="1" s="1"/>
  <c r="G40" i="2"/>
  <c r="E16" i="13"/>
  <c r="C16" i="13" s="1"/>
  <c r="F44" i="1"/>
  <c r="H607" i="1"/>
  <c r="J607" i="1" s="1"/>
  <c r="C19" i="2"/>
  <c r="H535" i="1"/>
  <c r="G621" i="1" l="1"/>
  <c r="J621" i="1" s="1"/>
  <c r="G636" i="1"/>
  <c r="E136" i="2"/>
  <c r="I185" i="1"/>
  <c r="G620" i="1" s="1"/>
  <c r="J620" i="1" s="1"/>
  <c r="J43" i="1"/>
  <c r="G37" i="2"/>
  <c r="G42" i="2" s="1"/>
  <c r="C130" i="2"/>
  <c r="C133" i="2" s="1"/>
  <c r="L400" i="1"/>
  <c r="C25" i="13"/>
  <c r="H33" i="13"/>
  <c r="L320" i="1"/>
  <c r="H650" i="1" s="1"/>
  <c r="H654" i="1" s="1"/>
  <c r="G156" i="2"/>
  <c r="K539" i="1"/>
  <c r="G542" i="1"/>
  <c r="J631" i="1"/>
  <c r="C136" i="2"/>
  <c r="E120" i="2"/>
  <c r="F96" i="2"/>
  <c r="C11" i="10"/>
  <c r="C102" i="2"/>
  <c r="J624" i="1"/>
  <c r="I653" i="1"/>
  <c r="E96" i="2"/>
  <c r="F542" i="1"/>
  <c r="K540" i="1"/>
  <c r="J634" i="1"/>
  <c r="D137" i="2"/>
  <c r="J19" i="1"/>
  <c r="G611" i="1" s="1"/>
  <c r="G9" i="2"/>
  <c r="G19" i="2" s="1"/>
  <c r="G185" i="1"/>
  <c r="G618" i="1" s="1"/>
  <c r="J618" i="1" s="1"/>
  <c r="G96" i="2"/>
  <c r="L221" i="1"/>
  <c r="G650" i="1" s="1"/>
  <c r="G654" i="1" s="1"/>
  <c r="J609" i="1"/>
  <c r="D43" i="2"/>
  <c r="C113" i="2"/>
  <c r="C18" i="10"/>
  <c r="D12" i="13"/>
  <c r="C12" i="13" s="1"/>
  <c r="F43" i="2"/>
  <c r="C38" i="10"/>
  <c r="L561" i="1"/>
  <c r="E43" i="2"/>
  <c r="J33" i="1"/>
  <c r="G22" i="2"/>
  <c r="G32" i="2" s="1"/>
  <c r="J542" i="1"/>
  <c r="C96" i="2"/>
  <c r="L282" i="1"/>
  <c r="L262" i="1"/>
  <c r="C110" i="2"/>
  <c r="L192" i="1"/>
  <c r="D6" i="13"/>
  <c r="C6" i="13" s="1"/>
  <c r="C27" i="10"/>
  <c r="D29" i="13"/>
  <c r="C29" i="13" s="1"/>
  <c r="H320" i="1"/>
  <c r="H330" i="1" s="1"/>
  <c r="H344" i="1" s="1"/>
  <c r="G33" i="1"/>
  <c r="G44" i="1" s="1"/>
  <c r="H608" i="1" s="1"/>
  <c r="J608" i="1" s="1"/>
  <c r="F122" i="2"/>
  <c r="F136" i="2" s="1"/>
  <c r="F137" i="2" s="1"/>
  <c r="F104" i="1"/>
  <c r="F185" i="1" s="1"/>
  <c r="G617" i="1" s="1"/>
  <c r="J617" i="1" s="1"/>
  <c r="L217" i="1"/>
  <c r="E13" i="13"/>
  <c r="C13" i="13" s="1"/>
  <c r="H651" i="1"/>
  <c r="I438" i="1"/>
  <c r="G632" i="1" s="1"/>
  <c r="B153" i="2"/>
  <c r="G153" i="2" s="1"/>
  <c r="E101" i="2"/>
  <c r="E107" i="2" s="1"/>
  <c r="E137" i="2" s="1"/>
  <c r="E124" i="2"/>
  <c r="C19" i="10"/>
  <c r="K493" i="1"/>
  <c r="L343" i="1"/>
  <c r="L189" i="1"/>
  <c r="D15" i="13"/>
  <c r="C15" i="13" s="1"/>
  <c r="L374" i="1"/>
  <c r="G626" i="1" s="1"/>
  <c r="J626" i="1" s="1"/>
  <c r="C105" i="2"/>
  <c r="L519" i="1"/>
  <c r="L535" i="1" s="1"/>
  <c r="L196" i="1"/>
  <c r="G651" i="1"/>
  <c r="I651" i="1" s="1"/>
  <c r="I444" i="1"/>
  <c r="I451" i="1" s="1"/>
  <c r="H632" i="1" s="1"/>
  <c r="D119" i="2"/>
  <c r="D120" i="2" s="1"/>
  <c r="H662" i="1" l="1"/>
  <c r="C6" i="10" s="1"/>
  <c r="H657" i="1"/>
  <c r="L203" i="1"/>
  <c r="C10" i="10"/>
  <c r="D5" i="13"/>
  <c r="C101" i="2"/>
  <c r="C107" i="2" s="1"/>
  <c r="C137" i="2" s="1"/>
  <c r="K542" i="1"/>
  <c r="G43" i="2"/>
  <c r="G616" i="1"/>
  <c r="J44" i="1"/>
  <c r="H611" i="1" s="1"/>
  <c r="C104" i="2"/>
  <c r="C13" i="10"/>
  <c r="C112" i="2"/>
  <c r="C17" i="10"/>
  <c r="E8" i="13"/>
  <c r="J632" i="1"/>
  <c r="C120" i="2"/>
  <c r="G662" i="1"/>
  <c r="C5" i="10" s="1"/>
  <c r="G657" i="1"/>
  <c r="L330" i="1"/>
  <c r="L344" i="1" s="1"/>
  <c r="G623" i="1" s="1"/>
  <c r="J623" i="1" s="1"/>
  <c r="D31" i="13"/>
  <c r="C31" i="13" s="1"/>
  <c r="J611" i="1"/>
  <c r="G627" i="1"/>
  <c r="J627" i="1" s="1"/>
  <c r="H636" i="1"/>
  <c r="J636" i="1"/>
  <c r="D14" i="13"/>
  <c r="C14" i="13" s="1"/>
  <c r="C115" i="2"/>
  <c r="C20" i="10"/>
  <c r="C36" i="10"/>
  <c r="D36" i="10" l="1"/>
  <c r="C41" i="10"/>
  <c r="E33" i="13"/>
  <c r="D35" i="13" s="1"/>
  <c r="C8" i="13"/>
  <c r="J616" i="1"/>
  <c r="H646" i="1"/>
  <c r="C5" i="13"/>
  <c r="D33" i="13"/>
  <c r="D36" i="13" s="1"/>
  <c r="C28" i="10"/>
  <c r="D10" i="10"/>
  <c r="D13" i="10"/>
  <c r="F650" i="1"/>
  <c r="L249" i="1"/>
  <c r="L263" i="1" s="1"/>
  <c r="G622" i="1" s="1"/>
  <c r="J622" i="1" s="1"/>
  <c r="D24" i="10" l="1"/>
  <c r="C30" i="10"/>
  <c r="D16" i="10"/>
  <c r="D22" i="10"/>
  <c r="D25" i="10"/>
  <c r="D26" i="10"/>
  <c r="D21" i="10"/>
  <c r="D15" i="10"/>
  <c r="D12" i="10"/>
  <c r="D23" i="10"/>
  <c r="D19" i="10"/>
  <c r="D27" i="10"/>
  <c r="D18" i="10"/>
  <c r="D11" i="10"/>
  <c r="D17" i="10"/>
  <c r="D28" i="10" s="1"/>
  <c r="D20" i="10"/>
  <c r="F654" i="1"/>
  <c r="I650" i="1"/>
  <c r="I654" i="1" s="1"/>
  <c r="D37" i="10"/>
  <c r="D40" i="10"/>
  <c r="D39" i="10"/>
  <c r="D35" i="10"/>
  <c r="D38" i="10"/>
  <c r="D41" i="10" l="1"/>
  <c r="I662" i="1"/>
  <c r="C7" i="10" s="1"/>
  <c r="I657" i="1"/>
  <c r="F657" i="1"/>
  <c r="F662" i="1"/>
  <c r="C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167BD6A-41AE-4C54-8BF7-C6E1D783EDF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BDAA1E0-9F69-464F-B764-13063766C403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957BFAD-68FF-4520-A8A1-14EEDA8D774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A75D40B-DED5-4ABA-929C-BAB1998551E6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F7128AE-BA6E-4B54-9479-F998FE0FBBB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5DB6AAD-C148-4F60-ADAE-689BA18EBBEE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E5D40409-56BE-473A-AB97-26F91DB4D86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0EB3D4A-7459-4962-A264-96CE0BFA88FA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9C66D364-6955-4D5B-A19A-5ED9EB0C9DE8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8154C0AA-046D-4444-99F8-447DC12FCF55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A5ED77FF-B63B-4DBD-AAAD-D83DE86351AC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AF690CF-FADB-43DA-8CE6-EEAB03E7552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<sst xmlns="http://schemas.openxmlformats.org/spreadsheetml/2006/main" count="3860" uniqueCount="897">
  <si>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</si>
  <si>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</si>
  <si>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</si>
  <si>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</si>
  <si>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</si>
  <si>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</si>
  <si>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</si>
  <si>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</si>
  <si>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</si>
  <si>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</si>
  <si>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</si>
  <si>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</si>
  <si>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</si>
  <si>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</si>
  <si>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</si>
  <si>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</si>
  <si>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</si>
  <si>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</si>
  <si>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</si>
  <si>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</si>
  <si>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</si>
  <si>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</si>
  <si>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</si>
  <si>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</si>
  <si>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</si>
  <si>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</si>
  <si>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</si>
  <si>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</si>
  <si>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</si>
  <si>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</si>
  <si>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</si>
  <si>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</si>
  <si>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</si>
  <si>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</si>
  <si>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</si>
  <si>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</si>
  <si>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</si>
  <si>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</si>
  <si>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</si>
  <si>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</si>
  <si>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</si>
  <si>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</si>
  <si>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</si>
  <si>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</si>
  <si>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</si>
  <si>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</si>
  <si>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</si>
  <si>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</si>
  <si>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</si>
  <si>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</si>
  <si>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</si>
  <si>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</si>
  <si>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</si>
  <si>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</si>
  <si>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</si>
  <si>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</si>
  <si>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</si>
  <si>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</si>
  <si>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</si>
  <si>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</si>
  <si>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</si>
  <si>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</si>
  <si>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</si>
  <si>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</si>
  <si>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</si>
  <si>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</si>
  <si>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</si>
  <si>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</si>
  <si>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</si>
  <si>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</si>
  <si>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</si>
  <si>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</si>
  <si>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</si>
  <si>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</si>
  <si>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</si>
  <si>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</si>
  <si>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</si>
  <si>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</si>
  <si>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</si>
  <si>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</si>
  <si>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</si>
  <si>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</si>
  <si>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</si>
  <si>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</si>
  <si>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</si>
  <si>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</si>
  <si>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</si>
  <si>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</si>
  <si>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</si>
  <si>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</si>
  <si>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</si>
  <si>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</si>
  <si>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</si>
  <si>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</si>
  <si>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</si>
  <si>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</si>
  <si>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</si>
  <si>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</si>
  <si>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</si>
  <si>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</si>
  <si>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</si>
  <si>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</si>
  <si>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</si>
  <si>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</si>
  <si>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</si>
  <si>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</si>
  <si>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</si>
  <si>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</si>
  <si>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</si>
  <si>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</si>
  <si>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</si>
  <si>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</si>
  <si>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</si>
  <si>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</si>
  <si>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</si>
  <si>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</si>
  <si>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</si>
  <si>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</si>
  <si>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</si>
  <si>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</si>
  <si>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</si>
  <si>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</si>
  <si>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</si>
  <si>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</si>
  <si>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</si>
  <si>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</si>
  <si>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</si>
  <si>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</si>
  <si>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</si>
  <si>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</si>
  <si>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</si>
  <si>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</si>
  <si>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</si>
  <si>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</si>
  <si>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</si>
  <si>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</si>
  <si>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</si>
  <si>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</si>
  <si>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</si>
  <si>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</si>
  <si>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</si>
  <si>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</si>
  <si>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</si>
  <si>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</si>
  <si>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</si>
  <si>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</si>
  <si>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</si>
  <si>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</si>
  <si>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</si>
  <si>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</si>
  <si>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</si>
  <si>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</si>
  <si>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</si>
  <si>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</si>
  <si>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</si>
  <si>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</si>
  <si>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</si>
  <si>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</si>
  <si>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</si>
  <si>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</si>
  <si>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</si>
  <si>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</si>
  <si>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</si>
  <si>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</si>
  <si>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</si>
  <si>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</si>
  <si>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</si>
  <si>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</si>
  <si>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</si>
  <si>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</si>
  <si>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</si>
  <si>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</si>
  <si>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</si>
  <si>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</si>
  <si>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</si>
  <si>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</si>
  <si>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</si>
  <si>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</si>
  <si>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</si>
  <si>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</si>
  <si>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</si>
  <si>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</si>
  <si>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</si>
  <si>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</si>
  <si>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</si>
  <si>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</si>
  <si>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</si>
  <si>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</si>
  <si>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</si>
  <si>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</si>
  <si>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</si>
  <si>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</si>
  <si>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</si>
  <si>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</si>
  <si>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</si>
  <si>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</si>
  <si>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</si>
  <si>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</si>
  <si>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</si>
  <si>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</si>
  <si>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</si>
  <si>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</si>
  <si>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</si>
  <si>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</si>
  <si>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</si>
  <si>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</si>
  <si>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</si>
  <si>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</si>
  <si>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</si>
  <si>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</si>
  <si>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</si>
  <si>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</si>
  <si>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</si>
  <si>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</si>
  <si>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</si>
  <si>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</si>
  <si>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</si>
  <si>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</si>
  <si>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</si>
  <si>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</si>
  <si>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</si>
  <si>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</si>
  <si>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</si>
  <si>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</si>
  <si>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</si>
  <si>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</si>
  <si>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</si>
  <si>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</si>
  <si>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</si>
  <si>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</si>
  <si>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</si>
  <si>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</si>
  <si>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</si>
  <si>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</si>
  <si>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</si>
  <si>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</si>
  <si>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</si>
  <si>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</si>
  <si>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</si>
  <si>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</si>
  <si>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</si>
  <si>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</si>
  <si>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</si>
  <si>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</si>
  <si>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</si>
  <si>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</si>
  <si>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</si>
  <si>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</si>
  <si>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</si>
  <si>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</si>
  <si>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</si>
  <si>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</si>
  <si>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</si>
  <si>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</si>
  <si>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</si>
  <si>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</si>
  <si>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</si>
  <si>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</si>
  <si>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</si>
  <si>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</si>
  <si>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</si>
  <si>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</si>
  <si>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</si>
  <si>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</si>
  <si>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</si>
  <si>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</si>
  <si>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</si>
  <si>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</si>
  <si>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</si>
  <si>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</si>
  <si>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</si>
  <si>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</si>
  <si>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</si>
  <si>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</si>
  <si>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</si>
  <si>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</si>
  <si>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</si>
  <si>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</si>
  <si>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</si>
  <si>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</si>
  <si>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</si>
  <si>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</si>
  <si>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</si>
  <si>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</si>
  <si>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</si>
  <si>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</si>
  <si>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</si>
  <si>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</si>
  <si>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</si>
  <si>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</si>
  <si>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</si>
  <si>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</si>
  <si>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</si>
  <si>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</si>
  <si>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</si>
  <si>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</si>
  <si>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</si>
  <si>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</si>
  <si>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</si>
  <si>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</si>
  <si>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</si>
  <si>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</si>
  <si>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</si>
  <si>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</si>
  <si>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</si>
  <si>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</si>
  <si>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</si>
  <si>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</si>
  <si>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</si>
  <si>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</si>
  <si>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</si>
  <si>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</si>
  <si>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</si>
  <si>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</si>
  <si>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</si>
  <si>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</si>
  <si>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</si>
  <si>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</si>
  <si>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</si>
  <si>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</si>
  <si>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</si>
  <si>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</si>
  <si>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</si>
  <si>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</si>
  <si>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</si>
  <si>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</si>
  <si>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</si>
  <si>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</si>
  <si>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</si>
  <si>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</si>
  <si>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</si>
  <si>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</si>
  <si>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</si>
  <si>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</si>
  <si>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</si>
  <si>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</si>
  <si>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</si>
  <si>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</si>
  <si>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</si>
  <si>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</si>
  <si>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</si>
  <si>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</si>
  <si>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</si>
  <si>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</si>
  <si>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</si>
  <si>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</si>
  <si>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</si>
  <si>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</si>
  <si>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</si>
  <si>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</si>
  <si>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</si>
  <si>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</si>
  <si>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</si>
  <si>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</si>
  <si>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</si>
  <si>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</si>
  <si>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</si>
  <si>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</si>
  <si>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</si>
  <si>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</si>
  <si>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</si>
  <si>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</si>
  <si>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</si>
  <si>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</si>
  <si>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</si>
  <si>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</si>
  <si>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</si>
  <si>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</si>
  <si>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</si>
  <si>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</si>
  <si>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</si>
  <si>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</si>
  <si>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</si>
  <si>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</si>
  <si>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</si>
  <si>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</si>
  <si>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</si>
  <si>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</si>
  <si>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</si>
  <si>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</si>
  <si>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</si>
  <si>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</si>
  <si>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</si>
  <si>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</si>
  <si>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</si>
  <si>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</si>
  <si>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</si>
  <si>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</si>
  <si>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</si>
  <si>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</si>
  <si>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</si>
  <si>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</si>
  <si>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</si>
  <si>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</si>
  <si>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</si>
  <si>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</si>
  <si>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</si>
  <si>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</si>
  <si>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</si>
  <si>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</si>
  <si>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</si>
  <si>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</si>
  <si>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</si>
  <si>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</si>
  <si>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</si>
  <si>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</si>
  <si>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</si>
  <si>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</si>
  <si>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</si>
  <si>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</si>
  <si>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</si>
  <si>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</si>
  <si>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</si>
  <si>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</si>
  <si>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</si>
  <si>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</si>
  <si>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</si>
  <si>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</si>
  <si>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</si>
  <si>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</si>
  <si>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</si>
  <si>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</si>
  <si>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</si>
  <si>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</si>
  <si>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</si>
  <si>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</si>
  <si>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</si>
  <si>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</si>
  <si>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</si>
  <si>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</si>
  <si>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</si>
  <si>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</si>
  <si>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</si>
  <si>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</si>
  <si>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</si>
  <si>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</si>
  <si>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</si>
  <si>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</si>
  <si>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</si>
  <si>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</si>
  <si>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</si>
  <si>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</si>
  <si>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</si>
  <si>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</si>
  <si>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</si>
  <si>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</si>
  <si>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</si>
  <si>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</si>
  <si>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</si>
  <si>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</si>
  <si>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</si>
  <si>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</si>
  <si>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</si>
  <si>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</si>
  <si>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</si>
  <si>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</si>
  <si>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</si>
  <si>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</si>
  <si>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</si>
  <si>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</si>
  <si>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</si>
  <si>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</si>
  <si>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</si>
  <si>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</si>
  <si>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</si>
  <si>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</si>
  <si>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</si>
  <si>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</si>
  <si>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</si>
  <si>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</si>
  <si>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</si>
  <si>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</si>
  <si>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</si>
  <si>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</si>
  <si>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</si>
  <si>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</si>
  <si>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</si>
  <si>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</si>
  <si>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</si>
  <si>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</si>
  <si>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</si>
  <si>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</si>
  <si>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</si>
  <si>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</si>
  <si>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</si>
  <si>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</si>
  <si>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</si>
  <si>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</si>
  <si>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</si>
  <si>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</si>
  <si>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</si>
  <si>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</si>
  <si>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</si>
  <si>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</si>
  <si>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</si>
  <si>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</si>
  <si>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</si>
  <si>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</si>
  <si>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</si>
  <si>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</si>
  <si>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</si>
  <si>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</si>
  <si>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</si>
  <si>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</si>
  <si>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</si>
  <si>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</si>
  <si>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</si>
  <si>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</si>
  <si>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</si>
  <si>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</si>
  <si>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</si>
  <si>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</si>
  <si>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</si>
  <si>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</si>
  <si>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</si>
  <si>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</si>
  <si>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</si>
  <si>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</si>
  <si>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</si>
  <si>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</si>
  <si>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</si>
  <si>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</si>
  <si>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</si>
  <si>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</si>
  <si>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</si>
  <si>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</si>
  <si>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</si>
  <si>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</si>
  <si>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</si>
  <si>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</si>
  <si>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</si>
  <si>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</si>
  <si>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</si>
  <si>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</si>
  <si>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</si>
  <si>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</si>
  <si>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</si>
  <si>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</si>
  <si>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</si>
  <si>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</si>
  <si>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</si>
  <si>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</si>
  <si>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</si>
  <si>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</si>
  <si>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</si>
  <si>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</si>
  <si>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</si>
  <si>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</si>
  <si>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</si>
  <si>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</si>
  <si>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</si>
  <si>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</si>
  <si>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</si>
  <si>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</si>
  <si>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</si>
  <si>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</si>
  <si>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</si>
  <si>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</si>
  <si>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</si>
  <si>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</si>
  <si>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</si>
  <si>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</si>
  <si>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</si>
  <si>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</si>
  <si>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</si>
  <si>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</si>
  <si>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</si>
  <si>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</si>
  <si>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</si>
  <si>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</si>
  <si>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</si>
  <si>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</si>
  <si>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</si>
  <si>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</si>
  <si>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</si>
  <si>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</si>
  <si>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</si>
  <si>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</si>
  <si>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</si>
  <si>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</si>
  <si>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</si>
  <si>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</si>
  <si>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</si>
  <si>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</si>
  <si>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</si>
  <si>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</si>
  <si>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</si>
  <si>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</si>
  <si>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</si>
  <si>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</si>
  <si>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</si>
  <si>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</si>
  <si>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</si>
  <si>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</si>
  <si>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</si>
  <si>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</si>
  <si>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</si>
  <si>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</si>
  <si>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</si>
  <si>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</si>
  <si>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</si>
  <si>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</si>
  <si>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</si>
  <si>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</si>
  <si>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</si>
  <si>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</si>
  <si>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</si>
  <si>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</si>
  <si>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</si>
  <si>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</si>
  <si>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</si>
  <si>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</si>
  <si>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</si>
  <si>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</si>
  <si>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</si>
  <si>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</si>
  <si>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</si>
  <si>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</si>
  <si>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</si>
  <si>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</si>
  <si>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</si>
  <si>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</si>
  <si>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</si>
  <si>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</si>
  <si>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</si>
  <si>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</si>
  <si>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</si>
  <si>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</si>
  <si>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</si>
  <si>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</si>
  <si>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</si>
  <si>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</si>
  <si>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</si>
  <si>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</si>
  <si>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</si>
  <si>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</si>
  <si>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</si>
  <si>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</si>
  <si>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</si>
  <si>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</si>
  <si>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</si>
  <si>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</si>
  <si>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</si>
  <si>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</si>
  <si>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</si>
  <si>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</si>
  <si>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</si>
  <si>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</si>
  <si>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</si>
  <si>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</si>
  <si>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</si>
  <si>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</si>
  <si>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</si>
  <si>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</si>
  <si>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</si>
  <si>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</si>
  <si>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</si>
  <si>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</si>
  <si>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</si>
  <si>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</si>
  <si>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</si>
  <si>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</si>
  <si>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</si>
  <si>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</si>
  <si>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</si>
  <si>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</si>
  <si>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</si>
  <si>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</si>
  <si>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</si>
  <si>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</si>
  <si>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</si>
  <si>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</si>
  <si>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</si>
  <si>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</si>
  <si>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</si>
  <si>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</si>
  <si>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</si>
  <si>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</si>
  <si>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</si>
  <si>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</si>
  <si>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</si>
  <si>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</si>
  <si>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</si>
  <si>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</si>
  <si>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</si>
  <si>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</si>
  <si>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</si>
  <si>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</si>
  <si>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</si>
  <si>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</si>
  <si>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</si>
  <si>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</si>
  <si>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</si>
  <si>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</si>
  <si>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</si>
  <si>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</si>
  <si>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</si>
  <si>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</si>
  <si>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</si>
  <si>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</si>
  <si>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</si>
  <si>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</si>
  <si>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</si>
  <si>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</si>
  <si>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</si>
  <si>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</si>
  <si>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</si>
  <si>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</si>
  <si>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</si>
  <si>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</si>
  <si>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</si>
  <si>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</si>
  <si>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</si>
  <si>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</si>
  <si>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</si>
  <si>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</si>
  <si>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</si>
  <si>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</si>
  <si>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</si>
  <si>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</si>
  <si>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</si>
  <si>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</si>
  <si>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</si>
  <si>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</si>
  <si>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</si>
  <si>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</si>
  <si>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</si>
  <si>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</si>
  <si>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</si>
  <si>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</si>
  <si>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</si>
  <si>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</si>
  <si>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</si>
  <si>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</si>
  <si>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</si>
  <si>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</si>
  <si>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</si>
  <si>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</si>
  <si>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</si>
  <si>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</si>
  <si>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</si>
  <si>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</si>
  <si>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</si>
  <si>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</si>
  <si>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</si>
  <si>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</si>
  <si>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</si>
  <si>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</si>
  <si>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</si>
  <si>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</si>
  <si>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</si>
  <si>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</si>
  <si>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</si>
  <si>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</si>
  <si>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</si>
  <si>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</si>
  <si>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</si>
  <si>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</si>
  <si>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</si>
  <si>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</si>
  <si>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</si>
  <si>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</si>
  <si>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</si>
  <si>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</si>
  <si>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</si>
  <si>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</si>
  <si>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</si>
  <si>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</si>
  <si>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</si>
  <si>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</si>
  <si>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</si>
  <si>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</si>
  <si>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</si>
  <si>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</si>
  <si>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</si>
  <si>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</si>
  <si>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</si>
  <si>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</si>
  <si>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</si>
  <si>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</si>
  <si>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</si>
  <si>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</si>
  <si>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</si>
  <si>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</si>
  <si>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</si>
  <si>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</si>
  <si>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</si>
  <si>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</si>
  <si>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</si>
  <si>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</si>
  <si>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</si>
  <si>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</si>
  <si>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</si>
  <si>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</si>
  <si>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</si>
  <si>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</si>
  <si>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</si>
  <si>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</si>
  <si>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</si>
  <si>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</si>
  <si>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</si>
  <si>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</si>
  <si>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</si>
  <si>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</si>
  <si>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</si>
  <si>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</si>
  <si>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</si>
  <si>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</si>
  <si>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</si>
  <si>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</si>
  <si>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</si>
  <si>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</si>
  <si>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</si>
  <si>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</si>
  <si>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</si>
  <si>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</si>
  <si>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</si>
  <si>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</si>
  <si>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</si>
  <si>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</si>
  <si>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</si>
  <si>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</si>
  <si>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</si>
  <si>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</si>
  <si>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</si>
  <si>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</si>
  <si>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</si>
  <si>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</si>
  <si>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</si>
  <si>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</si>
  <si>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</si>
  <si>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</si>
  <si>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</si>
  <si>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</si>
  <si>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</si>
  <si>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</si>
  <si>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</si>
  <si>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</si>
  <si>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</si>
  <si>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</si>
  <si>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</si>
  <si>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</si>
  <si>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</si>
  <si>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</si>
  <si>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</si>
  <si>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</si>
  <si>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</si>
  <si>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</si>
  <si>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</si>
  <si>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</si>
  <si>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</si>
  <si>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</si>
  <si>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</si>
  <si>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</si>
  <si>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</si>
  <si>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</si>
  <si>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</si>
  <si>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</si>
  <si>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</si>
  <si>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</si>
  <si>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</si>
  <si>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</si>
  <si>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</si>
  <si>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</si>
  <si>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</si>
  <si>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</si>
  <si>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</si>
  <si>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</si>
  <si>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</si>
  <si>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</si>
  <si>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</si>
  <si>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</si>
  <si>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</si>
  <si>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</si>
  <si>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</si>
  <si>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</si>
  <si>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</si>
  <si>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</si>
  <si>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</si>
  <si>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</si>
  <si>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</si>
  <si>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</si>
  <si>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</si>
  <si>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</si>
  <si>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</si>
  <si>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</si>
  <si>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</si>
  <si>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</si>
  <si>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</si>
  <si>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</si>
  <si>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</si>
  <si>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</si>
  <si>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</si>
  <si>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</si>
  <si>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Newfound Area School District</t>
  </si>
  <si>
    <t>Fund 30 - Capital Lease Proceeds will be expended in FY12</t>
  </si>
  <si>
    <t>Fund 21 - Transfer from General Fund; Fund 70 - Interest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</si>
</sst>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AD6E-DA3E-4C77-9DF2-82471200D048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388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674279.17</v>
      </c>
      <c r="G9" s="18">
        <f>55053.86+188</f>
        <v>55241.86</v>
      </c>
      <c r="H9" s="18"/>
      <c r="I9" s="18"/>
      <c r="J9" s="67">
        <f>SUM(I431)</f>
        <v>255159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35810.39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82163.19</v>
      </c>
      <c r="G12" s="18">
        <v>31697.02</v>
      </c>
      <c r="H12" s="18">
        <v>5515.52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6424.55</v>
      </c>
      <c r="G13" s="18">
        <v>46283.44</v>
      </c>
      <c r="H13" s="18">
        <v>300830.53000000003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273.82</v>
      </c>
      <c r="G14" s="18"/>
      <c r="H14" s="18"/>
      <c r="I14" s="18">
        <v>2657078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798951.12</v>
      </c>
      <c r="G19" s="41">
        <f>SUM(G9:G18)</f>
        <v>133222.32</v>
      </c>
      <c r="H19" s="41">
        <f>SUM(H9:H18)</f>
        <v>306346.05000000005</v>
      </c>
      <c r="I19" s="41">
        <f>SUM(I9:I18)</f>
        <v>2657078</v>
      </c>
      <c r="J19" s="41">
        <f>SUM(J9:J18)</f>
        <v>255159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119375.73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46326.76</v>
      </c>
      <c r="G25" s="18"/>
      <c r="H25" s="18">
        <f>10140.5</f>
        <v>10140.5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70053.98</v>
      </c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151966.51999999999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>
        <f>6684.42+955</f>
        <v>7639.42</v>
      </c>
      <c r="H32" s="18">
        <v>4738.63</v>
      </c>
      <c r="I32" s="18"/>
      <c r="J32" s="67">
        <f>SUM(I443)</f>
        <v>135667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116380.73999999999</v>
      </c>
      <c r="G33" s="41">
        <f>SUM(G23:G32)</f>
        <v>7639.42</v>
      </c>
      <c r="H33" s="41">
        <f>SUM(H23:H32)</f>
        <v>286221.38</v>
      </c>
      <c r="I33" s="41">
        <f>SUM(I23:I32)</f>
        <v>0</v>
      </c>
      <c r="J33" s="41">
        <f>SUM(J23:J32)</f>
        <v>135667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126538-955.1</f>
        <v>125582.9</v>
      </c>
      <c r="H41" s="18">
        <v>20124.669999999998</v>
      </c>
      <c r="I41" s="18">
        <v>2657078</v>
      </c>
      <c r="J41" s="13">
        <f>SUM(I449)</f>
        <v>119492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682570.38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682570.38</v>
      </c>
      <c r="G43" s="41">
        <f>SUM(G35:G42)</f>
        <v>125582.9</v>
      </c>
      <c r="H43" s="41">
        <f>SUM(H35:H42)</f>
        <v>20124.669999999998</v>
      </c>
      <c r="I43" s="41">
        <f>SUM(I35:I42)</f>
        <v>2657078</v>
      </c>
      <c r="J43" s="41">
        <f>SUM(J35:J42)</f>
        <v>119492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798951.12</v>
      </c>
      <c r="G44" s="41">
        <f>G43+G33</f>
        <v>133222.32</v>
      </c>
      <c r="H44" s="41">
        <f>H43+H33</f>
        <v>306346.05</v>
      </c>
      <c r="I44" s="41">
        <f>I43+I33</f>
        <v>2657078</v>
      </c>
      <c r="J44" s="41">
        <f>J43+J33</f>
        <v>255159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11667151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11667151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2855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81316.42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84171.42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5859.28</v>
      </c>
      <c r="G88" s="18">
        <v>201.77</v>
      </c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274365.94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2385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580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283.75</v>
      </c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5512.5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73602.990000000005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6752.54+12538.03</f>
        <v>19290.57</v>
      </c>
      <c r="G102" s="18"/>
      <c r="H102" s="18">
        <v>21394.23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107514.09</v>
      </c>
      <c r="G103" s="41">
        <f>SUM(G88:G102)</f>
        <v>274567.71000000002</v>
      </c>
      <c r="H103" s="41">
        <f>SUM(H88:H102)</f>
        <v>21394.23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11858836.51</v>
      </c>
      <c r="G104" s="41">
        <f>G52+G103</f>
        <v>274567.71000000002</v>
      </c>
      <c r="H104" s="41">
        <f>H52+H71+H86+H103</f>
        <v>21394.23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3654237.83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4267907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132538.17000000001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62990.85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8117673.8499999996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341.73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59552.47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8257.89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5917.54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14700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82852.09</v>
      </c>
      <c r="G128" s="41">
        <f>SUM(G115:G127)</f>
        <v>5917.54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>
        <v>63456.43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8200525.9399999995</v>
      </c>
      <c r="G132" s="41">
        <f>G113+SUM(G128:G129)</f>
        <v>5917.54</v>
      </c>
      <c r="H132" s="41">
        <f>H113+SUM(H128:H131)</f>
        <v>63456.43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484353.04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391606.63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259669.39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445179.79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341861.96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27588.560000000001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341861.96</v>
      </c>
      <c r="G154" s="41">
        <f>SUM(G142:G153)</f>
        <v>287257.95</v>
      </c>
      <c r="H154" s="41">
        <f>SUM(H142:H153)</f>
        <v>1321139.46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3454.01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345315.97000000003</v>
      </c>
      <c r="G161" s="41">
        <f>G139+G154+SUM(G155:G160)</f>
        <v>287257.95</v>
      </c>
      <c r="H161" s="41">
        <f>H139+H154+SUM(H155:H160)</f>
        <v>1321139.46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50000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50000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50000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20404678.419999998</v>
      </c>
      <c r="G185" s="47">
        <f>G104+G132+G161+G184</f>
        <v>617743.19999999995</v>
      </c>
      <c r="H185" s="47">
        <f>H104+H132+H161+H184</f>
        <v>1405990.1199999999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2401144.69</v>
      </c>
      <c r="G189" s="18">
        <f>1025168.25+40000</f>
        <v>1065168.25</v>
      </c>
      <c r="H189" s="18">
        <f>2190+22984.35+4543.38</f>
        <v>29717.73</v>
      </c>
      <c r="I189" s="18">
        <v>114554.08</v>
      </c>
      <c r="J189" s="18">
        <v>7063.68</v>
      </c>
      <c r="K189" s="18">
        <v>0</v>
      </c>
      <c r="L189" s="19">
        <f>SUM(F189:K189)</f>
        <v>3617648.43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814238.91</v>
      </c>
      <c r="G190" s="18">
        <f>592681.63+25000</f>
        <v>617681.63</v>
      </c>
      <c r="H190" s="18">
        <f>170+299376.33</f>
        <v>299546.33</v>
      </c>
      <c r="I190" s="18">
        <v>4966.78</v>
      </c>
      <c r="J190" s="18">
        <v>0</v>
      </c>
      <c r="K190" s="18">
        <v>803.58</v>
      </c>
      <c r="L190" s="19">
        <f>SUM(F190:K190)</f>
        <v>1737237.2300000002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17605.400000000001</v>
      </c>
      <c r="G192" s="18">
        <f>8796.51+6000</f>
        <v>14796.51</v>
      </c>
      <c r="H192" s="18"/>
      <c r="I192" s="18"/>
      <c r="J192" s="18"/>
      <c r="K192" s="18"/>
      <c r="L192" s="19">
        <f>SUM(F192:K192)</f>
        <v>32401.910000000003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477469.39</v>
      </c>
      <c r="G194" s="18">
        <v>238906.54</v>
      </c>
      <c r="H194" s="18">
        <f>116604.91+1084.34</f>
        <v>117689.25</v>
      </c>
      <c r="I194" s="18">
        <v>5750.55</v>
      </c>
      <c r="J194" s="18">
        <v>696.35</v>
      </c>
      <c r="K194" s="18"/>
      <c r="L194" s="19">
        <f t="shared" ref="L194:L200" si="0">SUM(F194:K194)</f>
        <v>840512.08000000007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60222.81</v>
      </c>
      <c r="G195" s="18">
        <v>31042.41</v>
      </c>
      <c r="H195" s="18">
        <f>21578.17+1387.2</f>
        <v>22965.37</v>
      </c>
      <c r="I195" s="18">
        <v>20534.63</v>
      </c>
      <c r="J195" s="18">
        <v>29220.41</v>
      </c>
      <c r="K195" s="18">
        <v>59109.55</v>
      </c>
      <c r="L195" s="19">
        <f t="shared" si="0"/>
        <v>223095.18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190938.12</v>
      </c>
      <c r="G196" s="18">
        <v>82293.279999999999</v>
      </c>
      <c r="H196" s="18">
        <f>39727.71+4744.53+10076.04</f>
        <v>54548.28</v>
      </c>
      <c r="I196" s="18">
        <v>6987.68</v>
      </c>
      <c r="J196" s="18">
        <v>995.43</v>
      </c>
      <c r="K196" s="18">
        <v>6929.01</v>
      </c>
      <c r="L196" s="19">
        <f t="shared" si="0"/>
        <v>342691.80000000005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378753.87</v>
      </c>
      <c r="G197" s="18">
        <v>182822.56</v>
      </c>
      <c r="H197" s="18">
        <f>15508.84+1545.89</f>
        <v>17054.73</v>
      </c>
      <c r="I197" s="18">
        <v>2965.63</v>
      </c>
      <c r="J197" s="18"/>
      <c r="K197" s="18">
        <f>2751.24+753.33</f>
        <v>3504.5699999999997</v>
      </c>
      <c r="L197" s="19">
        <f t="shared" si="0"/>
        <v>585101.35999999987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247113.38</v>
      </c>
      <c r="G199" s="18">
        <v>100732.25</v>
      </c>
      <c r="H199" s="18">
        <f>11454.24+110850.85+23669.31</f>
        <v>145974.40000000002</v>
      </c>
      <c r="I199" s="18">
        <v>195435.91</v>
      </c>
      <c r="J199" s="18">
        <v>2115.54</v>
      </c>
      <c r="K199" s="18"/>
      <c r="L199" s="19">
        <f t="shared" si="0"/>
        <v>691371.4800000001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535166.86</v>
      </c>
      <c r="I200" s="18">
        <v>63646.78</v>
      </c>
      <c r="J200" s="18"/>
      <c r="K200" s="18"/>
      <c r="L200" s="19">
        <f t="shared" si="0"/>
        <v>598813.64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39344.49</v>
      </c>
      <c r="H201" s="18"/>
      <c r="I201" s="18"/>
      <c r="J201" s="18"/>
      <c r="K201" s="18"/>
      <c r="L201" s="19">
        <f>SUM(F201:K201)</f>
        <v>39344.49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4587486.57</v>
      </c>
      <c r="G203" s="41">
        <f t="shared" si="1"/>
        <v>2372787.92</v>
      </c>
      <c r="H203" s="41">
        <f t="shared" si="1"/>
        <v>1222662.95</v>
      </c>
      <c r="I203" s="41">
        <f t="shared" si="1"/>
        <v>414842.04000000004</v>
      </c>
      <c r="J203" s="41">
        <f t="shared" si="1"/>
        <v>40091.410000000003</v>
      </c>
      <c r="K203" s="41">
        <f t="shared" si="1"/>
        <v>70346.709999999992</v>
      </c>
      <c r="L203" s="41">
        <f t="shared" si="1"/>
        <v>8708217.6000000015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1291462.95</v>
      </c>
      <c r="G207" s="18">
        <f>526121.35+30000</f>
        <v>556121.35</v>
      </c>
      <c r="H207" s="18">
        <f>429.21+1140+12111.59</f>
        <v>13680.8</v>
      </c>
      <c r="I207" s="18">
        <v>34714.379999999997</v>
      </c>
      <c r="J207" s="18">
        <v>2882.72</v>
      </c>
      <c r="K207" s="18">
        <v>439</v>
      </c>
      <c r="L207" s="19">
        <f>SUM(F207:K207)</f>
        <v>1899301.1999999997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402124.77</v>
      </c>
      <c r="G208" s="18">
        <f>344404.43+25000</f>
        <v>369404.43</v>
      </c>
      <c r="H208" s="18">
        <f>5833.6+109665.54</f>
        <v>115499.14</v>
      </c>
      <c r="I208" s="18">
        <v>1681.28</v>
      </c>
      <c r="J208" s="18"/>
      <c r="K208" s="18">
        <v>750</v>
      </c>
      <c r="L208" s="19">
        <f>SUM(F208:K208)</f>
        <v>889459.62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54608</v>
      </c>
      <c r="G210" s="18">
        <f>7114.37+6000</f>
        <v>13114.369999999999</v>
      </c>
      <c r="H210" s="18"/>
      <c r="I210" s="18">
        <v>4403.25</v>
      </c>
      <c r="J210" s="18"/>
      <c r="K210" s="18">
        <f>330+9604</f>
        <v>9934</v>
      </c>
      <c r="L210" s="19">
        <f>SUM(F210:K210)</f>
        <v>82059.62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249382.95</v>
      </c>
      <c r="G212" s="18">
        <v>107066.14</v>
      </c>
      <c r="H212" s="18">
        <f>132.54+88926.4</f>
        <v>89058.939999999988</v>
      </c>
      <c r="I212" s="18">
        <v>2425.36</v>
      </c>
      <c r="J212" s="18">
        <v>3171.47</v>
      </c>
      <c r="K212" s="18">
        <v>80</v>
      </c>
      <c r="L212" s="19">
        <f t="shared" ref="L212:L218" si="2">SUM(F212:K212)</f>
        <v>451184.86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78488.89</v>
      </c>
      <c r="G213" s="18">
        <v>30866.79</v>
      </c>
      <c r="H213" s="18">
        <f>13894.12+791.92</f>
        <v>14686.04</v>
      </c>
      <c r="I213" s="18">
        <v>14160.21</v>
      </c>
      <c r="J213" s="18">
        <v>33732.699999999997</v>
      </c>
      <c r="K213" s="18">
        <v>27234.29</v>
      </c>
      <c r="L213" s="19">
        <f t="shared" si="2"/>
        <v>199168.92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97919.92</v>
      </c>
      <c r="G214" s="18">
        <v>44716.85</v>
      </c>
      <c r="H214" s="18">
        <f>5229.99+20512.37+2450.64</f>
        <v>28193</v>
      </c>
      <c r="I214" s="18">
        <v>3636.69</v>
      </c>
      <c r="J214" s="18">
        <v>514.84</v>
      </c>
      <c r="K214" s="18">
        <v>3331.79</v>
      </c>
      <c r="L214" s="19">
        <f t="shared" si="2"/>
        <v>178313.09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170077.64</v>
      </c>
      <c r="G215" s="18">
        <v>46199.7</v>
      </c>
      <c r="H215" s="18">
        <f>8036.83+422.6+1146.96</f>
        <v>9606.39</v>
      </c>
      <c r="I215" s="18">
        <v>794.56</v>
      </c>
      <c r="J215" s="18">
        <v>189</v>
      </c>
      <c r="K215" s="18">
        <f>2499+44.82</f>
        <v>2543.8200000000002</v>
      </c>
      <c r="L215" s="19">
        <f t="shared" si="2"/>
        <v>229411.11000000004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109845.08</v>
      </c>
      <c r="G217" s="18">
        <v>56989.78</v>
      </c>
      <c r="H217" s="18">
        <f>12212.08+8869.72+48054.55</f>
        <v>69136.350000000006</v>
      </c>
      <c r="I217" s="18">
        <v>90860.66</v>
      </c>
      <c r="J217" s="18">
        <v>85.87</v>
      </c>
      <c r="K217" s="18"/>
      <c r="L217" s="19">
        <f t="shared" si="2"/>
        <v>326917.74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244871.55</v>
      </c>
      <c r="I218" s="18">
        <v>32556.36</v>
      </c>
      <c r="J218" s="18"/>
      <c r="K218" s="18"/>
      <c r="L218" s="19">
        <f t="shared" si="2"/>
        <v>277427.90999999997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>
        <v>20815.93</v>
      </c>
      <c r="H219" s="18"/>
      <c r="I219" s="18"/>
      <c r="J219" s="18"/>
      <c r="K219" s="18"/>
      <c r="L219" s="19">
        <f>SUM(F219:K219)</f>
        <v>20815.93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2453910.2000000002</v>
      </c>
      <c r="G221" s="41">
        <f>SUM(G207:G220)</f>
        <v>1245295.3400000001</v>
      </c>
      <c r="H221" s="41">
        <f>SUM(H207:H220)</f>
        <v>584732.21</v>
      </c>
      <c r="I221" s="41">
        <f>SUM(I207:I220)</f>
        <v>185232.75</v>
      </c>
      <c r="J221" s="41">
        <f>SUM(J207:J220)</f>
        <v>40576.6</v>
      </c>
      <c r="K221" s="41">
        <f t="shared" si="3"/>
        <v>44312.9</v>
      </c>
      <c r="L221" s="41">
        <f t="shared" si="3"/>
        <v>4554059.9999999991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2038978.92</v>
      </c>
      <c r="G225" s="18">
        <f>874925.98+34220.4</f>
        <v>909146.38</v>
      </c>
      <c r="H225" s="18">
        <f>4262+19752.75+6414.8</f>
        <v>30429.55</v>
      </c>
      <c r="I225" s="18">
        <v>75444.02</v>
      </c>
      <c r="J225" s="18">
        <v>7251.02</v>
      </c>
      <c r="K225" s="18">
        <v>6103.5</v>
      </c>
      <c r="L225" s="19">
        <f>SUM(F225:K225)</f>
        <v>3067353.3899999997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526165.39</v>
      </c>
      <c r="G226" s="18">
        <f>364825.49+24189.09</f>
        <v>389014.58</v>
      </c>
      <c r="H226" s="18">
        <f>2724+647095.32</f>
        <v>649819.31999999995</v>
      </c>
      <c r="I226" s="18">
        <v>4018.48</v>
      </c>
      <c r="J226" s="18"/>
      <c r="K226" s="18">
        <v>500</v>
      </c>
      <c r="L226" s="19">
        <f>SUM(F226:K226)</f>
        <v>1569517.77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18566.98</v>
      </c>
      <c r="I227" s="18"/>
      <c r="J227" s="18"/>
      <c r="K227" s="18"/>
      <c r="L227" s="19">
        <f>SUM(F227:K227)</f>
        <v>18566.98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160617</v>
      </c>
      <c r="G228" s="18">
        <f>23920.79+5914.26</f>
        <v>29835.050000000003</v>
      </c>
      <c r="H228" s="18">
        <v>14700</v>
      </c>
      <c r="I228" s="18">
        <v>21736.25</v>
      </c>
      <c r="J228" s="18">
        <v>7343.16</v>
      </c>
      <c r="K228" s="18">
        <f>2900+42781.3</f>
        <v>45681.3</v>
      </c>
      <c r="L228" s="19">
        <f>SUM(F228:K228)</f>
        <v>279912.76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256156.15</v>
      </c>
      <c r="G230" s="18">
        <v>91420.88</v>
      </c>
      <c r="H230" s="18">
        <f>120617.72+742.98</f>
        <v>121360.7</v>
      </c>
      <c r="I230" s="18">
        <v>4828.78</v>
      </c>
      <c r="J230" s="18"/>
      <c r="K230" s="18"/>
      <c r="L230" s="19">
        <f t="shared" ref="L230:L236" si="4">SUM(F230:K230)</f>
        <v>473766.51000000007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114250.42</v>
      </c>
      <c r="G231" s="18">
        <v>50096.65</v>
      </c>
      <c r="H231" s="18">
        <f>12795.52+1394.49</f>
        <v>14190.01</v>
      </c>
      <c r="I231" s="18">
        <v>27788.93</v>
      </c>
      <c r="J231" s="18">
        <v>43018.31</v>
      </c>
      <c r="K231" s="18">
        <v>46543.43</v>
      </c>
      <c r="L231" s="19">
        <f t="shared" si="4"/>
        <v>295887.75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140453.26</v>
      </c>
      <c r="G232" s="18">
        <v>61535.23</v>
      </c>
      <c r="H232" s="18">
        <f>33965.84+3738.14+8105.19</f>
        <v>45809.17</v>
      </c>
      <c r="I232" s="18">
        <v>5524.48</v>
      </c>
      <c r="J232" s="18">
        <v>2934.47</v>
      </c>
      <c r="K232" s="18">
        <v>5495.86</v>
      </c>
      <c r="L232" s="19">
        <f t="shared" si="4"/>
        <v>261752.47000000003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213049.62</v>
      </c>
      <c r="G233" s="18">
        <v>98611.04</v>
      </c>
      <c r="H233" s="18">
        <f>280.5+9116.74</f>
        <v>9397.24</v>
      </c>
      <c r="I233" s="18">
        <v>1054.1600000000001</v>
      </c>
      <c r="J233" s="18"/>
      <c r="K233" s="18">
        <f>7912.88+3663.2</f>
        <v>11576.08</v>
      </c>
      <c r="L233" s="19">
        <f t="shared" si="4"/>
        <v>333688.13999999996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163535.69</v>
      </c>
      <c r="G235" s="18">
        <v>83447.490000000005</v>
      </c>
      <c r="H235" s="18">
        <f>11331.26+67403.34+17625.92</f>
        <v>96360.51999999999</v>
      </c>
      <c r="I235" s="18">
        <v>119330.41</v>
      </c>
      <c r="J235" s="18">
        <v>1520.5</v>
      </c>
      <c r="K235" s="18"/>
      <c r="L235" s="19">
        <f t="shared" si="4"/>
        <v>464194.61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508979.03</v>
      </c>
      <c r="I236" s="18">
        <v>51585.279999999999</v>
      </c>
      <c r="J236" s="18"/>
      <c r="K236" s="18"/>
      <c r="L236" s="19">
        <f t="shared" si="4"/>
        <v>560564.31000000006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>
        <f>30899.09+288.97</f>
        <v>31188.06</v>
      </c>
      <c r="H237" s="18"/>
      <c r="I237" s="18"/>
      <c r="J237" s="18"/>
      <c r="K237" s="18"/>
      <c r="L237" s="19">
        <f>SUM(F237:K237)</f>
        <v>31188.06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3613206.4499999997</v>
      </c>
      <c r="G239" s="41">
        <f t="shared" si="5"/>
        <v>1744295.36</v>
      </c>
      <c r="H239" s="41">
        <f t="shared" si="5"/>
        <v>1509612.52</v>
      </c>
      <c r="I239" s="41">
        <f t="shared" si="5"/>
        <v>311310.79000000004</v>
      </c>
      <c r="J239" s="41">
        <f t="shared" si="5"/>
        <v>62067.46</v>
      </c>
      <c r="K239" s="41">
        <f t="shared" si="5"/>
        <v>115900.17000000001</v>
      </c>
      <c r="L239" s="41">
        <f t="shared" si="5"/>
        <v>7356392.7499999991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10654603.220000001</v>
      </c>
      <c r="G249" s="41">
        <f t="shared" si="8"/>
        <v>5362378.62</v>
      </c>
      <c r="H249" s="41">
        <f t="shared" si="8"/>
        <v>3317007.6799999997</v>
      </c>
      <c r="I249" s="41">
        <f t="shared" si="8"/>
        <v>911385.58000000007</v>
      </c>
      <c r="J249" s="41">
        <f t="shared" si="8"/>
        <v>142735.47</v>
      </c>
      <c r="K249" s="41">
        <f t="shared" si="8"/>
        <v>230559.78</v>
      </c>
      <c r="L249" s="41">
        <f t="shared" si="8"/>
        <v>20618670.350000001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50000</v>
      </c>
      <c r="L255" s="19">
        <f>SUM(F255:K255)</f>
        <v>50000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50000</v>
      </c>
      <c r="L262" s="41">
        <f t="shared" si="9"/>
        <v>50000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10654603.220000001</v>
      </c>
      <c r="G263" s="42">
        <f t="shared" si="11"/>
        <v>5362378.62</v>
      </c>
      <c r="H263" s="42">
        <f t="shared" si="11"/>
        <v>3317007.6799999997</v>
      </c>
      <c r="I263" s="42">
        <f t="shared" si="11"/>
        <v>911385.58000000007</v>
      </c>
      <c r="J263" s="42">
        <f t="shared" si="11"/>
        <v>142735.47</v>
      </c>
      <c r="K263" s="42">
        <f t="shared" si="11"/>
        <v>280559.78000000003</v>
      </c>
      <c r="L263" s="42">
        <f t="shared" si="11"/>
        <v>20668670.350000001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453612.42</v>
      </c>
      <c r="G268" s="18">
        <v>53606.12</v>
      </c>
      <c r="H268" s="18"/>
      <c r="I268" s="18">
        <v>11422.01</v>
      </c>
      <c r="J268" s="18"/>
      <c r="K268" s="18"/>
      <c r="L268" s="19">
        <f>SUM(F268:K268)</f>
        <v>518640.55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10836.57</v>
      </c>
      <c r="G269" s="18"/>
      <c r="H269" s="18">
        <v>803</v>
      </c>
      <c r="I269" s="18"/>
      <c r="J269" s="18"/>
      <c r="K269" s="18"/>
      <c r="L269" s="19">
        <f>SUM(F269:K269)</f>
        <v>11639.57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180986.56</v>
      </c>
      <c r="G271" s="18">
        <v>3200.75</v>
      </c>
      <c r="H271" s="18">
        <v>59527.94</v>
      </c>
      <c r="I271" s="18">
        <v>36206.339999999997</v>
      </c>
      <c r="J271" s="18"/>
      <c r="K271" s="18"/>
      <c r="L271" s="19">
        <f>SUM(F271:K271)</f>
        <v>279921.58999999997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33972.199999999997</v>
      </c>
      <c r="G273" s="18">
        <v>9.89</v>
      </c>
      <c r="H273" s="18">
        <v>165131.15</v>
      </c>
      <c r="I273" s="18"/>
      <c r="J273" s="18"/>
      <c r="K273" s="18"/>
      <c r="L273" s="19">
        <f t="shared" ref="L273:L279" si="12">SUM(F273:K273)</f>
        <v>199113.24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900</v>
      </c>
      <c r="G274" s="18">
        <v>140.15</v>
      </c>
      <c r="H274" s="18">
        <f>101817.28+3354.14</f>
        <v>105171.42</v>
      </c>
      <c r="I274" s="18">
        <v>10409.1</v>
      </c>
      <c r="J274" s="18"/>
      <c r="K274" s="18"/>
      <c r="L274" s="19">
        <f t="shared" si="12"/>
        <v>116620.67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>
        <v>3505</v>
      </c>
      <c r="L276" s="19">
        <f t="shared" si="12"/>
        <v>3505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680307.75</v>
      </c>
      <c r="G282" s="42">
        <f t="shared" si="13"/>
        <v>56956.91</v>
      </c>
      <c r="H282" s="42">
        <f t="shared" si="13"/>
        <v>330633.51</v>
      </c>
      <c r="I282" s="42">
        <f t="shared" si="13"/>
        <v>58037.45</v>
      </c>
      <c r="J282" s="42">
        <f t="shared" si="13"/>
        <v>0</v>
      </c>
      <c r="K282" s="42">
        <f t="shared" si="13"/>
        <v>3505</v>
      </c>
      <c r="L282" s="41">
        <f t="shared" si="13"/>
        <v>1129440.6199999999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58894+47614.63</f>
        <v>106508.63</v>
      </c>
      <c r="G288" s="18"/>
      <c r="H288" s="18"/>
      <c r="I288" s="18"/>
      <c r="J288" s="18"/>
      <c r="K288" s="18"/>
      <c r="L288" s="19">
        <f>SUM(F288:K288)</f>
        <v>106508.63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>
        <v>18219.14</v>
      </c>
      <c r="L294" s="19">
        <f t="shared" si="14"/>
        <v>18219.14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5000</v>
      </c>
      <c r="G295" s="18">
        <v>769.13</v>
      </c>
      <c r="H295" s="18"/>
      <c r="I295" s="18"/>
      <c r="J295" s="18"/>
      <c r="K295" s="18"/>
      <c r="L295" s="19">
        <f t="shared" si="14"/>
        <v>5769.13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111508.63</v>
      </c>
      <c r="G301" s="42">
        <f t="shared" si="15"/>
        <v>769.13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18219.14</v>
      </c>
      <c r="L301" s="41">
        <f t="shared" si="15"/>
        <v>130496.90000000001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>
        <v>97094.06</v>
      </c>
      <c r="I307" s="18"/>
      <c r="J307" s="18"/>
      <c r="K307" s="18"/>
      <c r="L307" s="19">
        <f>SUM(F307:K307)</f>
        <v>97094.06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10000</v>
      </c>
      <c r="G313" s="18">
        <v>814.33</v>
      </c>
      <c r="H313" s="18">
        <f>16190.01+2181.17</f>
        <v>18371.18</v>
      </c>
      <c r="I313" s="18">
        <v>4079.22</v>
      </c>
      <c r="J313" s="18"/>
      <c r="K313" s="18"/>
      <c r="L313" s="19">
        <f t="shared" si="16"/>
        <v>33264.730000000003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5736.97</v>
      </c>
      <c r="I317" s="18"/>
      <c r="J317" s="18"/>
      <c r="K317" s="18"/>
      <c r="L317" s="19">
        <f t="shared" si="16"/>
        <v>5736.97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10000</v>
      </c>
      <c r="G320" s="42">
        <f t="shared" si="17"/>
        <v>814.33</v>
      </c>
      <c r="H320" s="42">
        <f t="shared" si="17"/>
        <v>121202.20999999999</v>
      </c>
      <c r="I320" s="42">
        <f t="shared" si="17"/>
        <v>4079.22</v>
      </c>
      <c r="J320" s="42">
        <f t="shared" si="17"/>
        <v>0</v>
      </c>
      <c r="K320" s="42">
        <f t="shared" si="17"/>
        <v>0</v>
      </c>
      <c r="L320" s="41">
        <f t="shared" si="17"/>
        <v>136095.76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801816.38</v>
      </c>
      <c r="G330" s="41">
        <f t="shared" si="20"/>
        <v>58540.37</v>
      </c>
      <c r="H330" s="41">
        <f t="shared" si="20"/>
        <v>451835.72</v>
      </c>
      <c r="I330" s="41">
        <f t="shared" si="20"/>
        <v>62116.67</v>
      </c>
      <c r="J330" s="41">
        <f t="shared" si="20"/>
        <v>0</v>
      </c>
      <c r="K330" s="41">
        <f t="shared" si="20"/>
        <v>21724.14</v>
      </c>
      <c r="L330" s="41">
        <f t="shared" si="20"/>
        <v>1396033.2799999998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801816.38</v>
      </c>
      <c r="G344" s="41">
        <f>G330</f>
        <v>58540.37</v>
      </c>
      <c r="H344" s="41">
        <f>H330</f>
        <v>451835.72</v>
      </c>
      <c r="I344" s="41">
        <f>I330</f>
        <v>62116.67</v>
      </c>
      <c r="J344" s="41">
        <f>J330</f>
        <v>0</v>
      </c>
      <c r="K344" s="47">
        <f>K330+K343</f>
        <v>21724.14</v>
      </c>
      <c r="L344" s="41">
        <f>L330+L343</f>
        <v>1396033.2799999998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97326.61</v>
      </c>
      <c r="G350" s="18">
        <v>55286.34</v>
      </c>
      <c r="H350" s="18">
        <v>3742.53</v>
      </c>
      <c r="I350" s="18">
        <v>31850.49</v>
      </c>
      <c r="J350" s="18">
        <v>1478.96</v>
      </c>
      <c r="K350" s="18">
        <v>1299.74</v>
      </c>
      <c r="L350" s="13">
        <f>SUM(F350:K350)</f>
        <v>190984.66999999998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44918.98</v>
      </c>
      <c r="G351" s="18">
        <v>23333.74</v>
      </c>
      <c r="H351" s="18">
        <v>2243.21</v>
      </c>
      <c r="I351" s="18">
        <v>45088.800000000003</v>
      </c>
      <c r="J351" s="18">
        <v>31</v>
      </c>
      <c r="K351" s="18">
        <v>679.41</v>
      </c>
      <c r="L351" s="19">
        <f>SUM(F351:K351)</f>
        <v>116295.14000000001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103399.03</v>
      </c>
      <c r="G352" s="18">
        <v>37317.089999999997</v>
      </c>
      <c r="H352" s="18">
        <v>7438.57</v>
      </c>
      <c r="I352" s="18">
        <v>169651.21</v>
      </c>
      <c r="J352" s="18">
        <v>1018</v>
      </c>
      <c r="K352" s="18">
        <v>974.8</v>
      </c>
      <c r="L352" s="19">
        <f>SUM(F352:K352)</f>
        <v>319798.7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245644.62</v>
      </c>
      <c r="G354" s="47">
        <f t="shared" si="22"/>
        <v>115937.17</v>
      </c>
      <c r="H354" s="47">
        <f t="shared" si="22"/>
        <v>13424.31</v>
      </c>
      <c r="I354" s="47">
        <f t="shared" si="22"/>
        <v>246590.5</v>
      </c>
      <c r="J354" s="47">
        <f t="shared" si="22"/>
        <v>2527.96</v>
      </c>
      <c r="K354" s="47">
        <f t="shared" si="22"/>
        <v>2953.95</v>
      </c>
      <c r="L354" s="47">
        <f t="shared" si="22"/>
        <v>627078.51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31681.97</v>
      </c>
      <c r="G359" s="18">
        <v>45002.58</v>
      </c>
      <c r="H359" s="18">
        <v>169514.04</v>
      </c>
      <c r="I359" s="56">
        <f>SUM(F359:H359)</f>
        <v>246198.59000000003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168.52</v>
      </c>
      <c r="G360" s="63">
        <v>86.22</v>
      </c>
      <c r="H360" s="63">
        <v>137.16999999999999</v>
      </c>
      <c r="I360" s="56">
        <f>SUM(F360:H360)</f>
        <v>391.90999999999997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31850.49</v>
      </c>
      <c r="G361" s="47">
        <f>SUM(G359:G360)</f>
        <v>45088.800000000003</v>
      </c>
      <c r="H361" s="47">
        <f>SUM(H359:H360)</f>
        <v>169651.21000000002</v>
      </c>
      <c r="I361" s="47">
        <f>SUM(I359:I360)</f>
        <v>246590.50000000003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>
        <v>2000</v>
      </c>
      <c r="I416" s="18"/>
      <c r="J416" s="18"/>
      <c r="K416" s="18"/>
      <c r="L416" s="56">
        <f t="shared" si="29"/>
        <v>2000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2000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2000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2000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2000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f>119492+135667</f>
        <v>255159</v>
      </c>
      <c r="H431" s="18"/>
      <c r="I431" s="56">
        <f t="shared" ref="I431:I437" si="33">SUM(F431:H431)</f>
        <v>255159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255159</v>
      </c>
      <c r="H438" s="13">
        <f>SUM(H431:H437)</f>
        <v>0</v>
      </c>
      <c r="I438" s="13">
        <f>SUM(I431:I437)</f>
        <v>255159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>
        <v>135667</v>
      </c>
      <c r="H443" s="18"/>
      <c r="I443" s="56">
        <f>SUM(F443:H443)</f>
        <v>135667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135667</v>
      </c>
      <c r="H444" s="72">
        <f>SUM(H440:H443)</f>
        <v>0</v>
      </c>
      <c r="I444" s="72">
        <f>SUM(I440:I443)</f>
        <v>135667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119492</v>
      </c>
      <c r="H449" s="18"/>
      <c r="I449" s="56">
        <f>SUM(F449:H449)</f>
        <v>119492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119492</v>
      </c>
      <c r="H450" s="83">
        <f>SUM(H446:H449)</f>
        <v>0</v>
      </c>
      <c r="I450" s="83">
        <f>SUM(I446:I449)</f>
        <v>119492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255159</v>
      </c>
      <c r="H451" s="42">
        <f>H444+H450</f>
        <v>0</v>
      </c>
      <c r="I451" s="42">
        <f>I444+I450</f>
        <v>255159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946562.31</v>
      </c>
      <c r="G455" s="18">
        <v>134918.21</v>
      </c>
      <c r="H455" s="18">
        <v>10167.83</v>
      </c>
      <c r="I455" s="18">
        <v>0</v>
      </c>
      <c r="J455" s="18">
        <v>119485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11667151+191685.51+8200525.94+345315.97</f>
        <v>20404678.419999998</v>
      </c>
      <c r="G458" s="18">
        <f>274567.71+5917.54+287257.95+50000</f>
        <v>617743.19999999995</v>
      </c>
      <c r="H458" s="18">
        <f>21394.23+63456.43+1321139.46</f>
        <v>1405990.1199999999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>
        <v>2657078</v>
      </c>
      <c r="J459" s="18">
        <v>2007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20404678.419999998</v>
      </c>
      <c r="G460" s="53">
        <f>SUM(G458:G459)</f>
        <v>617743.19999999995</v>
      </c>
      <c r="H460" s="53">
        <f>SUM(H458:H459)</f>
        <v>1405990.1199999999</v>
      </c>
      <c r="I460" s="53">
        <f>SUM(I458:I459)</f>
        <v>2657078</v>
      </c>
      <c r="J460" s="53">
        <f>SUM(J458:J459)</f>
        <v>2007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13864510.27+1765175.12+47400.19+104551.64+678205.72+1148478.21+1482483.83+1436805.86+91059.51+50000</f>
        <v>20668670.350000005</v>
      </c>
      <c r="G462" s="18">
        <f>626123.51-63+1018</f>
        <v>627078.51</v>
      </c>
      <c r="H462" s="18">
        <v>1396033.28</v>
      </c>
      <c r="I462" s="18"/>
      <c r="J462" s="18">
        <v>2000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20668670.350000005</v>
      </c>
      <c r="G464" s="53">
        <f>SUM(G462:G463)</f>
        <v>627078.51</v>
      </c>
      <c r="H464" s="53">
        <f>SUM(H462:H463)</f>
        <v>1396033.28</v>
      </c>
      <c r="I464" s="53">
        <f>SUM(I462:I463)</f>
        <v>0</v>
      </c>
      <c r="J464" s="53">
        <f>SUM(J462:J463)</f>
        <v>2000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682570.37999999151</v>
      </c>
      <c r="G466" s="53">
        <f>(G455+G460)- G464</f>
        <v>125582.89999999991</v>
      </c>
      <c r="H466" s="53">
        <f>(H455+H460)- H464</f>
        <v>20124.669999999925</v>
      </c>
      <c r="I466" s="53">
        <f>(I455+I460)- I464</f>
        <v>2657078</v>
      </c>
      <c r="J466" s="53">
        <f>(J455+J460)- J464</f>
        <v>119492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895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 t="s">
        <v>896</v>
      </c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49482</v>
      </c>
      <c r="G497" s="144"/>
      <c r="H497" s="144">
        <v>16752</v>
      </c>
      <c r="I497" s="144">
        <v>32730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779622.37</v>
      </c>
      <c r="G511" s="18">
        <v>585478.09</v>
      </c>
      <c r="H511" s="18">
        <f>170+296552.94</f>
        <v>296722.94</v>
      </c>
      <c r="I511" s="18">
        <v>4893.75</v>
      </c>
      <c r="J511" s="18"/>
      <c r="K511" s="18"/>
      <c r="L511" s="88">
        <f>SUM(F511:K511)</f>
        <v>1666717.15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392994.27</v>
      </c>
      <c r="G512" s="18">
        <v>343022.05</v>
      </c>
      <c r="H512" s="18">
        <f>109665.54+5833.6</f>
        <v>115499.14</v>
      </c>
      <c r="I512" s="18">
        <v>933.35</v>
      </c>
      <c r="J512" s="18"/>
      <c r="K512" s="18"/>
      <c r="L512" s="88">
        <f>SUM(F512:K512)</f>
        <v>852448.81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523105.39</v>
      </c>
      <c r="G513" s="18">
        <v>364312.73</v>
      </c>
      <c r="H513" s="18">
        <f>2724+630368.26</f>
        <v>633092.26</v>
      </c>
      <c r="I513" s="18">
        <v>4018.48</v>
      </c>
      <c r="J513" s="18"/>
      <c r="K513" s="18"/>
      <c r="L513" s="88">
        <f>SUM(F513:K513)</f>
        <v>1524528.8599999999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1695722.0300000003</v>
      </c>
      <c r="G514" s="108">
        <f t="shared" ref="G514:L514" si="35">SUM(G511:G513)</f>
        <v>1292812.8699999999</v>
      </c>
      <c r="H514" s="108">
        <f t="shared" si="35"/>
        <v>1045314.3400000001</v>
      </c>
      <c r="I514" s="108">
        <f t="shared" si="35"/>
        <v>9845.58</v>
      </c>
      <c r="J514" s="108">
        <f t="shared" si="35"/>
        <v>0</v>
      </c>
      <c r="K514" s="108">
        <f t="shared" si="35"/>
        <v>0</v>
      </c>
      <c r="L514" s="89">
        <f t="shared" si="35"/>
        <v>4043694.82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125307.39</v>
      </c>
      <c r="G516" s="18">
        <v>51286.39</v>
      </c>
      <c r="H516" s="18">
        <v>98892.3</v>
      </c>
      <c r="I516" s="18">
        <v>1666.12</v>
      </c>
      <c r="J516" s="18">
        <v>184</v>
      </c>
      <c r="K516" s="18"/>
      <c r="L516" s="88">
        <f>SUM(F516:K516)</f>
        <v>277336.2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97589.81</v>
      </c>
      <c r="G517" s="18">
        <v>34404.080000000002</v>
      </c>
      <c r="H517" s="18">
        <v>31802.39</v>
      </c>
      <c r="I517" s="18">
        <v>357.03</v>
      </c>
      <c r="J517" s="18">
        <v>1878.99</v>
      </c>
      <c r="K517" s="18"/>
      <c r="L517" s="88">
        <f>SUM(F517:K517)</f>
        <v>166032.30000000002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48836.03</v>
      </c>
      <c r="G518" s="18">
        <v>21977.48</v>
      </c>
      <c r="H518" s="18">
        <v>58656.41</v>
      </c>
      <c r="I518" s="18">
        <v>1068.6199999999999</v>
      </c>
      <c r="J518" s="18"/>
      <c r="K518" s="18"/>
      <c r="L518" s="88">
        <f>SUM(F518:K518)</f>
        <v>130538.54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271733.23</v>
      </c>
      <c r="G519" s="89">
        <f t="shared" ref="G519:L519" si="36">SUM(G516:G518)</f>
        <v>107667.95</v>
      </c>
      <c r="H519" s="89">
        <f t="shared" si="36"/>
        <v>189351.1</v>
      </c>
      <c r="I519" s="89">
        <f t="shared" si="36"/>
        <v>3091.7699999999995</v>
      </c>
      <c r="J519" s="89">
        <f t="shared" si="36"/>
        <v>2062.9899999999998</v>
      </c>
      <c r="K519" s="89">
        <f t="shared" si="36"/>
        <v>0</v>
      </c>
      <c r="L519" s="89">
        <f t="shared" si="36"/>
        <v>573907.04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61949.18</v>
      </c>
      <c r="G521" s="18">
        <v>25501.16</v>
      </c>
      <c r="H521" s="18">
        <v>1522.61</v>
      </c>
      <c r="I521" s="18"/>
      <c r="J521" s="18"/>
      <c r="K521" s="18"/>
      <c r="L521" s="88">
        <f>SUM(F521:K521)</f>
        <v>88972.95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24261.4</v>
      </c>
      <c r="G522" s="18">
        <v>13330.2</v>
      </c>
      <c r="H522" s="18">
        <v>1200.78</v>
      </c>
      <c r="I522" s="18"/>
      <c r="J522" s="18"/>
      <c r="K522" s="18"/>
      <c r="L522" s="88">
        <f>SUM(F522:K522)</f>
        <v>38792.380000000005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22975.42</v>
      </c>
      <c r="G523" s="18">
        <v>19126.04</v>
      </c>
      <c r="H523" s="18">
        <v>1664.83</v>
      </c>
      <c r="I523" s="18"/>
      <c r="J523" s="18"/>
      <c r="K523" s="18"/>
      <c r="L523" s="88">
        <f>SUM(F523:K523)</f>
        <v>43766.29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109186</v>
      </c>
      <c r="G524" s="89">
        <f t="shared" ref="G524:L524" si="37">SUM(G521:G523)</f>
        <v>57957.4</v>
      </c>
      <c r="H524" s="89">
        <f t="shared" si="37"/>
        <v>4388.2199999999993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171531.62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170294.06</v>
      </c>
      <c r="I531" s="18"/>
      <c r="J531" s="18"/>
      <c r="K531" s="18"/>
      <c r="L531" s="88">
        <f>SUM(F531:K531)</f>
        <v>170294.06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60987.61</v>
      </c>
      <c r="I532" s="18"/>
      <c r="J532" s="18"/>
      <c r="K532" s="18"/>
      <c r="L532" s="88">
        <f>SUM(F532:K532)</f>
        <v>60987.61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162259.49</v>
      </c>
      <c r="I533" s="18"/>
      <c r="J533" s="18"/>
      <c r="K533" s="18"/>
      <c r="L533" s="88">
        <f>SUM(F533:K533)</f>
        <v>162259.49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393541.16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393541.16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2076641.2600000002</v>
      </c>
      <c r="G535" s="89">
        <f t="shared" ref="G535:L535" si="40">G514+G519+G524+G529+G534</f>
        <v>1458438.2199999997</v>
      </c>
      <c r="H535" s="89">
        <f t="shared" si="40"/>
        <v>1632594.82</v>
      </c>
      <c r="I535" s="89">
        <f t="shared" si="40"/>
        <v>12937.349999999999</v>
      </c>
      <c r="J535" s="89">
        <f t="shared" si="40"/>
        <v>2062.9899999999998</v>
      </c>
      <c r="K535" s="89">
        <f t="shared" si="40"/>
        <v>0</v>
      </c>
      <c r="L535" s="89">
        <f t="shared" si="40"/>
        <v>5182674.6399999997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1666717.15</v>
      </c>
      <c r="G539" s="87">
        <f>L516</f>
        <v>277336.2</v>
      </c>
      <c r="H539" s="87">
        <f>L521</f>
        <v>88972.95</v>
      </c>
      <c r="I539" s="87">
        <f>L526</f>
        <v>0</v>
      </c>
      <c r="J539" s="87">
        <f>L531</f>
        <v>170294.06</v>
      </c>
      <c r="K539" s="87">
        <f>SUM(F539:J539)</f>
        <v>2203320.36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852448.81</v>
      </c>
      <c r="G540" s="87">
        <f>L517</f>
        <v>166032.30000000002</v>
      </c>
      <c r="H540" s="87">
        <f>L522</f>
        <v>38792.380000000005</v>
      </c>
      <c r="I540" s="87">
        <f>L527</f>
        <v>0</v>
      </c>
      <c r="J540" s="87">
        <f>L532</f>
        <v>60987.61</v>
      </c>
      <c r="K540" s="87">
        <f>SUM(F540:J540)</f>
        <v>1118261.1000000003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1524528.8599999999</v>
      </c>
      <c r="G541" s="87">
        <f>L518</f>
        <v>130538.54</v>
      </c>
      <c r="H541" s="87">
        <f>L523</f>
        <v>43766.29</v>
      </c>
      <c r="I541" s="87">
        <f>L528</f>
        <v>0</v>
      </c>
      <c r="J541" s="87">
        <f>L533</f>
        <v>162259.49</v>
      </c>
      <c r="K541" s="87">
        <f>SUM(F541:J541)</f>
        <v>1861093.18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4043694.82</v>
      </c>
      <c r="G542" s="89">
        <f t="shared" si="41"/>
        <v>573907.04</v>
      </c>
      <c r="H542" s="89">
        <f t="shared" si="41"/>
        <v>171531.62</v>
      </c>
      <c r="I542" s="89">
        <f t="shared" si="41"/>
        <v>0</v>
      </c>
      <c r="J542" s="89">
        <f t="shared" si="41"/>
        <v>393541.16</v>
      </c>
      <c r="K542" s="89">
        <f t="shared" si="41"/>
        <v>5182674.6399999997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295405.46000000002</v>
      </c>
      <c r="G572" s="18">
        <v>109611.5</v>
      </c>
      <c r="H572" s="18">
        <f>630158.26+97094.06+16727.06</f>
        <v>743979.38000000012</v>
      </c>
      <c r="I572" s="87">
        <f t="shared" si="46"/>
        <v>1148996.3400000001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18566.98</v>
      </c>
      <c r="I574" s="87">
        <f t="shared" si="46"/>
        <v>18566.98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403533.03</v>
      </c>
      <c r="I581" s="18">
        <v>199601.85</v>
      </c>
      <c r="J581" s="18">
        <v>317545.74</v>
      </c>
      <c r="K581" s="104">
        <f t="shared" ref="K581:K587" si="47">SUM(H581:J581)</f>
        <v>920680.62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170294.06</v>
      </c>
      <c r="I582" s="18">
        <v>60987.61</v>
      </c>
      <c r="J582" s="18">
        <v>162259.49</v>
      </c>
      <c r="K582" s="104">
        <f t="shared" si="47"/>
        <v>393541.16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34885.08</v>
      </c>
      <c r="K583" s="104">
        <f t="shared" si="47"/>
        <v>34885.08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2817.3</v>
      </c>
      <c r="I584" s="18">
        <v>11272.85</v>
      </c>
      <c r="J584" s="18">
        <v>39439.550000000003</v>
      </c>
      <c r="K584" s="104">
        <f t="shared" si="47"/>
        <v>53529.700000000004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22169.25</v>
      </c>
      <c r="I585" s="18">
        <v>5565.6</v>
      </c>
      <c r="J585" s="18">
        <v>6434.45</v>
      </c>
      <c r="K585" s="104">
        <f t="shared" si="47"/>
        <v>34169.299999999996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598813.64000000013</v>
      </c>
      <c r="I588" s="108">
        <f>SUM(I581:I587)</f>
        <v>277427.90999999997</v>
      </c>
      <c r="J588" s="108">
        <f>SUM(J581:J587)</f>
        <v>560564.30999999994</v>
      </c>
      <c r="K588" s="108">
        <f>SUM(K581:K587)</f>
        <v>1436805.86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41570.37-1478.96</f>
        <v>40091.410000000003</v>
      </c>
      <c r="I594" s="18">
        <f>40607.6-31</f>
        <v>40576.6</v>
      </c>
      <c r="J594" s="18">
        <f>63085.46-1018</f>
        <v>62067.46</v>
      </c>
      <c r="K594" s="104">
        <f>SUM(H594:J594)</f>
        <v>142735.47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40091.410000000003</v>
      </c>
      <c r="I595" s="108">
        <f>SUM(I592:I594)</f>
        <v>40576.6</v>
      </c>
      <c r="J595" s="108">
        <f>SUM(J592:J594)</f>
        <v>62067.46</v>
      </c>
      <c r="K595" s="108">
        <f>SUM(K592:K594)</f>
        <v>142735.47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37542.11</f>
        <v>37542.11</v>
      </c>
      <c r="G601" s="18">
        <f>5989.76</f>
        <v>5989.76</v>
      </c>
      <c r="H601" s="18"/>
      <c r="I601" s="18">
        <v>73.03</v>
      </c>
      <c r="J601" s="18"/>
      <c r="K601" s="18"/>
      <c r="L601" s="88">
        <f>SUM(F601:K601)</f>
        <v>43604.9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310.5</v>
      </c>
      <c r="G602" s="18">
        <f>47.01</f>
        <v>47.01</v>
      </c>
      <c r="H602" s="18"/>
      <c r="I602" s="18">
        <v>236.57</v>
      </c>
      <c r="J602" s="18"/>
      <c r="K602" s="18"/>
      <c r="L602" s="88">
        <f>SUM(F602:K602)</f>
        <v>594.07999999999993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3060</v>
      </c>
      <c r="G603" s="18">
        <f>512.76</f>
        <v>512.76</v>
      </c>
      <c r="H603" s="18"/>
      <c r="I603" s="18"/>
      <c r="J603" s="18"/>
      <c r="K603" s="18"/>
      <c r="L603" s="88">
        <f>SUM(F603:K603)</f>
        <v>3572.76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40912.61</v>
      </c>
      <c r="G604" s="108">
        <f t="shared" si="48"/>
        <v>6549.5300000000007</v>
      </c>
      <c r="H604" s="108">
        <f t="shared" si="48"/>
        <v>0</v>
      </c>
      <c r="I604" s="108">
        <f t="shared" si="48"/>
        <v>309.60000000000002</v>
      </c>
      <c r="J604" s="108">
        <f t="shared" si="48"/>
        <v>0</v>
      </c>
      <c r="K604" s="108">
        <f t="shared" si="48"/>
        <v>0</v>
      </c>
      <c r="L604" s="89">
        <f t="shared" si="48"/>
        <v>47771.740000000005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798951.12</v>
      </c>
      <c r="H607" s="109">
        <f>SUM(F44)</f>
        <v>798951.12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133222.32</v>
      </c>
      <c r="H608" s="109">
        <f>SUM(G44)</f>
        <v>133222.32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306346.05000000005</v>
      </c>
      <c r="H609" s="109">
        <f>SUM(H44)</f>
        <v>306346.05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2657078</v>
      </c>
      <c r="H610" s="109">
        <f>SUM(I44)</f>
        <v>2657078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255159</v>
      </c>
      <c r="H611" s="109">
        <f>SUM(J44)</f>
        <v>255159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682570.38</v>
      </c>
      <c r="H612" s="109">
        <f>F466</f>
        <v>682570.37999999151</v>
      </c>
      <c r="I612" s="121" t="s">
        <v>106</v>
      </c>
      <c r="J612" s="109">
        <f t="shared" ref="J612:J645" si="49">G612-H612</f>
        <v>8.4983184933662415E-9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125582.9</v>
      </c>
      <c r="H613" s="109">
        <f>G466</f>
        <v>125582.89999999991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20124.669999999998</v>
      </c>
      <c r="H614" s="109">
        <f>H466</f>
        <v>20124.669999999925</v>
      </c>
      <c r="I614" s="121" t="s">
        <v>110</v>
      </c>
      <c r="J614" s="109">
        <f t="shared" si="49"/>
        <v>7.2759576141834259E-11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2657078</v>
      </c>
      <c r="H615" s="109">
        <f>I466</f>
        <v>2657078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119492</v>
      </c>
      <c r="H616" s="109">
        <f>J466</f>
        <v>119492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20404678.419999998</v>
      </c>
      <c r="H617" s="104">
        <f>SUM(F458)</f>
        <v>20404678.419999998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617743.19999999995</v>
      </c>
      <c r="H618" s="104">
        <f>SUM(G458)</f>
        <v>617743.19999999995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1405990.1199999999</v>
      </c>
      <c r="H619" s="104">
        <f>SUM(H458)</f>
        <v>1405990.1199999999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20668670.350000001</v>
      </c>
      <c r="H622" s="104">
        <f>SUM(F462)</f>
        <v>20668670.350000005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1396033.2799999998</v>
      </c>
      <c r="H623" s="104">
        <f>SUM(H462)</f>
        <v>1396033.28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246590.5</v>
      </c>
      <c r="H624" s="104">
        <f>I361</f>
        <v>246590.50000000003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627078.51</v>
      </c>
      <c r="H625" s="104">
        <f>SUM(G462)</f>
        <v>627078.51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2000</v>
      </c>
      <c r="H628" s="164">
        <f>SUM(J462)</f>
        <v>2000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255159</v>
      </c>
      <c r="H630" s="104">
        <f>SUM(G451)</f>
        <v>255159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255159</v>
      </c>
      <c r="H632" s="104">
        <f>SUM(I451)</f>
        <v>255159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1436805.86</v>
      </c>
      <c r="H637" s="104">
        <f>L200+L218+L236</f>
        <v>1436805.86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142735.47</v>
      </c>
      <c r="H638" s="104">
        <f>(J249+J330)-(J247+J328)</f>
        <v>142735.47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598813.64</v>
      </c>
      <c r="H639" s="104">
        <f>H588</f>
        <v>598813.64000000013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277427.90999999997</v>
      </c>
      <c r="H640" s="104">
        <f>I588</f>
        <v>277427.90999999997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560564.31000000006</v>
      </c>
      <c r="H641" s="104">
        <f>J588</f>
        <v>560564.30999999994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50000</v>
      </c>
      <c r="H642" s="104">
        <f>K255+K337</f>
        <v>50000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10028642.890000001</v>
      </c>
      <c r="G650" s="19">
        <f>(L221+L301+L351)</f>
        <v>4800852.0399999991</v>
      </c>
      <c r="H650" s="19">
        <f>(L239+L320+L352)</f>
        <v>7812287.209999999</v>
      </c>
      <c r="I650" s="19">
        <f>SUM(F650:H650)</f>
        <v>22641782.140000001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83561.607796350407</v>
      </c>
      <c r="G651" s="19">
        <f>(L351/IF(SUM(L350:L352)=0,1,SUM(L350:L352))*(SUM(G89:G102)))</f>
        <v>50882.664442657435</v>
      </c>
      <c r="H651" s="19">
        <f>(L352/IF(SUM(L350:L352)=0,1,SUM(L350:L352))*(SUM(G89:G102)))</f>
        <v>139921.66776099216</v>
      </c>
      <c r="I651" s="19">
        <f>SUM(F651:H651)</f>
        <v>274365.94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598813.64</v>
      </c>
      <c r="G652" s="19">
        <f>(L218+L298)-(J218+J298)</f>
        <v>277427.90999999997</v>
      </c>
      <c r="H652" s="19">
        <f>(L236+L317)-(J236+J317)</f>
        <v>566301.28</v>
      </c>
      <c r="I652" s="19">
        <f>SUM(F652:H652)</f>
        <v>1442542.83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379101.77</v>
      </c>
      <c r="G653" s="200">
        <f>SUM(G565:G577)+SUM(I592:I594)+L602</f>
        <v>150782.18</v>
      </c>
      <c r="H653" s="200">
        <f>SUM(H565:H577)+SUM(J592:J594)+L603</f>
        <v>828186.58000000007</v>
      </c>
      <c r="I653" s="19">
        <f>SUM(F653:H653)</f>
        <v>1358070.53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8967165.87220365</v>
      </c>
      <c r="G654" s="19">
        <f>G650-SUM(G651:G653)</f>
        <v>4321759.2855573418</v>
      </c>
      <c r="H654" s="19">
        <f>H650-SUM(H651:H653)</f>
        <v>6277877.6822390072</v>
      </c>
      <c r="I654" s="19">
        <f>I650-SUM(I651:I653)</f>
        <v>19566802.84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533.75</v>
      </c>
      <c r="G655" s="249">
        <v>295.25</v>
      </c>
      <c r="H655" s="249">
        <v>433.81</v>
      </c>
      <c r="I655" s="19">
        <f>SUM(F655:H655)</f>
        <v>1262.81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16800.310000000001</v>
      </c>
      <c r="G657" s="19">
        <f>ROUND(G654/G655,2)</f>
        <v>14637.63</v>
      </c>
      <c r="H657" s="19">
        <f>ROUND(H654/H655,2)</f>
        <v>14471.49</v>
      </c>
      <c r="I657" s="19">
        <f>ROUND(I654/I655,2)</f>
        <v>15494.65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-5.04</v>
      </c>
      <c r="I660" s="19">
        <f>SUM(F660:H660)</f>
        <v>-5.04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16800.310000000001</v>
      </c>
      <c r="G662" s="19">
        <f>ROUND((G654+G659)/(G655+G660),2)</f>
        <v>14637.63</v>
      </c>
      <c r="H662" s="19">
        <f>ROUND((H654+H659)/(H655+H660),2)</f>
        <v>14641.6</v>
      </c>
      <c r="I662" s="19">
        <f>ROUND((I654+I659)/(I655+I660),2)</f>
        <v>15556.74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123A-AEE0-4FBA-A5A9-B52A97B1FB82}">
  <sheetPr>
    <tabColor indexed="20"/>
  </sheetPr>
  <dimension ref="A1:C52"/>
  <sheetViews>
    <sheetView workbookViewId="0">
      <selection activeCell="C36" sqref="C3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Newfound Area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6185198.9799999995</v>
      </c>
      <c r="C9" s="230">
        <f>'DOE25'!G189+'DOE25'!G207+'DOE25'!G225+'DOE25'!G268+'DOE25'!G287+'DOE25'!G306</f>
        <v>2584042.1</v>
      </c>
    </row>
    <row r="10" spans="1:3" x14ac:dyDescent="0.2">
      <c r="A10" t="s">
        <v>810</v>
      </c>
      <c r="B10" s="241">
        <f>6185198.98-B11</f>
        <v>5724732.3100000005</v>
      </c>
      <c r="C10" s="241">
        <f>2584042.1-C11</f>
        <v>2384042.1</v>
      </c>
    </row>
    <row r="11" spans="1:3" x14ac:dyDescent="0.2">
      <c r="A11" t="s">
        <v>811</v>
      </c>
      <c r="B11" s="241">
        <v>460466.67</v>
      </c>
      <c r="C11" s="241">
        <v>200000</v>
      </c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6185198.9800000004</v>
      </c>
      <c r="C13" s="232">
        <f>SUM(C10:C12)</f>
        <v>2584042.1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1859874.2700000005</v>
      </c>
      <c r="C18" s="230">
        <f>'DOE25'!G190+'DOE25'!G208+'DOE25'!G226+'DOE25'!G269+'DOE25'!G288+'DOE25'!G307</f>
        <v>1376100.6400000001</v>
      </c>
    </row>
    <row r="19" spans="1:3" x14ac:dyDescent="0.2">
      <c r="A19" t="s">
        <v>810</v>
      </c>
      <c r="B19" s="241">
        <f>1859874.27-B20-B21</f>
        <v>791669.07000000007</v>
      </c>
      <c r="C19" s="241">
        <f>1376100.64-C20-C21</f>
        <v>626100.6399999999</v>
      </c>
    </row>
    <row r="20" spans="1:3" x14ac:dyDescent="0.2">
      <c r="A20" t="s">
        <v>811</v>
      </c>
      <c r="B20" s="241">
        <v>1068205.2</v>
      </c>
      <c r="C20" s="241">
        <v>750000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1859874.27</v>
      </c>
      <c r="C22" s="232">
        <f>SUM(C19:C21)</f>
        <v>1376100.64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413816.95999999996</v>
      </c>
      <c r="C36" s="236">
        <f>'DOE25'!G192+'DOE25'!G210+'DOE25'!G228+'DOE25'!G271+'DOE25'!G290+'DOE25'!G309</f>
        <v>60946.68</v>
      </c>
    </row>
    <row r="37" spans="1:3" x14ac:dyDescent="0.2">
      <c r="A37" t="s">
        <v>810</v>
      </c>
      <c r="B37" s="241">
        <f>413816.96-B38-B39</f>
        <v>413816.96</v>
      </c>
      <c r="C37" s="241">
        <f>60946.68-C38-C39</f>
        <v>60946.68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413816.96</v>
      </c>
      <c r="C40" s="232">
        <f>SUM(C37:C39)</f>
        <v>60946.68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972E-B74D-4E40-867E-28BABF27FBBB}">
  <sheetPr>
    <tabColor indexed="11"/>
  </sheetPr>
  <dimension ref="A1:I51"/>
  <sheetViews>
    <sheetView workbookViewId="0">
      <pane ySplit="4" topLeftCell="A5" activePane="bottomLeft" state="frozen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Newfound Area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13193458.91</v>
      </c>
      <c r="D5" s="20">
        <f>SUM('DOE25'!L189:L192)+SUM('DOE25'!L207:L210)+SUM('DOE25'!L225:L228)-F5-G5</f>
        <v>13104706.949999999</v>
      </c>
      <c r="E5" s="244"/>
      <c r="F5" s="256">
        <f>SUM('DOE25'!J189:J192)+SUM('DOE25'!J207:J210)+SUM('DOE25'!J225:J228)</f>
        <v>24540.58</v>
      </c>
      <c r="G5" s="53">
        <f>SUM('DOE25'!K189:K192)+SUM('DOE25'!K207:K210)+SUM('DOE25'!K225:K228)</f>
        <v>64211.380000000005</v>
      </c>
      <c r="H5" s="260"/>
    </row>
    <row r="6" spans="1:9" x14ac:dyDescent="0.2">
      <c r="A6" s="32">
        <v>2100</v>
      </c>
      <c r="B6" t="s">
        <v>832</v>
      </c>
      <c r="C6" s="246">
        <f t="shared" si="0"/>
        <v>1765463.45</v>
      </c>
      <c r="D6" s="20">
        <f>'DOE25'!L194+'DOE25'!L212+'DOE25'!L230-F6-G6</f>
        <v>1761515.63</v>
      </c>
      <c r="E6" s="244"/>
      <c r="F6" s="256">
        <f>'DOE25'!J194+'DOE25'!J212+'DOE25'!J230</f>
        <v>3867.8199999999997</v>
      </c>
      <c r="G6" s="53">
        <f>'DOE25'!K194+'DOE25'!K212+'DOE25'!K230</f>
        <v>80</v>
      </c>
      <c r="H6" s="260"/>
    </row>
    <row r="7" spans="1:9" x14ac:dyDescent="0.2">
      <c r="A7" s="32">
        <v>2200</v>
      </c>
      <c r="B7" t="s">
        <v>865</v>
      </c>
      <c r="C7" s="246">
        <f t="shared" si="0"/>
        <v>718151.85</v>
      </c>
      <c r="D7" s="20">
        <f>'DOE25'!L195+'DOE25'!L213+'DOE25'!L231-F7-G7</f>
        <v>479293.15999999992</v>
      </c>
      <c r="E7" s="244"/>
      <c r="F7" s="256">
        <f>'DOE25'!J195+'DOE25'!J213+'DOE25'!J231</f>
        <v>105971.42</v>
      </c>
      <c r="G7" s="53">
        <f>'DOE25'!K195+'DOE25'!K213+'DOE25'!K231</f>
        <v>132887.26999999999</v>
      </c>
      <c r="H7" s="260"/>
    </row>
    <row r="8" spans="1:9" x14ac:dyDescent="0.2">
      <c r="A8" s="32">
        <v>2300</v>
      </c>
      <c r="B8" t="s">
        <v>833</v>
      </c>
      <c r="C8" s="246">
        <f t="shared" si="0"/>
        <v>782757.3600000001</v>
      </c>
      <c r="D8" s="244"/>
      <c r="E8" s="20">
        <f>'DOE25'!L196+'DOE25'!L214+'DOE25'!L232-F8-G8-D9-D11</f>
        <v>762555.96000000008</v>
      </c>
      <c r="F8" s="256">
        <f>'DOE25'!J196+'DOE25'!J214+'DOE25'!J232</f>
        <v>4444.74</v>
      </c>
      <c r="G8" s="53">
        <f>'DOE25'!K196+'DOE25'!K214+'DOE25'!K232</f>
        <v>15756.66</v>
      </c>
      <c r="H8" s="260"/>
    </row>
    <row r="9" spans="1:9" x14ac:dyDescent="0.2">
      <c r="A9" s="32">
        <v>2310</v>
      </c>
      <c r="B9" t="s">
        <v>849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1148200.6099999999</v>
      </c>
      <c r="D12" s="20">
        <f>'DOE25'!L197+'DOE25'!L215+'DOE25'!L233-F12-G12</f>
        <v>1130387.1399999999</v>
      </c>
      <c r="E12" s="244"/>
      <c r="F12" s="256">
        <f>'DOE25'!J197+'DOE25'!J215+'DOE25'!J233</f>
        <v>189</v>
      </c>
      <c r="G12" s="53">
        <f>'DOE25'!K197+'DOE25'!K215+'DOE25'!K233</f>
        <v>17624.47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1482483.83</v>
      </c>
      <c r="D14" s="20">
        <f>'DOE25'!L199+'DOE25'!L217+'DOE25'!L235-F14-G14</f>
        <v>1478761.9200000002</v>
      </c>
      <c r="E14" s="244"/>
      <c r="F14" s="256">
        <f>'DOE25'!J199+'DOE25'!J217+'DOE25'!J235</f>
        <v>3721.91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1436805.86</v>
      </c>
      <c r="D15" s="20">
        <f>'DOE25'!L200+'DOE25'!L218+'DOE25'!L236-F15-G15</f>
        <v>1436805.86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91348.479999999996</v>
      </c>
      <c r="D16" s="244"/>
      <c r="E16" s="20">
        <f>'DOE25'!L201+'DOE25'!L219+'DOE25'!L237-F16-G16</f>
        <v>91348.479999999996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380879.92</v>
      </c>
      <c r="D29" s="20">
        <f>'DOE25'!L350+'DOE25'!L351+'DOE25'!L352-'DOE25'!I359-F29-G29</f>
        <v>375398.00999999995</v>
      </c>
      <c r="E29" s="244"/>
      <c r="F29" s="256">
        <f>'DOE25'!J350+'DOE25'!J351+'DOE25'!J352</f>
        <v>2527.96</v>
      </c>
      <c r="G29" s="53">
        <f>'DOE25'!K350+'DOE25'!K351+'DOE25'!K352</f>
        <v>2953.95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1396033.2799999998</v>
      </c>
      <c r="D31" s="20">
        <f>'DOE25'!L282+'DOE25'!L301+'DOE25'!L320+'DOE25'!L325+'DOE25'!L326+'DOE25'!L327-F31-G31</f>
        <v>1374309.14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21724.14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21141177.810000002</v>
      </c>
      <c r="E33" s="247">
        <f>SUM(E5:E31)</f>
        <v>853904.44000000006</v>
      </c>
      <c r="F33" s="247">
        <f>SUM(F5:F31)</f>
        <v>145263.43</v>
      </c>
      <c r="G33" s="247">
        <f>SUM(G5:G31)</f>
        <v>255237.87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853904.44000000006</v>
      </c>
      <c r="E35" s="250"/>
    </row>
    <row r="36" spans="2:8" ht="12" thickTop="1" x14ac:dyDescent="0.2">
      <c r="B36" t="s">
        <v>846</v>
      </c>
      <c r="D36" s="20">
        <f>D33</f>
        <v>21141177.810000002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N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C2D-6098-4DA1-8EE8-2164A256F698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Newfound Area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674279.17</v>
      </c>
      <c r="D9" s="95">
        <f>'DOE25'!G9</f>
        <v>55241.86</v>
      </c>
      <c r="E9" s="95">
        <f>'DOE25'!H9</f>
        <v>0</v>
      </c>
      <c r="F9" s="95">
        <f>'DOE25'!I9</f>
        <v>0</v>
      </c>
      <c r="G9" s="95">
        <f>'DOE25'!J9</f>
        <v>255159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35810.39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82163.19</v>
      </c>
      <c r="D12" s="95">
        <f>'DOE25'!G12</f>
        <v>31697.02</v>
      </c>
      <c r="E12" s="95">
        <f>'DOE25'!H12</f>
        <v>5515.52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6424.55</v>
      </c>
      <c r="D13" s="95">
        <f>'DOE25'!G13</f>
        <v>46283.44</v>
      </c>
      <c r="E13" s="95">
        <f>'DOE25'!H13</f>
        <v>300830.53000000003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273.82</v>
      </c>
      <c r="D14" s="95">
        <f>'DOE25'!G14</f>
        <v>0</v>
      </c>
      <c r="E14" s="95">
        <f>'DOE25'!H14</f>
        <v>0</v>
      </c>
      <c r="F14" s="95">
        <f>'DOE25'!I14</f>
        <v>2657078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798951.12</v>
      </c>
      <c r="D19" s="41">
        <f>SUM(D9:D18)</f>
        <v>133222.32</v>
      </c>
      <c r="E19" s="41">
        <f>SUM(E9:E18)</f>
        <v>306346.05000000005</v>
      </c>
      <c r="F19" s="41">
        <f>SUM(F9:F18)</f>
        <v>2657078</v>
      </c>
      <c r="G19" s="41">
        <f>SUM(G9:G18)</f>
        <v>255159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119375.73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46326.76</v>
      </c>
      <c r="D24" s="95">
        <f>'DOE25'!G25</f>
        <v>0</v>
      </c>
      <c r="E24" s="95">
        <f>'DOE25'!H25</f>
        <v>10140.5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70053.98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151966.51999999999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7639.42</v>
      </c>
      <c r="E31" s="95">
        <f>'DOE25'!H32</f>
        <v>4738.63</v>
      </c>
      <c r="F31" s="95">
        <f>'DOE25'!I32</f>
        <v>0</v>
      </c>
      <c r="G31" s="95">
        <f>'DOE25'!J32</f>
        <v>135667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116380.73999999999</v>
      </c>
      <c r="D32" s="41">
        <f>SUM(D22:D31)</f>
        <v>7639.42</v>
      </c>
      <c r="E32" s="41">
        <f>SUM(E22:E31)</f>
        <v>286221.38</v>
      </c>
      <c r="F32" s="41">
        <f>SUM(F22:F31)</f>
        <v>0</v>
      </c>
      <c r="G32" s="41">
        <f>SUM(G22:G31)</f>
        <v>135667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125582.9</v>
      </c>
      <c r="E40" s="95">
        <f>'DOE25'!H41</f>
        <v>20124.669999999998</v>
      </c>
      <c r="F40" s="95">
        <f>'DOE25'!I41</f>
        <v>2657078</v>
      </c>
      <c r="G40" s="95">
        <f>'DOE25'!J41</f>
        <v>119492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682570.38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682570.38</v>
      </c>
      <c r="D42" s="41">
        <f>SUM(D34:D41)</f>
        <v>125582.9</v>
      </c>
      <c r="E42" s="41">
        <f>SUM(E34:E41)</f>
        <v>20124.669999999998</v>
      </c>
      <c r="F42" s="41">
        <f>SUM(F34:F41)</f>
        <v>2657078</v>
      </c>
      <c r="G42" s="41">
        <f>SUM(G34:G41)</f>
        <v>119492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798951.12</v>
      </c>
      <c r="D43" s="41">
        <f>D42+D32</f>
        <v>133222.32</v>
      </c>
      <c r="E43" s="41">
        <f>E42+E32</f>
        <v>306346.05</v>
      </c>
      <c r="F43" s="41">
        <f>F42+F32</f>
        <v>2657078</v>
      </c>
      <c r="G43" s="41">
        <f>G42+G32</f>
        <v>255159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11667151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84171.42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5859.28</v>
      </c>
      <c r="D51" s="95">
        <f>'DOE25'!G88</f>
        <v>201.77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274365.94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101654.81</v>
      </c>
      <c r="D53" s="95">
        <f>SUM('DOE25'!G90:G102)</f>
        <v>0</v>
      </c>
      <c r="E53" s="95">
        <f>SUM('DOE25'!H90:H102)</f>
        <v>21394.23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191685.51</v>
      </c>
      <c r="D54" s="130">
        <f>SUM(D49:D53)</f>
        <v>274567.71000000002</v>
      </c>
      <c r="E54" s="130">
        <f>SUM(E49:E53)</f>
        <v>21394.23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11858836.51</v>
      </c>
      <c r="D55" s="22">
        <f>D48+D54</f>
        <v>274567.71000000002</v>
      </c>
      <c r="E55" s="22">
        <f>E48+E54</f>
        <v>21394.23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3654237.83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4267907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132538.17000000001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62990.85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8117673.8499999996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341.73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59552.47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8257.89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14700</v>
      </c>
      <c r="D69" s="95">
        <f>SUM('DOE25'!G123:G127)</f>
        <v>5917.54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82852.09</v>
      </c>
      <c r="D70" s="130">
        <f>SUM(D64:D69)</f>
        <v>5917.54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63456.43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8200525.9399999995</v>
      </c>
      <c r="D73" s="130">
        <f>SUM(D71:D72)+D70+D62</f>
        <v>5917.54</v>
      </c>
      <c r="E73" s="130">
        <f>SUM(E71:E72)+E70+E62</f>
        <v>63456.43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341861.96</v>
      </c>
      <c r="D80" s="95">
        <f>SUM('DOE25'!G145:G153)</f>
        <v>287257.95</v>
      </c>
      <c r="E80" s="95">
        <f>SUM('DOE25'!H145:H153)</f>
        <v>1321139.46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3454.01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345315.97000000003</v>
      </c>
      <c r="D83" s="131">
        <f>SUM(D77:D82)</f>
        <v>287257.95</v>
      </c>
      <c r="E83" s="131">
        <f>SUM(E77:E82)</f>
        <v>1321139.46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50000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50000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20404678.419999998</v>
      </c>
      <c r="D96" s="86">
        <f>D55+D73+D83+D95</f>
        <v>617743.19999999995</v>
      </c>
      <c r="E96" s="86">
        <f>E55+E73+E83+E95</f>
        <v>1405990.1199999999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8584303.0199999996</v>
      </c>
      <c r="D101" s="24" t="s">
        <v>312</v>
      </c>
      <c r="E101" s="95">
        <f>('DOE25'!L268)+('DOE25'!L287)+('DOE25'!L306)</f>
        <v>518640.55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4196214.62</v>
      </c>
      <c r="D102" s="24" t="s">
        <v>312</v>
      </c>
      <c r="E102" s="95">
        <f>('DOE25'!L269)+('DOE25'!L288)+('DOE25'!L307)</f>
        <v>215242.26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18566.98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394374.29000000004</v>
      </c>
      <c r="D104" s="24" t="s">
        <v>312</v>
      </c>
      <c r="E104" s="95">
        <f>+('DOE25'!L271)+('DOE25'!L290)+('DOE25'!L309)</f>
        <v>279921.58999999997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13193458.91</v>
      </c>
      <c r="D107" s="86">
        <f>SUM(D101:D106)</f>
        <v>0</v>
      </c>
      <c r="E107" s="86">
        <f>SUM(E101:E106)</f>
        <v>1013804.4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1765463.45</v>
      </c>
      <c r="D110" s="24" t="s">
        <v>312</v>
      </c>
      <c r="E110" s="95">
        <f>+('DOE25'!L273)+('DOE25'!L292)+('DOE25'!L311)</f>
        <v>199113.24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718151.85</v>
      </c>
      <c r="D111" s="24" t="s">
        <v>312</v>
      </c>
      <c r="E111" s="95">
        <f>+('DOE25'!L274)+('DOE25'!L293)+('DOE25'!L312)</f>
        <v>116620.67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782757.3600000001</v>
      </c>
      <c r="D112" s="24" t="s">
        <v>312</v>
      </c>
      <c r="E112" s="95">
        <f>+('DOE25'!L275)+('DOE25'!L294)+('DOE25'!L313)</f>
        <v>51483.87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1148200.6099999999</v>
      </c>
      <c r="D113" s="24" t="s">
        <v>312</v>
      </c>
      <c r="E113" s="95">
        <f>+('DOE25'!L276)+('DOE25'!L295)+('DOE25'!L314)</f>
        <v>9274.130000000001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1482483.83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1436805.86</v>
      </c>
      <c r="D116" s="24" t="s">
        <v>312</v>
      </c>
      <c r="E116" s="95">
        <f>+('DOE25'!L279)+('DOE25'!L298)+('DOE25'!L317)</f>
        <v>5736.97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91348.479999999996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627078.51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7425211.4400000004</v>
      </c>
      <c r="D120" s="86">
        <f>SUM(D110:D119)</f>
        <v>627078.51</v>
      </c>
      <c r="E120" s="86">
        <f>SUM(E110:E119)</f>
        <v>382228.87999999995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50000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50000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20668670.350000001</v>
      </c>
      <c r="D137" s="86">
        <f>(D107+D120+D136)</f>
        <v>627078.51</v>
      </c>
      <c r="E137" s="86">
        <f>(E107+E120+E136)</f>
        <v>1396033.28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7BEE-896D-4FED-BC3A-83EBF5EED745}">
  <sheetPr codeName="Sheet3">
    <tabColor indexed="43"/>
  </sheetPr>
  <dimension ref="A1:D42"/>
  <sheetViews>
    <sheetView topLeftCell="A16"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Newfound Area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16800</v>
      </c>
    </row>
    <row r="5" spans="1:4" x14ac:dyDescent="0.2">
      <c r="B5" t="s">
        <v>735</v>
      </c>
      <c r="C5" s="179">
        <f>IF('DOE25'!G655+'DOE25'!G660=0,0,ROUND('DOE25'!G662,0))</f>
        <v>14638</v>
      </c>
    </row>
    <row r="6" spans="1:4" x14ac:dyDescent="0.2">
      <c r="B6" t="s">
        <v>62</v>
      </c>
      <c r="C6" s="179">
        <f>IF('DOE25'!H655+'DOE25'!H660=0,0,ROUND('DOE25'!H662,0))</f>
        <v>14642</v>
      </c>
    </row>
    <row r="7" spans="1:4" x14ac:dyDescent="0.2">
      <c r="B7" t="s">
        <v>736</v>
      </c>
      <c r="C7" s="179">
        <f>IF('DOE25'!I655+'DOE25'!I660=0,0,ROUND('DOE25'!I662,0))</f>
        <v>15557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9102944</v>
      </c>
      <c r="D10" s="182">
        <f>ROUND((C10/$C$28)*100,1)</f>
        <v>40.700000000000003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4411457</v>
      </c>
      <c r="D11" s="182">
        <f>ROUND((C11/$C$28)*100,1)</f>
        <v>19.7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18567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674296</v>
      </c>
      <c r="D13" s="182">
        <f>ROUND((C13/$C$28)*100,1)</f>
        <v>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1964577</v>
      </c>
      <c r="D15" s="182">
        <f t="shared" ref="D15:D27" si="0">ROUND((C15/$C$28)*100,1)</f>
        <v>8.8000000000000007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834773</v>
      </c>
      <c r="D16" s="182">
        <f t="shared" si="0"/>
        <v>3.7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925590</v>
      </c>
      <c r="D17" s="182">
        <f t="shared" si="0"/>
        <v>4.0999999999999996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1157475</v>
      </c>
      <c r="D18" s="182">
        <f t="shared" si="0"/>
        <v>5.2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1482484</v>
      </c>
      <c r="D20" s="182">
        <f t="shared" si="0"/>
        <v>6.6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1442543</v>
      </c>
      <c r="D21" s="182">
        <f t="shared" si="0"/>
        <v>6.4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352713.06</v>
      </c>
      <c r="D27" s="182">
        <f t="shared" si="0"/>
        <v>1.6</v>
      </c>
    </row>
    <row r="28" spans="1:4" x14ac:dyDescent="0.2">
      <c r="B28" s="187" t="s">
        <v>754</v>
      </c>
      <c r="C28" s="180">
        <f>SUM(C10:C27)</f>
        <v>22367419.059999999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22367419.059999999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11667151</v>
      </c>
      <c r="D35" s="182">
        <f t="shared" ref="D35:D40" si="1">ROUND((C35/$C$41)*100,1)</f>
        <v>52.8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213281.51000000164</v>
      </c>
      <c r="D36" s="182">
        <f t="shared" si="1"/>
        <v>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8054683</v>
      </c>
      <c r="D37" s="182">
        <f t="shared" si="1"/>
        <v>36.4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215217</v>
      </c>
      <c r="D38" s="182">
        <f t="shared" si="1"/>
        <v>1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1953713</v>
      </c>
      <c r="D39" s="182">
        <f t="shared" si="1"/>
        <v>8.8000000000000007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22104045.510000002</v>
      </c>
      <c r="D41" s="184">
        <f>SUM(D35:D40)</f>
        <v>99.999999999999986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54D4-D6A8-4E82-B40D-A414AB4B2F2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Newfound Area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P39:CZ39"/>
    <mergeCell ref="BP39:BZ39"/>
    <mergeCell ref="CC39:CM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2011-08-25T13:48:28Z</cp:lastPrinted>
  <dcterms:created xsi:type="dcterms:W3CDTF">1997-12-04T19:04:30Z</dcterms:created>
  <dcterms:modified xsi:type="dcterms:W3CDTF">2025-01-10T20:14:41Z</dcterms:modified>
</cp:coreProperties>
</file>