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EFC9F10-5788-481E-A3BE-A79FD64DDDF2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C639CE2B-ED50-4712-9380-A6F3C541DFE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" l="1"/>
  <c r="F119" i="1"/>
  <c r="F128" i="1" s="1"/>
  <c r="F132" i="1" s="1"/>
  <c r="H13" i="1"/>
  <c r="E13" i="2" s="1"/>
  <c r="H268" i="1"/>
  <c r="H282" i="1" s="1"/>
  <c r="H30" i="1"/>
  <c r="E29" i="2" s="1"/>
  <c r="F42" i="1"/>
  <c r="F43" i="1" s="1"/>
  <c r="H189" i="1"/>
  <c r="F25" i="1"/>
  <c r="H190" i="1"/>
  <c r="H199" i="1"/>
  <c r="H532" i="1"/>
  <c r="H533" i="1"/>
  <c r="H534" i="1" s="1"/>
  <c r="H531" i="1"/>
  <c r="G518" i="1"/>
  <c r="L518" i="1" s="1"/>
  <c r="G541" i="1" s="1"/>
  <c r="H513" i="1"/>
  <c r="H512" i="1"/>
  <c r="H514" i="1" s="1"/>
  <c r="H511" i="1"/>
  <c r="I511" i="1"/>
  <c r="H516" i="1"/>
  <c r="J518" i="1"/>
  <c r="H518" i="1"/>
  <c r="I513" i="1"/>
  <c r="G513" i="1"/>
  <c r="F513" i="1"/>
  <c r="L513" i="1" s="1"/>
  <c r="F541" i="1" s="1"/>
  <c r="H517" i="1"/>
  <c r="I512" i="1"/>
  <c r="G512" i="1"/>
  <c r="G514" i="1" s="1"/>
  <c r="F512" i="1"/>
  <c r="L512" i="1" s="1"/>
  <c r="F540" i="1" s="1"/>
  <c r="J516" i="1"/>
  <c r="I516" i="1"/>
  <c r="I519" i="1" s="1"/>
  <c r="F516" i="1"/>
  <c r="L516" i="1" s="1"/>
  <c r="K511" i="1"/>
  <c r="J511" i="1"/>
  <c r="G511" i="1"/>
  <c r="F511" i="1"/>
  <c r="L511" i="1" s="1"/>
  <c r="F533" i="1"/>
  <c r="L533" i="1" s="1"/>
  <c r="J541" i="1" s="1"/>
  <c r="I532" i="1"/>
  <c r="G532" i="1"/>
  <c r="G534" i="1" s="1"/>
  <c r="F532" i="1"/>
  <c r="L532" i="1" s="1"/>
  <c r="F521" i="1"/>
  <c r="L521" i="1" s="1"/>
  <c r="B20" i="12"/>
  <c r="B21" i="12"/>
  <c r="B19" i="12"/>
  <c r="B22" i="12" s="1"/>
  <c r="B39" i="12"/>
  <c r="B37" i="12"/>
  <c r="B29" i="12"/>
  <c r="B28" i="12"/>
  <c r="B31" i="12" s="1"/>
  <c r="B12" i="12"/>
  <c r="B11" i="12"/>
  <c r="B10" i="12"/>
  <c r="B13" i="12" s="1"/>
  <c r="G237" i="1"/>
  <c r="L237" i="1" s="1"/>
  <c r="E16" i="13" s="1"/>
  <c r="C16" i="13" s="1"/>
  <c r="H94" i="1"/>
  <c r="H151" i="1"/>
  <c r="H148" i="1"/>
  <c r="H154" i="1" s="1"/>
  <c r="H161" i="1" s="1"/>
  <c r="H147" i="1"/>
  <c r="H146" i="1"/>
  <c r="I601" i="1"/>
  <c r="G603" i="1"/>
  <c r="G601" i="1"/>
  <c r="G604" i="1" s="1"/>
  <c r="F601" i="1"/>
  <c r="F604" i="1" s="1"/>
  <c r="F603" i="1"/>
  <c r="G602" i="1"/>
  <c r="L602" i="1" s="1"/>
  <c r="F29" i="1"/>
  <c r="F33" i="1" s="1"/>
  <c r="F9" i="1"/>
  <c r="I235" i="1"/>
  <c r="I217" i="1"/>
  <c r="H235" i="1"/>
  <c r="H217" i="1"/>
  <c r="L217" i="1" s="1"/>
  <c r="G235" i="1"/>
  <c r="L235" i="1" s="1"/>
  <c r="G217" i="1"/>
  <c r="F235" i="1"/>
  <c r="F217" i="1"/>
  <c r="H324" i="1"/>
  <c r="H329" i="1" s="1"/>
  <c r="L329" i="1" s="1"/>
  <c r="G309" i="1"/>
  <c r="L309" i="1" s="1"/>
  <c r="E104" i="2" s="1"/>
  <c r="E107" i="2" s="1"/>
  <c r="H306" i="1"/>
  <c r="H320" i="1" s="1"/>
  <c r="H293" i="1"/>
  <c r="H292" i="1"/>
  <c r="F292" i="1"/>
  <c r="G287" i="1"/>
  <c r="G275" i="1"/>
  <c r="G282" i="1" s="1"/>
  <c r="G330" i="1" s="1"/>
  <c r="G344" i="1" s="1"/>
  <c r="H273" i="1"/>
  <c r="G273" i="1"/>
  <c r="F273" i="1"/>
  <c r="L273" i="1" s="1"/>
  <c r="E110" i="2" s="1"/>
  <c r="J581" i="1"/>
  <c r="J588" i="1" s="1"/>
  <c r="H641" i="1" s="1"/>
  <c r="J583" i="1"/>
  <c r="K583" i="1" s="1"/>
  <c r="K588" i="1" s="1"/>
  <c r="G637" i="1" s="1"/>
  <c r="H568" i="1"/>
  <c r="H572" i="1"/>
  <c r="H565" i="1"/>
  <c r="F569" i="1"/>
  <c r="H207" i="1"/>
  <c r="J236" i="1"/>
  <c r="K233" i="1"/>
  <c r="K239" i="1" s="1"/>
  <c r="J233" i="1"/>
  <c r="F12" i="13" s="1"/>
  <c r="I233" i="1"/>
  <c r="H232" i="1"/>
  <c r="G232" i="1"/>
  <c r="G239" i="1" s="1"/>
  <c r="J231" i="1"/>
  <c r="F7" i="13" s="1"/>
  <c r="H228" i="1"/>
  <c r="K228" i="1"/>
  <c r="G5" i="13" s="1"/>
  <c r="I228" i="1"/>
  <c r="G225" i="1"/>
  <c r="F225" i="1"/>
  <c r="G219" i="1"/>
  <c r="J218" i="1"/>
  <c r="F15" i="13" s="1"/>
  <c r="H214" i="1"/>
  <c r="L214" i="1" s="1"/>
  <c r="G214" i="1"/>
  <c r="H213" i="1"/>
  <c r="H221" i="1" s="1"/>
  <c r="H249" i="1" s="1"/>
  <c r="H263" i="1" s="1"/>
  <c r="G207" i="1"/>
  <c r="G221" i="1" s="1"/>
  <c r="F207" i="1"/>
  <c r="F221" i="1" s="1"/>
  <c r="G201" i="1"/>
  <c r="J200" i="1"/>
  <c r="J199" i="1"/>
  <c r="L199" i="1" s="1"/>
  <c r="K197" i="1"/>
  <c r="I197" i="1"/>
  <c r="H196" i="1"/>
  <c r="G196" i="1"/>
  <c r="G203" i="1" s="1"/>
  <c r="J190" i="1"/>
  <c r="J203" i="1" s="1"/>
  <c r="G189" i="1"/>
  <c r="F189" i="1"/>
  <c r="F203" i="1" s="1"/>
  <c r="F249" i="1" s="1"/>
  <c r="F263" i="1" s="1"/>
  <c r="J88" i="1"/>
  <c r="G634" i="1" s="1"/>
  <c r="J634" i="1" s="1"/>
  <c r="G492" i="1"/>
  <c r="C155" i="2" s="1"/>
  <c r="G155" i="2" s="1"/>
  <c r="I352" i="1"/>
  <c r="L352" i="1" s="1"/>
  <c r="H360" i="1"/>
  <c r="H361" i="1" s="1"/>
  <c r="I351" i="1"/>
  <c r="G360" i="1"/>
  <c r="G361" i="1" s="1"/>
  <c r="I350" i="1"/>
  <c r="I354" i="1" s="1"/>
  <c r="G624" i="1" s="1"/>
  <c r="F360" i="1"/>
  <c r="I360" i="1" s="1"/>
  <c r="I361" i="1" s="1"/>
  <c r="H624" i="1" s="1"/>
  <c r="H352" i="1"/>
  <c r="H351" i="1"/>
  <c r="L351" i="1" s="1"/>
  <c r="H350" i="1"/>
  <c r="H354" i="1" s="1"/>
  <c r="G89" i="1"/>
  <c r="D52" i="2" s="1"/>
  <c r="D54" i="2" s="1"/>
  <c r="D55" i="2" s="1"/>
  <c r="D96" i="2" s="1"/>
  <c r="F102" i="1"/>
  <c r="F103" i="1" s="1"/>
  <c r="F104" i="1" s="1"/>
  <c r="F185" i="1" s="1"/>
  <c r="F152" i="1"/>
  <c r="C80" i="2" s="1"/>
  <c r="C83" i="2" s="1"/>
  <c r="F60" i="1"/>
  <c r="F55" i="1"/>
  <c r="G150" i="1"/>
  <c r="G124" i="1"/>
  <c r="C37" i="10"/>
  <c r="C60" i="2"/>
  <c r="B2" i="13"/>
  <c r="F8" i="13"/>
  <c r="G8" i="13"/>
  <c r="L232" i="1"/>
  <c r="D39" i="13"/>
  <c r="F13" i="13"/>
  <c r="G13" i="13"/>
  <c r="L198" i="1"/>
  <c r="L216" i="1"/>
  <c r="E13" i="13" s="1"/>
  <c r="C13" i="13" s="1"/>
  <c r="L234" i="1"/>
  <c r="F16" i="13"/>
  <c r="G16" i="13"/>
  <c r="L201" i="1"/>
  <c r="L219" i="1"/>
  <c r="L191" i="1"/>
  <c r="L192" i="1"/>
  <c r="L207" i="1"/>
  <c r="L208" i="1"/>
  <c r="L209" i="1"/>
  <c r="C103" i="2" s="1"/>
  <c r="L210" i="1"/>
  <c r="L225" i="1"/>
  <c r="L226" i="1"/>
  <c r="L227" i="1"/>
  <c r="F6" i="13"/>
  <c r="G6" i="13"/>
  <c r="L194" i="1"/>
  <c r="L212" i="1"/>
  <c r="D6" i="13" s="1"/>
  <c r="C6" i="13" s="1"/>
  <c r="L230" i="1"/>
  <c r="G7" i="13"/>
  <c r="L195" i="1"/>
  <c r="L213" i="1"/>
  <c r="L197" i="1"/>
  <c r="L215" i="1"/>
  <c r="F14" i="13"/>
  <c r="G14" i="13"/>
  <c r="G15" i="13"/>
  <c r="L200" i="1"/>
  <c r="L236" i="1"/>
  <c r="G641" i="1" s="1"/>
  <c r="F17" i="13"/>
  <c r="G17" i="13"/>
  <c r="L243" i="1"/>
  <c r="F18" i="13"/>
  <c r="G18" i="13"/>
  <c r="L244" i="1"/>
  <c r="C106" i="2" s="1"/>
  <c r="F19" i="13"/>
  <c r="G19" i="13"/>
  <c r="L245" i="1"/>
  <c r="F29" i="13"/>
  <c r="G29" i="13"/>
  <c r="I359" i="1"/>
  <c r="J282" i="1"/>
  <c r="J301" i="1"/>
  <c r="J330" i="1" s="1"/>
  <c r="J344" i="1" s="1"/>
  <c r="J320" i="1"/>
  <c r="K282" i="1"/>
  <c r="K301" i="1"/>
  <c r="G31" i="13" s="1"/>
  <c r="K320" i="1"/>
  <c r="L268" i="1"/>
  <c r="L269" i="1"/>
  <c r="L270" i="1"/>
  <c r="L271" i="1"/>
  <c r="L274" i="1"/>
  <c r="E111" i="2" s="1"/>
  <c r="L275" i="1"/>
  <c r="L276" i="1"/>
  <c r="L277" i="1"/>
  <c r="L278" i="1"/>
  <c r="E115" i="2" s="1"/>
  <c r="L279" i="1"/>
  <c r="E116" i="2" s="1"/>
  <c r="L280" i="1"/>
  <c r="E117" i="2" s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L253" i="1"/>
  <c r="C25" i="10" s="1"/>
  <c r="H25" i="13"/>
  <c r="C25" i="13" s="1"/>
  <c r="L333" i="1"/>
  <c r="L334" i="1"/>
  <c r="L247" i="1"/>
  <c r="F22" i="13" s="1"/>
  <c r="C22" i="13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C31" i="12"/>
  <c r="C13" i="12"/>
  <c r="B18" i="12"/>
  <c r="A22" i="12" s="1"/>
  <c r="C18" i="12"/>
  <c r="C22" i="12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 s="1"/>
  <c r="G51" i="2"/>
  <c r="G53" i="2"/>
  <c r="G54" i="2" s="1"/>
  <c r="F2" i="11"/>
  <c r="L603" i="1"/>
  <c r="C40" i="10"/>
  <c r="F52" i="1"/>
  <c r="C48" i="2"/>
  <c r="G52" i="1"/>
  <c r="H52" i="1"/>
  <c r="E48" i="2" s="1"/>
  <c r="I52" i="1"/>
  <c r="I104" i="1" s="1"/>
  <c r="F71" i="1"/>
  <c r="F86" i="1"/>
  <c r="C50" i="2" s="1"/>
  <c r="G103" i="1"/>
  <c r="G104" i="1"/>
  <c r="G185" i="1" s="1"/>
  <c r="H71" i="1"/>
  <c r="H86" i="1"/>
  <c r="E50" i="2" s="1"/>
  <c r="H103" i="1"/>
  <c r="I103" i="1"/>
  <c r="J103" i="1"/>
  <c r="F113" i="1"/>
  <c r="G113" i="1"/>
  <c r="G128" i="1"/>
  <c r="G132" i="1"/>
  <c r="H113" i="1"/>
  <c r="H128" i="1"/>
  <c r="H132" i="1"/>
  <c r="I113" i="1"/>
  <c r="I128" i="1"/>
  <c r="I132" i="1"/>
  <c r="J113" i="1"/>
  <c r="J132" i="1" s="1"/>
  <c r="J128" i="1"/>
  <c r="F139" i="1"/>
  <c r="F154" i="1"/>
  <c r="F161" i="1"/>
  <c r="G139" i="1"/>
  <c r="G154" i="1"/>
  <c r="G161" i="1"/>
  <c r="H139" i="1"/>
  <c r="I139" i="1"/>
  <c r="I161" i="1" s="1"/>
  <c r="I154" i="1"/>
  <c r="C19" i="10"/>
  <c r="L242" i="1"/>
  <c r="L324" i="1"/>
  <c r="C23" i="10"/>
  <c r="L246" i="1"/>
  <c r="L260" i="1"/>
  <c r="C26" i="10" s="1"/>
  <c r="L261" i="1"/>
  <c r="L341" i="1"/>
  <c r="E134" i="2" s="1"/>
  <c r="L342" i="1"/>
  <c r="I655" i="1"/>
  <c r="I660" i="1"/>
  <c r="I659" i="1"/>
  <c r="C42" i="10"/>
  <c r="C32" i="10"/>
  <c r="L366" i="1"/>
  <c r="L367" i="1"/>
  <c r="L368" i="1"/>
  <c r="L369" i="1"/>
  <c r="L370" i="1"/>
  <c r="L371" i="1"/>
  <c r="F122" i="2" s="1"/>
  <c r="F136" i="2" s="1"/>
  <c r="F137" i="2" s="1"/>
  <c r="L372" i="1"/>
  <c r="B2" i="10"/>
  <c r="L336" i="1"/>
  <c r="E126" i="2" s="1"/>
  <c r="L343" i="1"/>
  <c r="L337" i="1"/>
  <c r="L338" i="1"/>
  <c r="L339" i="1"/>
  <c r="K343" i="1"/>
  <c r="L517" i="1"/>
  <c r="G540" i="1" s="1"/>
  <c r="L522" i="1"/>
  <c r="H540" i="1" s="1"/>
  <c r="L523" i="1"/>
  <c r="H541" i="1"/>
  <c r="L526" i="1"/>
  <c r="I539" i="1"/>
  <c r="I542" i="1" s="1"/>
  <c r="L528" i="1"/>
  <c r="I541" i="1" s="1"/>
  <c r="L531" i="1"/>
  <c r="J539" i="1"/>
  <c r="E124" i="2"/>
  <c r="E123" i="2"/>
  <c r="K262" i="1"/>
  <c r="J262" i="1"/>
  <c r="I262" i="1"/>
  <c r="H262" i="1"/>
  <c r="G262" i="1"/>
  <c r="F262" i="1"/>
  <c r="C123" i="2"/>
  <c r="A1" i="2"/>
  <c r="A2" i="2"/>
  <c r="C9" i="2"/>
  <c r="D9" i="2"/>
  <c r="E9" i="2"/>
  <c r="F9" i="2"/>
  <c r="I431" i="1"/>
  <c r="I438" i="1" s="1"/>
  <c r="G632" i="1" s="1"/>
  <c r="C10" i="2"/>
  <c r="D10" i="2"/>
  <c r="E10" i="2"/>
  <c r="F10" i="2"/>
  <c r="I432" i="1"/>
  <c r="J10" i="1" s="1"/>
  <c r="G10" i="2" s="1"/>
  <c r="C11" i="2"/>
  <c r="C12" i="2"/>
  <c r="C19" i="2" s="1"/>
  <c r="D12" i="2"/>
  <c r="E12" i="2"/>
  <c r="E19" i="2" s="1"/>
  <c r="F12" i="2"/>
  <c r="I433" i="1"/>
  <c r="J12" i="1" s="1"/>
  <c r="G12" i="2" s="1"/>
  <c r="C13" i="2"/>
  <c r="D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F19" i="2" s="1"/>
  <c r="I437" i="1"/>
  <c r="J18" i="1"/>
  <c r="G18" i="2"/>
  <c r="C22" i="2"/>
  <c r="D22" i="2"/>
  <c r="E22" i="2"/>
  <c r="F22" i="2"/>
  <c r="I440" i="1"/>
  <c r="J23" i="1"/>
  <c r="C23" i="2"/>
  <c r="D23" i="2"/>
  <c r="D32" i="2" s="1"/>
  <c r="E23" i="2"/>
  <c r="F23" i="2"/>
  <c r="I441" i="1"/>
  <c r="I444" i="1" s="1"/>
  <c r="J24" i="1"/>
  <c r="J33" i="1" s="1"/>
  <c r="C24" i="2"/>
  <c r="D24" i="2"/>
  <c r="E24" i="2"/>
  <c r="F24" i="2"/>
  <c r="I442" i="1"/>
  <c r="J25" i="1"/>
  <c r="C25" i="2"/>
  <c r="D25" i="2"/>
  <c r="E25" i="2"/>
  <c r="F25" i="2"/>
  <c r="F32" i="2" s="1"/>
  <c r="C26" i="2"/>
  <c r="F26" i="2"/>
  <c r="C27" i="2"/>
  <c r="F27" i="2"/>
  <c r="D28" i="2"/>
  <c r="E28" i="2"/>
  <c r="F28" i="2"/>
  <c r="C29" i="2"/>
  <c r="D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D42" i="2" s="1"/>
  <c r="D43" i="2" s="1"/>
  <c r="E34" i="2"/>
  <c r="F34" i="2"/>
  <c r="C35" i="2"/>
  <c r="D35" i="2"/>
  <c r="E35" i="2"/>
  <c r="F35" i="2"/>
  <c r="C36" i="2"/>
  <c r="D36" i="2"/>
  <c r="E36" i="2"/>
  <c r="E42" i="2" s="1"/>
  <c r="F36" i="2"/>
  <c r="I446" i="1"/>
  <c r="I450" i="1" s="1"/>
  <c r="J37" i="1"/>
  <c r="G36" i="2" s="1"/>
  <c r="C37" i="2"/>
  <c r="D37" i="2"/>
  <c r="E37" i="2"/>
  <c r="F37" i="2"/>
  <c r="I447" i="1"/>
  <c r="J38" i="1" s="1"/>
  <c r="G37" i="2" s="1"/>
  <c r="C38" i="2"/>
  <c r="C42" i="2" s="1"/>
  <c r="D38" i="2"/>
  <c r="E38" i="2"/>
  <c r="F38" i="2"/>
  <c r="F42" i="2" s="1"/>
  <c r="F43" i="2" s="1"/>
  <c r="I448" i="1"/>
  <c r="J40" i="1" s="1"/>
  <c r="G39" i="2" s="1"/>
  <c r="C40" i="2"/>
  <c r="D40" i="2"/>
  <c r="E40" i="2"/>
  <c r="F40" i="2"/>
  <c r="I449" i="1"/>
  <c r="J41" i="1"/>
  <c r="C41" i="2"/>
  <c r="D41" i="2"/>
  <c r="E41" i="2"/>
  <c r="F41" i="2"/>
  <c r="D48" i="2"/>
  <c r="C49" i="2"/>
  <c r="E49" i="2"/>
  <c r="C51" i="2"/>
  <c r="D51" i="2"/>
  <c r="E51" i="2"/>
  <c r="F51" i="2"/>
  <c r="F54" i="2" s="1"/>
  <c r="C53" i="2"/>
  <c r="D53" i="2"/>
  <c r="E53" i="2"/>
  <c r="F53" i="2"/>
  <c r="C58" i="2"/>
  <c r="C62" i="2" s="1"/>
  <c r="C59" i="2"/>
  <c r="C61" i="2"/>
  <c r="D61" i="2"/>
  <c r="D62" i="2"/>
  <c r="E61" i="2"/>
  <c r="E62" i="2"/>
  <c r="F61" i="2"/>
  <c r="G61" i="2"/>
  <c r="G62" i="2"/>
  <c r="F62" i="2"/>
  <c r="C64" i="2"/>
  <c r="F64" i="2"/>
  <c r="F70" i="2" s="1"/>
  <c r="F73" i="2" s="1"/>
  <c r="C65" i="2"/>
  <c r="F65" i="2"/>
  <c r="C66" i="2"/>
  <c r="C67" i="2"/>
  <c r="C68" i="2"/>
  <c r="C70" i="2" s="1"/>
  <c r="E68" i="2"/>
  <c r="F68" i="2"/>
  <c r="C69" i="2"/>
  <c r="D69" i="2"/>
  <c r="D70" i="2" s="1"/>
  <c r="D73" i="2" s="1"/>
  <c r="E69" i="2"/>
  <c r="F69" i="2"/>
  <c r="G69" i="2"/>
  <c r="G70" i="2" s="1"/>
  <c r="G73" i="2" s="1"/>
  <c r="C71" i="2"/>
  <c r="D71" i="2"/>
  <c r="E71" i="2"/>
  <c r="C72" i="2"/>
  <c r="E72" i="2"/>
  <c r="C77" i="2"/>
  <c r="D77" i="2"/>
  <c r="E77" i="2"/>
  <c r="E83" i="2" s="1"/>
  <c r="F77" i="2"/>
  <c r="F83" i="2" s="1"/>
  <c r="C79" i="2"/>
  <c r="E79" i="2"/>
  <c r="F79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E88" i="2"/>
  <c r="E95" i="2" s="1"/>
  <c r="F88" i="2"/>
  <c r="F95" i="2" s="1"/>
  <c r="G88" i="2"/>
  <c r="C89" i="2"/>
  <c r="D89" i="2"/>
  <c r="D95" i="2" s="1"/>
  <c r="E89" i="2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2" i="2"/>
  <c r="E103" i="2"/>
  <c r="C105" i="2"/>
  <c r="E105" i="2"/>
  <c r="E106" i="2"/>
  <c r="D107" i="2"/>
  <c r="F107" i="2"/>
  <c r="G107" i="2"/>
  <c r="E112" i="2"/>
  <c r="E113" i="2"/>
  <c r="E114" i="2"/>
  <c r="F120" i="2"/>
  <c r="G120" i="2"/>
  <c r="C122" i="2"/>
  <c r="E122" i="2"/>
  <c r="E136" i="2" s="1"/>
  <c r="D126" i="2"/>
  <c r="D136" i="2" s="1"/>
  <c r="F126" i="2"/>
  <c r="K411" i="1"/>
  <c r="K419" i="1"/>
  <c r="K426" i="1" s="1"/>
  <c r="G126" i="2" s="1"/>
  <c r="G136" i="2" s="1"/>
  <c r="G137" i="2" s="1"/>
  <c r="K425" i="1"/>
  <c r="L255" i="1"/>
  <c r="C127" i="2" s="1"/>
  <c r="E127" i="2"/>
  <c r="L256" i="1"/>
  <c r="C128" i="2" s="1"/>
  <c r="L257" i="1"/>
  <c r="C129" i="2"/>
  <c r="E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C150" i="2"/>
  <c r="D150" i="2"/>
  <c r="E150" i="2"/>
  <c r="F150" i="2"/>
  <c r="B151" i="2"/>
  <c r="C151" i="2"/>
  <c r="D151" i="2"/>
  <c r="E151" i="2"/>
  <c r="G151" i="2" s="1"/>
  <c r="F151" i="2"/>
  <c r="B152" i="2"/>
  <c r="C152" i="2"/>
  <c r="G152" i="2" s="1"/>
  <c r="D152" i="2"/>
  <c r="E152" i="2"/>
  <c r="F152" i="2"/>
  <c r="F490" i="1"/>
  <c r="B153" i="2" s="1"/>
  <c r="G490" i="1"/>
  <c r="C153" i="2" s="1"/>
  <c r="H490" i="1"/>
  <c r="D153" i="2"/>
  <c r="I490" i="1"/>
  <c r="E153" i="2" s="1"/>
  <c r="J490" i="1"/>
  <c r="F153" i="2"/>
  <c r="B154" i="2"/>
  <c r="G154" i="2" s="1"/>
  <c r="C154" i="2"/>
  <c r="D154" i="2"/>
  <c r="E154" i="2"/>
  <c r="F154" i="2"/>
  <c r="B155" i="2"/>
  <c r="D155" i="2"/>
  <c r="E155" i="2"/>
  <c r="F155" i="2"/>
  <c r="F493" i="1"/>
  <c r="B156" i="2"/>
  <c r="G493" i="1"/>
  <c r="C156" i="2" s="1"/>
  <c r="H493" i="1"/>
  <c r="D156" i="2" s="1"/>
  <c r="I493" i="1"/>
  <c r="E156" i="2" s="1"/>
  <c r="J493" i="1"/>
  <c r="F156" i="2"/>
  <c r="F19" i="1"/>
  <c r="G607" i="1" s="1"/>
  <c r="G19" i="1"/>
  <c r="H19" i="1"/>
  <c r="I19" i="1"/>
  <c r="G610" i="1" s="1"/>
  <c r="G33" i="1"/>
  <c r="H33" i="1"/>
  <c r="I33" i="1"/>
  <c r="G43" i="1"/>
  <c r="G44" i="1"/>
  <c r="H608" i="1"/>
  <c r="H43" i="1"/>
  <c r="G614" i="1" s="1"/>
  <c r="H44" i="1"/>
  <c r="H609" i="1" s="1"/>
  <c r="I43" i="1"/>
  <c r="I44" i="1"/>
  <c r="H610" i="1" s="1"/>
  <c r="F169" i="1"/>
  <c r="F184" i="1" s="1"/>
  <c r="I169" i="1"/>
  <c r="F175" i="1"/>
  <c r="G175" i="1"/>
  <c r="G184" i="1"/>
  <c r="H175" i="1"/>
  <c r="I175" i="1"/>
  <c r="J175" i="1"/>
  <c r="G635" i="1" s="1"/>
  <c r="J635" i="1" s="1"/>
  <c r="J184" i="1"/>
  <c r="F180" i="1"/>
  <c r="G180" i="1"/>
  <c r="H180" i="1"/>
  <c r="I180" i="1"/>
  <c r="I184" i="1"/>
  <c r="H184" i="1"/>
  <c r="H203" i="1"/>
  <c r="I203" i="1"/>
  <c r="K203" i="1"/>
  <c r="I221" i="1"/>
  <c r="K221" i="1"/>
  <c r="K249" i="1" s="1"/>
  <c r="K263" i="1" s="1"/>
  <c r="F239" i="1"/>
  <c r="I239" i="1"/>
  <c r="F248" i="1"/>
  <c r="L248" i="1" s="1"/>
  <c r="G248" i="1"/>
  <c r="H248" i="1"/>
  <c r="I248" i="1"/>
  <c r="J248" i="1"/>
  <c r="K248" i="1"/>
  <c r="L262" i="1"/>
  <c r="F282" i="1"/>
  <c r="I282" i="1"/>
  <c r="I330" i="1" s="1"/>
  <c r="I344" i="1" s="1"/>
  <c r="F301" i="1"/>
  <c r="G301" i="1"/>
  <c r="H301" i="1"/>
  <c r="I301" i="1"/>
  <c r="F320" i="1"/>
  <c r="F330" i="1" s="1"/>
  <c r="F344" i="1" s="1"/>
  <c r="G320" i="1"/>
  <c r="I320" i="1"/>
  <c r="F329" i="1"/>
  <c r="G329" i="1"/>
  <c r="I329" i="1"/>
  <c r="J329" i="1"/>
  <c r="K329" i="1"/>
  <c r="F354" i="1"/>
  <c r="G354" i="1"/>
  <c r="J354" i="1"/>
  <c r="K354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J633" i="1" s="1"/>
  <c r="G399" i="1"/>
  <c r="G400" i="1" s="1"/>
  <c r="H635" i="1" s="1"/>
  <c r="H399" i="1"/>
  <c r="I399" i="1"/>
  <c r="I400" i="1" s="1"/>
  <c r="H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38" i="1"/>
  <c r="G438" i="1"/>
  <c r="G630" i="1" s="1"/>
  <c r="H438" i="1"/>
  <c r="G631" i="1" s="1"/>
  <c r="F444" i="1"/>
  <c r="F451" i="1" s="1"/>
  <c r="H629" i="1" s="1"/>
  <c r="J629" i="1" s="1"/>
  <c r="G444" i="1"/>
  <c r="H444" i="1"/>
  <c r="F450" i="1"/>
  <c r="G450" i="1"/>
  <c r="H450" i="1"/>
  <c r="G451" i="1"/>
  <c r="H630" i="1" s="1"/>
  <c r="H451" i="1"/>
  <c r="H631" i="1" s="1"/>
  <c r="I460" i="1"/>
  <c r="I466" i="1" s="1"/>
  <c r="H615" i="1" s="1"/>
  <c r="G464" i="1"/>
  <c r="I464" i="1"/>
  <c r="J464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I514" i="1"/>
  <c r="I535" i="1" s="1"/>
  <c r="J514" i="1"/>
  <c r="J535" i="1" s="1"/>
  <c r="K514" i="1"/>
  <c r="F519" i="1"/>
  <c r="G519" i="1"/>
  <c r="H519" i="1"/>
  <c r="J519" i="1"/>
  <c r="K519" i="1"/>
  <c r="K535" i="1" s="1"/>
  <c r="G524" i="1"/>
  <c r="H524" i="1"/>
  <c r="I524" i="1"/>
  <c r="J524" i="1"/>
  <c r="K524" i="1"/>
  <c r="G529" i="1"/>
  <c r="H529" i="1"/>
  <c r="I529" i="1"/>
  <c r="J529" i="1"/>
  <c r="K529" i="1"/>
  <c r="I534" i="1"/>
  <c r="J534" i="1"/>
  <c r="K534" i="1"/>
  <c r="L547" i="1"/>
  <c r="L550" i="1" s="1"/>
  <c r="L561" i="1" s="1"/>
  <c r="L548" i="1"/>
  <c r="L549" i="1"/>
  <c r="F550" i="1"/>
  <c r="F561" i="1" s="1"/>
  <c r="G550" i="1"/>
  <c r="G561" i="1"/>
  <c r="H550" i="1"/>
  <c r="I550" i="1"/>
  <c r="J550" i="1"/>
  <c r="J561" i="1" s="1"/>
  <c r="K550" i="1"/>
  <c r="L552" i="1"/>
  <c r="L553" i="1"/>
  <c r="L554" i="1"/>
  <c r="F555" i="1"/>
  <c r="G555" i="1"/>
  <c r="H555" i="1"/>
  <c r="H561" i="1" s="1"/>
  <c r="I555" i="1"/>
  <c r="J555" i="1"/>
  <c r="K555" i="1"/>
  <c r="K561" i="1" s="1"/>
  <c r="L555" i="1"/>
  <c r="L557" i="1"/>
  <c r="L558" i="1"/>
  <c r="L559" i="1"/>
  <c r="F560" i="1"/>
  <c r="G560" i="1"/>
  <c r="H560" i="1"/>
  <c r="I560" i="1"/>
  <c r="I561" i="1" s="1"/>
  <c r="J560" i="1"/>
  <c r="K560" i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4" i="1"/>
  <c r="K585" i="1"/>
  <c r="K586" i="1"/>
  <c r="K587" i="1"/>
  <c r="H588" i="1"/>
  <c r="H639" i="1"/>
  <c r="I588" i="1"/>
  <c r="H640" i="1" s="1"/>
  <c r="K592" i="1"/>
  <c r="K593" i="1"/>
  <c r="H604" i="1"/>
  <c r="I604" i="1"/>
  <c r="J604" i="1"/>
  <c r="K604" i="1"/>
  <c r="G608" i="1"/>
  <c r="J608" i="1" s="1"/>
  <c r="G609" i="1"/>
  <c r="G613" i="1"/>
  <c r="G615" i="1"/>
  <c r="H620" i="1"/>
  <c r="H625" i="1"/>
  <c r="H626" i="1"/>
  <c r="H628" i="1"/>
  <c r="G629" i="1"/>
  <c r="G633" i="1"/>
  <c r="H634" i="1"/>
  <c r="G639" i="1"/>
  <c r="J639" i="1" s="1"/>
  <c r="G642" i="1"/>
  <c r="H642" i="1"/>
  <c r="J642" i="1" s="1"/>
  <c r="G643" i="1"/>
  <c r="J643" i="1" s="1"/>
  <c r="H643" i="1"/>
  <c r="G644" i="1"/>
  <c r="J644" i="1" s="1"/>
  <c r="H644" i="1"/>
  <c r="G645" i="1"/>
  <c r="J645" i="1" s="1"/>
  <c r="H645" i="1"/>
  <c r="G22" i="2"/>
  <c r="F652" i="1"/>
  <c r="H104" i="1"/>
  <c r="H185" i="1" s="1"/>
  <c r="K330" i="1"/>
  <c r="K344" i="1" s="1"/>
  <c r="H652" i="1"/>
  <c r="D83" i="2"/>
  <c r="D19" i="2"/>
  <c r="C95" i="2"/>
  <c r="E70" i="2"/>
  <c r="E73" i="2" s="1"/>
  <c r="I249" i="1"/>
  <c r="I263" i="1" s="1"/>
  <c r="G24" i="2"/>
  <c r="G150" i="2"/>
  <c r="C35" i="10"/>
  <c r="D19" i="13"/>
  <c r="C19" i="13" s="1"/>
  <c r="D17" i="13"/>
  <c r="C17" i="13"/>
  <c r="G40" i="2"/>
  <c r="L527" i="1"/>
  <c r="I540" i="1" s="1"/>
  <c r="F529" i="1"/>
  <c r="H239" i="1"/>
  <c r="A31" i="12" l="1"/>
  <c r="J641" i="1"/>
  <c r="G651" i="1"/>
  <c r="H594" i="1"/>
  <c r="F458" i="1"/>
  <c r="G617" i="1"/>
  <c r="C15" i="10"/>
  <c r="C32" i="2"/>
  <c r="G55" i="2"/>
  <c r="G96" i="2" s="1"/>
  <c r="J615" i="1"/>
  <c r="J631" i="1"/>
  <c r="G156" i="2"/>
  <c r="I451" i="1"/>
  <c r="H632" i="1" s="1"/>
  <c r="J632" i="1" s="1"/>
  <c r="C39" i="10"/>
  <c r="I185" i="1"/>
  <c r="G620" i="1" s="1"/>
  <c r="J620" i="1" s="1"/>
  <c r="C117" i="2"/>
  <c r="G249" i="1"/>
  <c r="G263" i="1" s="1"/>
  <c r="F539" i="1"/>
  <c r="L514" i="1"/>
  <c r="L535" i="1" s="1"/>
  <c r="J630" i="1"/>
  <c r="G539" i="1"/>
  <c r="G542" i="1" s="1"/>
  <c r="L519" i="1"/>
  <c r="G458" i="1"/>
  <c r="G618" i="1"/>
  <c r="K541" i="1"/>
  <c r="C43" i="2"/>
  <c r="C13" i="10"/>
  <c r="J609" i="1"/>
  <c r="C73" i="2"/>
  <c r="E32" i="2"/>
  <c r="L400" i="1"/>
  <c r="C130" i="2"/>
  <c r="C133" i="2" s="1"/>
  <c r="J624" i="1"/>
  <c r="G612" i="1"/>
  <c r="F44" i="1"/>
  <c r="H607" i="1" s="1"/>
  <c r="J607" i="1" s="1"/>
  <c r="J610" i="1"/>
  <c r="G42" i="2"/>
  <c r="E120" i="2"/>
  <c r="E54" i="2"/>
  <c r="E55" i="2" s="1"/>
  <c r="E96" i="2" s="1"/>
  <c r="L282" i="1"/>
  <c r="C115" i="2"/>
  <c r="C20" i="10"/>
  <c r="D14" i="13"/>
  <c r="C14" i="13" s="1"/>
  <c r="L524" i="1"/>
  <c r="H539" i="1"/>
  <c r="H542" i="1" s="1"/>
  <c r="K540" i="1"/>
  <c r="H535" i="1"/>
  <c r="H330" i="1"/>
  <c r="H344" i="1" s="1"/>
  <c r="G619" i="1"/>
  <c r="H458" i="1"/>
  <c r="G153" i="2"/>
  <c r="C54" i="2"/>
  <c r="C55" i="2" s="1"/>
  <c r="C96" i="2" s="1"/>
  <c r="L534" i="1"/>
  <c r="J540" i="1"/>
  <c r="J542" i="1" s="1"/>
  <c r="G535" i="1"/>
  <c r="E43" i="2"/>
  <c r="H651" i="1"/>
  <c r="E137" i="2"/>
  <c r="C38" i="10"/>
  <c r="C36" i="10"/>
  <c r="C41" i="10" s="1"/>
  <c r="D18" i="13"/>
  <c r="C18" i="13" s="1"/>
  <c r="J43" i="1"/>
  <c r="C16" i="10"/>
  <c r="H637" i="1"/>
  <c r="J637" i="1" s="1"/>
  <c r="J221" i="1"/>
  <c r="I594" i="1" s="1"/>
  <c r="I595" i="1" s="1"/>
  <c r="C12" i="10"/>
  <c r="L601" i="1"/>
  <c r="L604" i="1" s="1"/>
  <c r="C9" i="12"/>
  <c r="L233" i="1"/>
  <c r="F534" i="1"/>
  <c r="F524" i="1"/>
  <c r="C111" i="2"/>
  <c r="C24" i="10"/>
  <c r="L190" i="1"/>
  <c r="F31" i="13"/>
  <c r="F514" i="1"/>
  <c r="B9" i="12"/>
  <c r="L189" i="1"/>
  <c r="C110" i="2"/>
  <c r="C28" i="2"/>
  <c r="C124" i="2"/>
  <c r="J104" i="1"/>
  <c r="J185" i="1" s="1"/>
  <c r="G12" i="13"/>
  <c r="G33" i="13" s="1"/>
  <c r="L228" i="1"/>
  <c r="C104" i="2" s="1"/>
  <c r="F361" i="1"/>
  <c r="L374" i="1"/>
  <c r="G626" i="1" s="1"/>
  <c r="J626" i="1" s="1"/>
  <c r="C29" i="10"/>
  <c r="L350" i="1"/>
  <c r="F5" i="13"/>
  <c r="H33" i="13"/>
  <c r="J239" i="1"/>
  <c r="J594" i="1" s="1"/>
  <c r="J595" i="1" s="1"/>
  <c r="F48" i="2"/>
  <c r="F55" i="2" s="1"/>
  <c r="F96" i="2" s="1"/>
  <c r="L218" i="1"/>
  <c r="D15" i="13" s="1"/>
  <c r="C15" i="13" s="1"/>
  <c r="L231" i="1"/>
  <c r="D7" i="13" s="1"/>
  <c r="C7" i="13" s="1"/>
  <c r="G23" i="2"/>
  <c r="G32" i="2" s="1"/>
  <c r="J9" i="1"/>
  <c r="L196" i="1"/>
  <c r="C114" i="2"/>
  <c r="L529" i="1"/>
  <c r="D35" i="10" l="1"/>
  <c r="D40" i="10"/>
  <c r="D37" i="10"/>
  <c r="F33" i="13"/>
  <c r="D5" i="13"/>
  <c r="A13" i="12"/>
  <c r="D29" i="13"/>
  <c r="C29" i="13" s="1"/>
  <c r="F651" i="1"/>
  <c r="I651" i="1" s="1"/>
  <c r="D119" i="2"/>
  <c r="D120" i="2" s="1"/>
  <c r="D137" i="2" s="1"/>
  <c r="L354" i="1"/>
  <c r="F535" i="1"/>
  <c r="D38" i="10"/>
  <c r="J617" i="1"/>
  <c r="C113" i="2"/>
  <c r="C18" i="10"/>
  <c r="D12" i="13"/>
  <c r="C12" i="13" s="1"/>
  <c r="C101" i="2"/>
  <c r="L203" i="1"/>
  <c r="C10" i="10"/>
  <c r="K539" i="1"/>
  <c r="K542" i="1" s="1"/>
  <c r="F542" i="1"/>
  <c r="G653" i="1"/>
  <c r="L239" i="1"/>
  <c r="H650" i="1" s="1"/>
  <c r="H654" i="1" s="1"/>
  <c r="L221" i="1"/>
  <c r="G650" i="1" s="1"/>
  <c r="G654" i="1" s="1"/>
  <c r="F460" i="1"/>
  <c r="H617" i="1"/>
  <c r="C11" i="10"/>
  <c r="C102" i="2"/>
  <c r="J618" i="1"/>
  <c r="E8" i="13"/>
  <c r="C17" i="10"/>
  <c r="C112" i="2"/>
  <c r="C120" i="2" s="1"/>
  <c r="L330" i="1"/>
  <c r="D31" i="13"/>
  <c r="C31" i="13" s="1"/>
  <c r="G460" i="1"/>
  <c r="G466" i="1" s="1"/>
  <c r="H613" i="1" s="1"/>
  <c r="J613" i="1" s="1"/>
  <c r="H618" i="1"/>
  <c r="D39" i="10"/>
  <c r="K594" i="1"/>
  <c r="K595" i="1" s="1"/>
  <c r="G638" i="1" s="1"/>
  <c r="F653" i="1"/>
  <c r="H595" i="1"/>
  <c r="J19" i="1"/>
  <c r="G611" i="1" s="1"/>
  <c r="G9" i="2"/>
  <c r="G19" i="2" s="1"/>
  <c r="G616" i="1"/>
  <c r="J44" i="1"/>
  <c r="H611" i="1" s="1"/>
  <c r="H653" i="1"/>
  <c r="J458" i="1"/>
  <c r="H636" i="1"/>
  <c r="G627" i="1"/>
  <c r="J249" i="1"/>
  <c r="H460" i="1"/>
  <c r="H619" i="1"/>
  <c r="J619" i="1" s="1"/>
  <c r="G621" i="1"/>
  <c r="G636" i="1"/>
  <c r="G652" i="1"/>
  <c r="I652" i="1" s="1"/>
  <c r="C116" i="2"/>
  <c r="C21" i="10"/>
  <c r="G640" i="1"/>
  <c r="J640" i="1" s="1"/>
  <c r="C136" i="2"/>
  <c r="G43" i="2"/>
  <c r="D36" i="10"/>
  <c r="I653" i="1" l="1"/>
  <c r="L249" i="1"/>
  <c r="L263" i="1" s="1"/>
  <c r="F650" i="1"/>
  <c r="J638" i="1"/>
  <c r="C107" i="2"/>
  <c r="C137" i="2" s="1"/>
  <c r="E33" i="13"/>
  <c r="D35" i="13" s="1"/>
  <c r="C8" i="13"/>
  <c r="H638" i="1"/>
  <c r="J263" i="1"/>
  <c r="G662" i="1"/>
  <c r="C5" i="10" s="1"/>
  <c r="G657" i="1"/>
  <c r="J621" i="1"/>
  <c r="D33" i="13"/>
  <c r="D36" i="13" s="1"/>
  <c r="C5" i="13"/>
  <c r="H627" i="1"/>
  <c r="J627" i="1" s="1"/>
  <c r="H621" i="1"/>
  <c r="J460" i="1"/>
  <c r="J466" i="1" s="1"/>
  <c r="H616" i="1" s="1"/>
  <c r="J616" i="1" s="1"/>
  <c r="H462" i="1"/>
  <c r="L344" i="1"/>
  <c r="G623" i="1" s="1"/>
  <c r="H657" i="1"/>
  <c r="H662" i="1"/>
  <c r="C6" i="10" s="1"/>
  <c r="G625" i="1"/>
  <c r="J625" i="1" s="1"/>
  <c r="C27" i="10"/>
  <c r="J636" i="1"/>
  <c r="J611" i="1"/>
  <c r="D41" i="10"/>
  <c r="F654" i="1" l="1"/>
  <c r="I650" i="1"/>
  <c r="I654" i="1" s="1"/>
  <c r="J623" i="1"/>
  <c r="C28" i="10"/>
  <c r="G622" i="1"/>
  <c r="F462" i="1"/>
  <c r="H464" i="1"/>
  <c r="H466" i="1" s="1"/>
  <c r="H614" i="1" s="1"/>
  <c r="J614" i="1" s="1"/>
  <c r="H623" i="1"/>
  <c r="F464" i="1" l="1"/>
  <c r="F466" i="1" s="1"/>
  <c r="H612" i="1" s="1"/>
  <c r="J612" i="1" s="1"/>
  <c r="H622" i="1"/>
  <c r="D22" i="10"/>
  <c r="C30" i="10"/>
  <c r="D23" i="10"/>
  <c r="D26" i="10"/>
  <c r="D25" i="10"/>
  <c r="D19" i="10"/>
  <c r="D24" i="10"/>
  <c r="D12" i="10"/>
  <c r="D20" i="10"/>
  <c r="D16" i="10"/>
  <c r="D13" i="10"/>
  <c r="D15" i="10"/>
  <c r="D10" i="10"/>
  <c r="D21" i="10"/>
  <c r="D11" i="10"/>
  <c r="D18" i="10"/>
  <c r="D17" i="10"/>
  <c r="D27" i="10"/>
  <c r="I657" i="1"/>
  <c r="I662" i="1"/>
  <c r="C7" i="10" s="1"/>
  <c r="J622" i="1"/>
  <c r="H646" i="1"/>
  <c r="F657" i="1"/>
  <c r="F662" i="1"/>
  <c r="C4" i="10" s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EA6D10A-9694-46DB-AE81-62303271B9C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CC36418-24C9-4F9B-B366-B77613243CC3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449AD6C-1F5E-42C4-A52B-574D86AF19A9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E9F9021-B3DF-45A7-A630-ADBF2C4BDC1F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0CEB9C19-9BBD-4090-91E7-2DCCD12FA64E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E9C0458-C857-49C9-AE9F-C451C1D65F77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5187543E-DA8A-4447-AA80-D6DFD5B9DFE7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AF4E4BB8-0CD4-43B1-9D96-DBB18A8ABBA7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88372BA5-5712-478D-A03A-865ADB985E9C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440B6A2C-F7A3-40B2-8C72-AE4AE427DBB8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34B82F24-F099-4F9E-9D09-3CA21D2D54AE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1E0E40D-5DD5-495B-A876-66D930DCE0EB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<sst xmlns="http://schemas.openxmlformats.org/spreadsheetml/2006/main" count="3862" uniqueCount="899">
  <si>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</si>
  <si>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</si>
  <si>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</si>
  <si>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</si>
  <si>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</si>
  <si>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</si>
  <si>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</si>
  <si>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</si>
  <si>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</si>
  <si>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</si>
  <si>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</si>
  <si>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</si>
  <si>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</si>
  <si>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</si>
  <si>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</si>
  <si>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</si>
  <si>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</si>
  <si>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</si>
  <si>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</si>
  <si>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</si>
  <si>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</si>
  <si>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</si>
  <si>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</si>
  <si>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</si>
  <si>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</si>
  <si>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</si>
  <si>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</si>
  <si>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</si>
  <si>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</si>
  <si>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</si>
  <si>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</si>
  <si>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</si>
  <si>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</si>
  <si>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</si>
  <si>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</si>
  <si>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</si>
  <si>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</si>
  <si>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</si>
  <si>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</si>
  <si>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</si>
  <si>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</si>
  <si>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</si>
  <si>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</si>
  <si>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</si>
  <si>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</si>
  <si>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</si>
  <si>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</si>
  <si>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</si>
  <si>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</si>
  <si>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</si>
  <si>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</si>
  <si>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</si>
  <si>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</si>
  <si>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</si>
  <si>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</si>
  <si>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</si>
  <si>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</si>
  <si>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</si>
  <si>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</si>
  <si>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</si>
  <si>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</si>
  <si>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</si>
  <si>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</si>
  <si>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</si>
  <si>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</si>
  <si>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</si>
  <si>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</si>
  <si>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</si>
  <si>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</si>
  <si>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</si>
  <si>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</si>
  <si>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</si>
  <si>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</si>
  <si>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</si>
  <si>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</si>
  <si>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</si>
  <si>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</si>
  <si>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</si>
  <si>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</si>
  <si>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</si>
  <si>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</si>
  <si>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</si>
  <si>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</si>
  <si>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</si>
  <si>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</si>
  <si>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</si>
  <si>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</si>
  <si>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</si>
  <si>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</si>
  <si>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</si>
  <si>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</si>
  <si>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</si>
  <si>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</si>
  <si>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</si>
  <si>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</si>
  <si>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</si>
  <si>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</si>
  <si>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</si>
  <si>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</si>
  <si>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</si>
  <si>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</si>
  <si>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</si>
  <si>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</si>
  <si>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</si>
  <si>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</si>
  <si>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</si>
  <si>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</si>
  <si>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</si>
  <si>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</si>
  <si>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</si>
  <si>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</si>
  <si>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</si>
  <si>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</si>
  <si>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</si>
  <si>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</si>
  <si>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</si>
  <si>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</si>
  <si>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</si>
  <si>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</si>
  <si>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</si>
  <si>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</si>
  <si>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</si>
  <si>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</si>
  <si>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</si>
  <si>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</si>
  <si>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</si>
  <si>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</si>
  <si>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</si>
  <si>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</si>
  <si>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</si>
  <si>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</si>
  <si>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</si>
  <si>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</si>
  <si>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</si>
  <si>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</si>
  <si>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</si>
  <si>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</si>
  <si>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</si>
  <si>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</si>
  <si>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</si>
  <si>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</si>
  <si>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</si>
  <si>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</si>
  <si>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</si>
  <si>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</si>
  <si>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</si>
  <si>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</si>
  <si>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</si>
  <si>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</si>
  <si>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</si>
  <si>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</si>
  <si>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</si>
  <si>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</si>
  <si>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</si>
  <si>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</si>
  <si>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</si>
  <si>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</si>
  <si>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</si>
  <si>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</si>
  <si>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</si>
  <si>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</si>
  <si>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</si>
  <si>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</si>
  <si>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</si>
  <si>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</si>
  <si>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</si>
  <si>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</si>
  <si>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</si>
  <si>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</si>
  <si>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</si>
  <si>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</si>
  <si>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</si>
  <si>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</si>
  <si>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</si>
  <si>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</si>
  <si>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</si>
  <si>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</si>
  <si>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</si>
  <si>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</si>
  <si>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</si>
  <si>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</si>
  <si>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</si>
  <si>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</si>
  <si>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</si>
  <si>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</si>
  <si>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</si>
  <si>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</si>
  <si>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</si>
  <si>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</si>
  <si>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</si>
  <si>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</si>
  <si>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</si>
  <si>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</si>
  <si>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</si>
  <si>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</si>
  <si>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</si>
  <si>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</si>
  <si>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</si>
  <si>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</si>
  <si>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</si>
  <si>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</si>
  <si>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</si>
  <si>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</si>
  <si>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</si>
  <si>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</si>
  <si>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</si>
  <si>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</si>
  <si>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</si>
  <si>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</si>
  <si>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</si>
  <si>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</si>
  <si>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</si>
  <si>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</si>
  <si>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</si>
  <si>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</si>
  <si>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</si>
  <si>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</si>
  <si>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</si>
  <si>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</si>
  <si>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</si>
  <si>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</si>
  <si>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</si>
  <si>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</si>
  <si>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</si>
  <si>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</si>
  <si>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</si>
  <si>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</si>
  <si>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</si>
  <si>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</si>
  <si>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</si>
  <si>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</si>
  <si>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</si>
  <si>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</si>
  <si>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</si>
  <si>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</si>
  <si>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</si>
  <si>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</si>
  <si>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</si>
  <si>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</si>
  <si>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</si>
  <si>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</si>
  <si>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</si>
  <si>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</si>
  <si>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</si>
  <si>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</si>
  <si>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</si>
  <si>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</si>
  <si>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</si>
  <si>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</si>
  <si>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</si>
  <si>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</si>
  <si>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</si>
  <si>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</si>
  <si>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</si>
  <si>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</si>
  <si>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</si>
  <si>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</si>
  <si>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</si>
  <si>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</si>
  <si>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</si>
  <si>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</si>
  <si>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</si>
  <si>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</si>
  <si>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</si>
  <si>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</si>
  <si>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</si>
  <si>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</si>
  <si>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</si>
  <si>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</si>
  <si>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</si>
  <si>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</si>
  <si>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</si>
  <si>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</si>
  <si>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</si>
  <si>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</si>
  <si>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</si>
  <si>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</si>
  <si>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</si>
  <si>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</si>
  <si>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</si>
  <si>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</si>
  <si>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</si>
  <si>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</si>
  <si>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</si>
  <si>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</si>
  <si>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</si>
  <si>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</si>
  <si>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</si>
  <si>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</si>
  <si>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</si>
  <si>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</si>
  <si>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</si>
  <si>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</si>
  <si>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</si>
  <si>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</si>
  <si>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</si>
  <si>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</si>
  <si>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</si>
  <si>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</si>
  <si>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</si>
  <si>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</si>
  <si>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</si>
  <si>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</si>
  <si>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</si>
  <si>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</si>
  <si>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</si>
  <si>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</si>
  <si>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</si>
  <si>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</si>
  <si>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</si>
  <si>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</si>
  <si>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</si>
  <si>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</si>
  <si>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</si>
  <si>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</si>
  <si>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</si>
  <si>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</si>
  <si>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</si>
  <si>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</si>
  <si>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</si>
  <si>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</si>
  <si>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</si>
  <si>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</si>
  <si>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</si>
  <si>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</si>
  <si>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</si>
  <si>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</si>
  <si>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</si>
  <si>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</si>
  <si>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</si>
  <si>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</si>
  <si>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</si>
  <si>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</si>
  <si>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</si>
  <si>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</si>
  <si>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</si>
  <si>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</si>
  <si>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</si>
  <si>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</si>
  <si>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</si>
  <si>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</si>
  <si>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</si>
  <si>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</si>
  <si>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</si>
  <si>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</si>
  <si>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</si>
  <si>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</si>
  <si>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</si>
  <si>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</si>
  <si>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</si>
  <si>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</si>
  <si>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</si>
  <si>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</si>
  <si>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</si>
  <si>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</si>
  <si>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</si>
  <si>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</si>
  <si>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</si>
  <si>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</si>
  <si>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</si>
  <si>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</si>
  <si>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</si>
  <si>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</si>
  <si>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</si>
  <si>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</si>
  <si>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</si>
  <si>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</si>
  <si>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</si>
  <si>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</si>
  <si>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</si>
  <si>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</si>
  <si>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</si>
  <si>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</si>
  <si>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</si>
  <si>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</si>
  <si>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</si>
  <si>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</si>
  <si>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</si>
  <si>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</si>
  <si>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</si>
  <si>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</si>
  <si>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</si>
  <si>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</si>
  <si>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</si>
  <si>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</si>
  <si>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</si>
  <si>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</si>
  <si>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</si>
  <si>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</si>
  <si>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</si>
  <si>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</si>
  <si>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</si>
  <si>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</si>
  <si>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</si>
  <si>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</si>
  <si>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</si>
  <si>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</si>
  <si>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</si>
  <si>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</si>
  <si>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</si>
  <si>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</si>
  <si>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</si>
  <si>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</si>
  <si>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</si>
  <si>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</si>
  <si>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</si>
  <si>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</si>
  <si>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</si>
  <si>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</si>
  <si>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</si>
  <si>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</si>
  <si>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</si>
  <si>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</si>
  <si>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</si>
  <si>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</si>
  <si>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</si>
  <si>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</si>
  <si>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</si>
  <si>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</si>
  <si>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</si>
  <si>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</si>
  <si>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</si>
  <si>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</si>
  <si>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</si>
  <si>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</si>
  <si>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</si>
  <si>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</si>
  <si>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</si>
  <si>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</si>
  <si>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</si>
  <si>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</si>
  <si>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</si>
  <si>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</si>
  <si>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</si>
  <si>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</si>
  <si>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</si>
  <si>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</si>
  <si>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</si>
  <si>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</si>
  <si>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</si>
  <si>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</si>
  <si>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</si>
  <si>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</si>
  <si>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</si>
  <si>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</si>
  <si>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</si>
  <si>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</si>
  <si>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</si>
  <si>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</si>
  <si>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</si>
  <si>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</si>
  <si>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</si>
  <si>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</si>
  <si>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</si>
  <si>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</si>
  <si>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</si>
  <si>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</si>
  <si>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</si>
  <si>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</si>
  <si>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</si>
  <si>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</si>
  <si>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</si>
  <si>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</si>
  <si>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</si>
  <si>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</si>
  <si>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</si>
  <si>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</si>
  <si>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</si>
  <si>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</si>
  <si>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</si>
  <si>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</si>
  <si>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</si>
  <si>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</si>
  <si>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</si>
  <si>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</si>
  <si>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</si>
  <si>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</si>
  <si>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</si>
  <si>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</si>
  <si>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</si>
  <si>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</si>
  <si>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</si>
  <si>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</si>
  <si>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</si>
  <si>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</si>
  <si>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</si>
  <si>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</si>
  <si>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</si>
  <si>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</si>
  <si>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</si>
  <si>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</si>
  <si>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</si>
  <si>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</si>
  <si>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</si>
  <si>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</si>
  <si>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</si>
  <si>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</si>
  <si>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</si>
  <si>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</si>
  <si>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</si>
  <si>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</si>
  <si>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</si>
  <si>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</si>
  <si>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</si>
  <si>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</si>
  <si>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</si>
  <si>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</si>
  <si>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</si>
  <si>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</si>
  <si>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</si>
  <si>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</si>
  <si>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</si>
  <si>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</si>
  <si>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</si>
  <si>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</si>
  <si>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</si>
  <si>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</si>
  <si>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</si>
  <si>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</si>
  <si>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</si>
  <si>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</si>
  <si>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</si>
  <si>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</si>
  <si>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</si>
  <si>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</si>
  <si>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</si>
  <si>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</si>
  <si>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</si>
  <si>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</si>
  <si>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</si>
  <si>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</si>
  <si>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</si>
  <si>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</si>
  <si>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</si>
  <si>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</si>
  <si>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</si>
  <si>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</si>
  <si>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</si>
  <si>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</si>
  <si>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</si>
  <si>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</si>
  <si>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</si>
  <si>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</si>
  <si>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</si>
  <si>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</si>
  <si>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</si>
  <si>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</si>
  <si>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</si>
  <si>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</si>
  <si>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</si>
  <si>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</si>
  <si>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</si>
  <si>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</si>
  <si>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</si>
  <si>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</si>
  <si>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</si>
  <si>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</si>
  <si>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</si>
  <si>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</si>
  <si>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</si>
  <si>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</si>
  <si>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</si>
  <si>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</si>
  <si>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</si>
  <si>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</si>
  <si>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</si>
  <si>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</si>
  <si>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</si>
  <si>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</si>
  <si>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</si>
  <si>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</si>
  <si>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</si>
  <si>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</si>
  <si>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</si>
  <si>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</si>
  <si>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</si>
  <si>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</si>
  <si>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</si>
  <si>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</si>
  <si>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</si>
  <si>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</si>
  <si>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</si>
  <si>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</si>
  <si>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</si>
  <si>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</si>
  <si>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</si>
  <si>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</si>
  <si>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</si>
  <si>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</si>
  <si>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</si>
  <si>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</si>
  <si>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</si>
  <si>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</si>
  <si>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</si>
  <si>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</si>
  <si>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</si>
  <si>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</si>
  <si>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</si>
  <si>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</si>
  <si>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</si>
  <si>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</si>
  <si>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</si>
  <si>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</si>
  <si>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</si>
  <si>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</si>
  <si>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</si>
  <si>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</si>
  <si>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</si>
  <si>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</si>
  <si>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</si>
  <si>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</si>
  <si>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</si>
  <si>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</si>
  <si>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</si>
  <si>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</si>
  <si>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</si>
  <si>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</si>
  <si>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</si>
  <si>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</si>
  <si>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</si>
  <si>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</si>
  <si>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</si>
  <si>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</si>
  <si>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</si>
  <si>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</si>
  <si>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</si>
  <si>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</si>
  <si>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</si>
  <si>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</si>
  <si>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</si>
  <si>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</si>
  <si>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</si>
  <si>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</si>
  <si>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</si>
  <si>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</si>
  <si>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</si>
  <si>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</si>
  <si>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</si>
  <si>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</si>
  <si>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</si>
  <si>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</si>
  <si>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</si>
  <si>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</si>
  <si>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</si>
  <si>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</si>
  <si>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</si>
  <si>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</si>
  <si>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</si>
  <si>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</si>
  <si>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</si>
  <si>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</si>
  <si>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</si>
  <si>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</si>
  <si>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</si>
  <si>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</si>
  <si>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</si>
  <si>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</si>
  <si>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</si>
  <si>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</si>
  <si>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</si>
  <si>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</si>
  <si>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</si>
  <si>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</si>
  <si>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</si>
  <si>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</si>
  <si>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</si>
  <si>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</si>
  <si>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</si>
  <si>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</si>
  <si>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</si>
  <si>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</si>
  <si>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</si>
  <si>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</si>
  <si>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</si>
  <si>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</si>
  <si>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</si>
  <si>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</si>
  <si>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</si>
  <si>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</si>
  <si>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</si>
  <si>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</si>
  <si>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</si>
  <si>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</si>
  <si>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</si>
  <si>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</si>
  <si>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</si>
  <si>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</si>
  <si>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</si>
  <si>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</si>
  <si>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</si>
  <si>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</si>
  <si>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</si>
  <si>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</si>
  <si>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</si>
  <si>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</si>
  <si>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</si>
  <si>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</si>
  <si>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</si>
  <si>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</si>
  <si>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</si>
  <si>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</si>
  <si>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</si>
  <si>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</si>
  <si>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</si>
  <si>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</si>
  <si>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</si>
  <si>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</si>
  <si>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</si>
  <si>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</si>
  <si>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</si>
  <si>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</si>
  <si>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</si>
  <si>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</si>
  <si>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</si>
  <si>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</si>
  <si>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</si>
  <si>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</si>
  <si>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</si>
  <si>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</si>
  <si>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</si>
  <si>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</si>
  <si>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</si>
  <si>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</si>
  <si>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</si>
  <si>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</si>
  <si>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</si>
  <si>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</si>
  <si>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</si>
  <si>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</si>
  <si>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</si>
  <si>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</si>
  <si>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</si>
  <si>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</si>
  <si>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</si>
  <si>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</si>
  <si>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</si>
  <si>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</si>
  <si>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</si>
  <si>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</si>
  <si>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</si>
  <si>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</si>
  <si>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</si>
  <si>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</si>
  <si>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</si>
  <si>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</si>
  <si>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</si>
  <si>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</si>
  <si>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</si>
  <si>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</si>
  <si>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</si>
  <si>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</si>
  <si>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</si>
  <si>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</si>
  <si>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</si>
  <si>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</si>
  <si>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</si>
  <si>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</si>
  <si>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</si>
  <si>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</si>
  <si>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</si>
  <si>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</si>
  <si>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</si>
  <si>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</si>
  <si>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</si>
  <si>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</si>
  <si>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</si>
  <si>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</si>
  <si>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</si>
  <si>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</si>
  <si>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</si>
  <si>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</si>
  <si>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</si>
  <si>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</si>
  <si>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</si>
  <si>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</si>
  <si>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</si>
  <si>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</si>
  <si>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</si>
  <si>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</si>
  <si>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</si>
  <si>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</si>
  <si>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</si>
  <si>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</si>
  <si>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</si>
  <si>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</si>
  <si>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</si>
  <si>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</si>
  <si>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</si>
  <si>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</si>
  <si>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</si>
  <si>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</si>
  <si>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</si>
  <si>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</si>
  <si>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</si>
  <si>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</si>
  <si>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</si>
  <si>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</si>
  <si>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</si>
  <si>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</si>
  <si>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</si>
  <si>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</si>
  <si>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</si>
  <si>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</si>
  <si>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</si>
  <si>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</si>
  <si>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</si>
  <si>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</si>
  <si>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</si>
  <si>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</si>
  <si>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</si>
  <si>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</si>
  <si>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</si>
  <si>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</si>
  <si>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</si>
  <si>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</si>
  <si>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</si>
  <si>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</si>
  <si>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</si>
  <si>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</si>
  <si>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</si>
  <si>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</si>
  <si>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</si>
  <si>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</si>
  <si>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</si>
  <si>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</si>
  <si>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</si>
  <si>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</si>
  <si>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</si>
  <si>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</si>
  <si>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</si>
  <si>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</si>
  <si>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</si>
  <si>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</si>
  <si>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</si>
  <si>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</si>
  <si>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</si>
  <si>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</si>
  <si>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</si>
  <si>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</si>
  <si>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</si>
  <si>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</si>
  <si>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</si>
  <si>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</si>
  <si>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</si>
  <si>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</si>
  <si>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</si>
  <si>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</si>
  <si>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</si>
  <si>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</si>
  <si>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</si>
  <si>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</si>
  <si>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</si>
  <si>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</si>
  <si>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</si>
  <si>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</si>
  <si>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</si>
  <si>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</si>
  <si>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</si>
  <si>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</si>
  <si>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</si>
  <si>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</si>
  <si>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</si>
  <si>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</si>
  <si>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</si>
  <si>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</si>
  <si>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</si>
  <si>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</si>
  <si>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</si>
  <si>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</si>
  <si>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</si>
  <si>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</si>
  <si>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</si>
  <si>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</si>
  <si>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</si>
  <si>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</si>
  <si>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</si>
  <si>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</si>
  <si>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</si>
  <si>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</si>
  <si>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</si>
  <si>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</si>
  <si>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</si>
  <si>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</si>
  <si>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</si>
  <si>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</si>
  <si>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</si>
  <si>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</si>
  <si>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</si>
  <si>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</si>
  <si>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</si>
  <si>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</si>
  <si>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</si>
  <si>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</si>
  <si>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</si>
  <si>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NEWPORT SCHOOL DISTRICT</t>
  </si>
  <si>
    <t>08/02</t>
  </si>
  <si>
    <t>08/12</t>
  </si>
  <si>
    <t>07/07</t>
  </si>
  <si>
    <t>08/27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</si>
</sst>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7602-70E7-406B-AB98-EC0D6C1E0187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401</v>
      </c>
      <c r="C2" s="21">
        <v>40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337631+461+2319</f>
        <v>340411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658249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432297</v>
      </c>
      <c r="G12" s="18">
        <v>3375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56734</v>
      </c>
      <c r="G13" s="18">
        <v>17912</v>
      </c>
      <c r="H13" s="18">
        <f>470740-435677</f>
        <v>35063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13580</v>
      </c>
      <c r="G14" s="18">
        <v>3807</v>
      </c>
      <c r="H14" s="18">
        <v>964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10865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11364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854386</v>
      </c>
      <c r="G19" s="41">
        <f>SUM(G9:G18)</f>
        <v>35959</v>
      </c>
      <c r="H19" s="41">
        <f>SUM(H9:H18)</f>
        <v>36027</v>
      </c>
      <c r="I19" s="41">
        <f>SUM(I9:I18)</f>
        <v>0</v>
      </c>
      <c r="J19" s="41">
        <f>SUM(J9:J18)</f>
        <v>658249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18171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336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130084+31511+4302</f>
        <v>165897</v>
      </c>
      <c r="G25" s="18">
        <v>13418</v>
      </c>
      <c r="H25" s="18">
        <v>11712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215+179+322+50+154+1148</f>
        <v>2068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>
        <f>622+217+311+60+92+1142</f>
        <v>2444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10020</v>
      </c>
      <c r="H31" s="18">
        <v>1355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186136</v>
      </c>
      <c r="G33" s="41">
        <f>SUM(G23:G32)</f>
        <v>23438</v>
      </c>
      <c r="H33" s="41">
        <f>SUM(H23:H32)</f>
        <v>15847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10865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300000</v>
      </c>
      <c r="G41" s="18">
        <v>1656</v>
      </c>
      <c r="H41" s="18">
        <v>20180</v>
      </c>
      <c r="I41" s="18"/>
      <c r="J41" s="13">
        <f>SUM(I449)</f>
        <v>658249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169000+63+50000-15000-31511-4302</f>
        <v>168250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668250</v>
      </c>
      <c r="G43" s="41">
        <f>SUM(G35:G42)</f>
        <v>12521</v>
      </c>
      <c r="H43" s="41">
        <f>SUM(H35:H42)</f>
        <v>20180</v>
      </c>
      <c r="I43" s="41">
        <f>SUM(I35:I42)</f>
        <v>0</v>
      </c>
      <c r="J43" s="41">
        <f>SUM(J35:J42)</f>
        <v>658249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854386</v>
      </c>
      <c r="G44" s="41">
        <f>G43+G33</f>
        <v>35959</v>
      </c>
      <c r="H44" s="41">
        <f>H43+H33</f>
        <v>36027</v>
      </c>
      <c r="I44" s="41">
        <f>I43+I33</f>
        <v>0</v>
      </c>
      <c r="J44" s="41">
        <f>J43+J33</f>
        <v>658249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5095156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5095156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8432</f>
        <v>8432</v>
      </c>
      <c r="G55" s="24" t="s">
        <v>312</v>
      </c>
      <c r="H55" s="18">
        <v>74689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53470+217978+145881+140707+721749+387548+67000</f>
        <v>1734333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48110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4">
        <v>61742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1852617</v>
      </c>
      <c r="G71" s="45" t="s">
        <v>312</v>
      </c>
      <c r="H71" s="41">
        <f>SUM(H55:H70)</f>
        <v>74689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9441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9441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2216</v>
      </c>
      <c r="G88" s="18"/>
      <c r="H88" s="18"/>
      <c r="I88" s="18"/>
      <c r="J88" s="18">
        <f>7176+3153+1349</f>
        <v>11678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129860</f>
        <v>129860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5348+164+437</f>
        <v>5949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29811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30640+1290+323+1</f>
        <v>32254</v>
      </c>
      <c r="G102" s="18">
        <v>17942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64281</v>
      </c>
      <c r="G103" s="41">
        <f>SUM(G88:G102)</f>
        <v>147802</v>
      </c>
      <c r="H103" s="41">
        <f>SUM(H88:H102)</f>
        <v>5949</v>
      </c>
      <c r="I103" s="41">
        <f>SUM(I88:I102)</f>
        <v>0</v>
      </c>
      <c r="J103" s="41">
        <f>SUM(J88:J102)</f>
        <v>11678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7021495</v>
      </c>
      <c r="G104" s="41">
        <f>G52+G103</f>
        <v>147802</v>
      </c>
      <c r="H104" s="41">
        <f>H52+H71+H86+H103</f>
        <v>80638</v>
      </c>
      <c r="I104" s="41">
        <f>I52+I103</f>
        <v>0</v>
      </c>
      <c r="J104" s="41">
        <f>J52+J103</f>
        <v>11678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6688740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1056662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242599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7988001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321772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162868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f>67742+5873</f>
        <v>73615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f>1996+181</f>
        <v>2177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4343+740+70</f>
        <v>5153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10350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570782</v>
      </c>
      <c r="G128" s="41">
        <f>SUM(G115:G127)</f>
        <v>5153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8558783</v>
      </c>
      <c r="G132" s="41">
        <f>G113+SUM(G128:G129)</f>
        <v>5153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4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>
        <v>47512</v>
      </c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47512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66219+30337+6222+363471+66283+10876+139+5329+10021+13987+515+200581</f>
        <v>773980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85355+227337+27528+12389+3941+8795+27427</f>
        <v>392772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19870+52801+27896+19035</f>
        <v>119602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185639+8429+39541+4087+3546+24754+10441-2184+21374</f>
        <v>295627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233732+8538+231422+5401</f>
        <v>479093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54668+10761</f>
        <v>65429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25756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91185</v>
      </c>
      <c r="G154" s="41">
        <f>SUM(G142:G153)</f>
        <v>295627</v>
      </c>
      <c r="H154" s="41">
        <f>SUM(H142:H153)</f>
        <v>1765447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91185</v>
      </c>
      <c r="G161" s="41">
        <f>G139+G154+SUM(G155:G160)</f>
        <v>295627</v>
      </c>
      <c r="H161" s="41">
        <f>H139+H154+SUM(H155:H160)</f>
        <v>1812959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12752</v>
      </c>
      <c r="H171" s="18"/>
      <c r="I171" s="18"/>
      <c r="J171" s="18">
        <v>300000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12752</v>
      </c>
      <c r="H175" s="41">
        <f>SUM(H171:H174)</f>
        <v>0</v>
      </c>
      <c r="I175" s="41">
        <f>SUM(I171:I174)</f>
        <v>0</v>
      </c>
      <c r="J175" s="41">
        <f>SUM(J171:J174)</f>
        <v>300000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12752</v>
      </c>
      <c r="H184" s="41">
        <f>+H175+SUM(H180:H183)</f>
        <v>0</v>
      </c>
      <c r="I184" s="41">
        <f>I169+I175+SUM(I180:I183)</f>
        <v>0</v>
      </c>
      <c r="J184" s="41">
        <f>J175</f>
        <v>300000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15671463</v>
      </c>
      <c r="G185" s="47">
        <f>G104+G132+G161+G184</f>
        <v>461334</v>
      </c>
      <c r="H185" s="47">
        <f>H104+H132+H161+H184</f>
        <v>1893597</v>
      </c>
      <c r="I185" s="47">
        <f>I104+I132+I161+I184</f>
        <v>0</v>
      </c>
      <c r="J185" s="47">
        <f>J104+J132+J184</f>
        <v>311678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1496099+6571</f>
        <v>1502670</v>
      </c>
      <c r="G189" s="18">
        <f>503+24+781607</f>
        <v>782134</v>
      </c>
      <c r="H189" s="18">
        <f>7665</f>
        <v>7665</v>
      </c>
      <c r="I189" s="18">
        <v>81765</v>
      </c>
      <c r="J189" s="18">
        <v>54399</v>
      </c>
      <c r="K189" s="18"/>
      <c r="L189" s="19">
        <f>SUM(F189:K189)</f>
        <v>2428633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982274</v>
      </c>
      <c r="G190" s="18">
        <v>424848</v>
      </c>
      <c r="H190" s="18">
        <f>4302+633945</f>
        <v>638247</v>
      </c>
      <c r="I190" s="18">
        <v>9009</v>
      </c>
      <c r="J190" s="18">
        <f>2585+180</f>
        <v>2765</v>
      </c>
      <c r="K190" s="18">
        <v>505</v>
      </c>
      <c r="L190" s="19">
        <f>SUM(F190:K190)</f>
        <v>2057648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2509</v>
      </c>
      <c r="G192" s="18">
        <v>312</v>
      </c>
      <c r="H192" s="18">
        <v>63</v>
      </c>
      <c r="I192" s="18"/>
      <c r="J192" s="18"/>
      <c r="K192" s="18"/>
      <c r="L192" s="19">
        <f>SUM(F192:K192)</f>
        <v>2884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143094</v>
      </c>
      <c r="G194" s="18">
        <v>38541</v>
      </c>
      <c r="H194" s="18">
        <v>5687</v>
      </c>
      <c r="I194" s="18">
        <v>3251</v>
      </c>
      <c r="J194" s="18"/>
      <c r="K194" s="18"/>
      <c r="L194" s="19">
        <f t="shared" ref="L194:L200" si="0">SUM(F194:K194)</f>
        <v>190573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149826</v>
      </c>
      <c r="G195" s="18">
        <v>102158</v>
      </c>
      <c r="H195" s="18">
        <v>67936</v>
      </c>
      <c r="I195" s="18">
        <v>50690</v>
      </c>
      <c r="J195" s="18">
        <v>45123</v>
      </c>
      <c r="K195" s="18"/>
      <c r="L195" s="19">
        <f t="shared" si="0"/>
        <v>415733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3912</v>
      </c>
      <c r="G196" s="18">
        <f>299+16</f>
        <v>315</v>
      </c>
      <c r="H196" s="18">
        <f>19613+323285</f>
        <v>342898</v>
      </c>
      <c r="I196" s="18">
        <v>1019</v>
      </c>
      <c r="J196" s="18"/>
      <c r="K196" s="18">
        <v>2599</v>
      </c>
      <c r="L196" s="19">
        <f t="shared" si="0"/>
        <v>350743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237154</v>
      </c>
      <c r="G197" s="18">
        <v>78170</v>
      </c>
      <c r="H197" s="18">
        <v>15233</v>
      </c>
      <c r="I197" s="18">
        <f>794+1257</f>
        <v>2051</v>
      </c>
      <c r="J197" s="18"/>
      <c r="K197" s="18">
        <f>597+253</f>
        <v>850</v>
      </c>
      <c r="L197" s="19">
        <f t="shared" si="0"/>
        <v>333458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118281</v>
      </c>
      <c r="G199" s="18">
        <v>67076</v>
      </c>
      <c r="H199" s="18">
        <f>125016+31511</f>
        <v>156527</v>
      </c>
      <c r="I199" s="18">
        <v>149881</v>
      </c>
      <c r="J199" s="18">
        <f>252+751</f>
        <v>1003</v>
      </c>
      <c r="K199" s="18"/>
      <c r="L199" s="19">
        <f t="shared" si="0"/>
        <v>492768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88150</v>
      </c>
      <c r="G200" s="18">
        <v>20444</v>
      </c>
      <c r="H200" s="18">
        <v>65847</v>
      </c>
      <c r="I200" s="18">
        <v>27287</v>
      </c>
      <c r="J200" s="18">
        <f>78139+923</f>
        <v>79062</v>
      </c>
      <c r="K200" s="18">
        <v>361</v>
      </c>
      <c r="L200" s="19">
        <f t="shared" si="0"/>
        <v>281151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5285</v>
      </c>
      <c r="G201" s="18">
        <f>404+24</f>
        <v>428</v>
      </c>
      <c r="H201" s="18"/>
      <c r="I201" s="18"/>
      <c r="J201" s="18"/>
      <c r="K201" s="18"/>
      <c r="L201" s="19">
        <f>SUM(F201:K201)</f>
        <v>5713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3233155</v>
      </c>
      <c r="G203" s="41">
        <f t="shared" si="1"/>
        <v>1514426</v>
      </c>
      <c r="H203" s="41">
        <f t="shared" si="1"/>
        <v>1300103</v>
      </c>
      <c r="I203" s="41">
        <f t="shared" si="1"/>
        <v>324953</v>
      </c>
      <c r="J203" s="41">
        <f t="shared" si="1"/>
        <v>182352</v>
      </c>
      <c r="K203" s="41">
        <f t="shared" si="1"/>
        <v>4315</v>
      </c>
      <c r="L203" s="41">
        <f t="shared" si="1"/>
        <v>6559304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561897+1743</f>
        <v>563640</v>
      </c>
      <c r="G207" s="18">
        <f>133+6+325721</f>
        <v>325860</v>
      </c>
      <c r="H207" s="18">
        <f>100+491</f>
        <v>591</v>
      </c>
      <c r="I207" s="18">
        <v>23210</v>
      </c>
      <c r="J207" s="18">
        <v>14007</v>
      </c>
      <c r="K207" s="18">
        <v>50</v>
      </c>
      <c r="L207" s="19">
        <f>SUM(F207:K207)</f>
        <v>927358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195163</v>
      </c>
      <c r="G208" s="18">
        <v>115774</v>
      </c>
      <c r="H208" s="18">
        <v>64593</v>
      </c>
      <c r="I208" s="18">
        <v>2189</v>
      </c>
      <c r="J208" s="18"/>
      <c r="K208" s="18">
        <v>139</v>
      </c>
      <c r="L208" s="19">
        <f>SUM(F208:K208)</f>
        <v>377858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13120</v>
      </c>
      <c r="G210" s="18">
        <v>1374</v>
      </c>
      <c r="H210" s="18"/>
      <c r="I210" s="18"/>
      <c r="J210" s="18"/>
      <c r="K210" s="18"/>
      <c r="L210" s="19">
        <f>SUM(F210:K210)</f>
        <v>14494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49359</v>
      </c>
      <c r="G212" s="18">
        <v>17764</v>
      </c>
      <c r="H212" s="18">
        <v>2930</v>
      </c>
      <c r="I212" s="18"/>
      <c r="J212" s="18"/>
      <c r="K212" s="18"/>
      <c r="L212" s="19">
        <f t="shared" ref="L212:L218" si="2">SUM(F212:K212)</f>
        <v>70053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12169</v>
      </c>
      <c r="G213" s="18">
        <v>8209</v>
      </c>
      <c r="H213" s="18">
        <f>1326+629</f>
        <v>1955</v>
      </c>
      <c r="I213" s="18">
        <v>216</v>
      </c>
      <c r="J213" s="18"/>
      <c r="K213" s="18"/>
      <c r="L213" s="19">
        <f t="shared" si="2"/>
        <v>22549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1038</v>
      </c>
      <c r="G214" s="18">
        <f>79+4</f>
        <v>83</v>
      </c>
      <c r="H214" s="18">
        <f>5201+85729</f>
        <v>90930</v>
      </c>
      <c r="I214" s="18">
        <v>270</v>
      </c>
      <c r="J214" s="18"/>
      <c r="K214" s="18">
        <v>689</v>
      </c>
      <c r="L214" s="19">
        <f t="shared" si="2"/>
        <v>93010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95897</v>
      </c>
      <c r="G215" s="18">
        <v>38723</v>
      </c>
      <c r="H215" s="18"/>
      <c r="I215" s="18"/>
      <c r="J215" s="18"/>
      <c r="K215" s="18"/>
      <c r="L215" s="19">
        <f t="shared" si="2"/>
        <v>134620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4"/>
      <c r="G216" s="4"/>
      <c r="H216" s="4"/>
      <c r="I216" s="4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6550+6+(145579*0.26)</f>
        <v>44406.54</v>
      </c>
      <c r="G217" s="18">
        <f>3440+(86655*0.26)</f>
        <v>25970.3</v>
      </c>
      <c r="H217" s="18">
        <f>6353+(551011*0.26)</f>
        <v>149615.86000000002</v>
      </c>
      <c r="I217" s="18">
        <f>281+(210344*0.26)</f>
        <v>54970.44</v>
      </c>
      <c r="J217" s="18"/>
      <c r="K217" s="18"/>
      <c r="L217" s="19">
        <f>SUM(F217:K217)</f>
        <v>274963.14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26581</v>
      </c>
      <c r="G218" s="18">
        <v>5803</v>
      </c>
      <c r="H218" s="18">
        <v>3961</v>
      </c>
      <c r="I218" s="18">
        <v>7236</v>
      </c>
      <c r="J218" s="18">
        <f>20721+245</f>
        <v>20966</v>
      </c>
      <c r="K218" s="18">
        <v>96</v>
      </c>
      <c r="L218" s="19">
        <f t="shared" si="2"/>
        <v>64643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1401</v>
      </c>
      <c r="G219" s="18">
        <f>107+6</f>
        <v>113</v>
      </c>
      <c r="H219" s="18"/>
      <c r="I219" s="18"/>
      <c r="J219" s="18"/>
      <c r="K219" s="18"/>
      <c r="L219" s="19">
        <f>SUM(F219:K219)</f>
        <v>1514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1002774.54</v>
      </c>
      <c r="G221" s="41">
        <f>SUM(G207:G220)</f>
        <v>539673.30000000005</v>
      </c>
      <c r="H221" s="41">
        <f>SUM(H207:H220)</f>
        <v>314575.86</v>
      </c>
      <c r="I221" s="41">
        <f>SUM(I207:I220)</f>
        <v>88091.44</v>
      </c>
      <c r="J221" s="41">
        <f>SUM(J207:J220)</f>
        <v>34973</v>
      </c>
      <c r="K221" s="41">
        <f t="shared" si="3"/>
        <v>974</v>
      </c>
      <c r="L221" s="41">
        <f t="shared" si="3"/>
        <v>1981062.1400000001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1061865+4988</f>
        <v>1066853</v>
      </c>
      <c r="G225" s="18">
        <f>382+18+543496</f>
        <v>543896</v>
      </c>
      <c r="H225" s="18">
        <v>31617</v>
      </c>
      <c r="I225" s="18">
        <v>59974</v>
      </c>
      <c r="J225" s="18">
        <v>47558</v>
      </c>
      <c r="K225" s="18">
        <v>432</v>
      </c>
      <c r="L225" s="19">
        <f>SUM(F225:K225)</f>
        <v>1750330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453127</v>
      </c>
      <c r="G226" s="18">
        <v>243143</v>
      </c>
      <c r="H226" s="18">
        <v>830926</v>
      </c>
      <c r="I226" s="18">
        <v>3969</v>
      </c>
      <c r="J226" s="18"/>
      <c r="K226" s="18">
        <v>383</v>
      </c>
      <c r="L226" s="19">
        <f>SUM(F226:K226)</f>
        <v>1531548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358284</v>
      </c>
      <c r="G227" s="18">
        <v>184538</v>
      </c>
      <c r="H227" s="18">
        <v>31894</v>
      </c>
      <c r="I227" s="18">
        <v>62180</v>
      </c>
      <c r="J227" s="18">
        <v>17975</v>
      </c>
      <c r="K227" s="18"/>
      <c r="L227" s="19">
        <f>SUM(F227:K227)</f>
        <v>654871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124634</v>
      </c>
      <c r="G228" s="18">
        <v>30094</v>
      </c>
      <c r="H228" s="18">
        <f>32202+10350</f>
        <v>42552</v>
      </c>
      <c r="I228" s="18">
        <f>17573+721</f>
        <v>18294</v>
      </c>
      <c r="J228" s="18">
        <v>5041</v>
      </c>
      <c r="K228" s="18">
        <f>210+7575</f>
        <v>7785</v>
      </c>
      <c r="L228" s="19">
        <f>SUM(F228:K228)</f>
        <v>228400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202241</v>
      </c>
      <c r="G230" s="18">
        <v>99992</v>
      </c>
      <c r="H230" s="18">
        <v>19149</v>
      </c>
      <c r="I230" s="18">
        <v>978</v>
      </c>
      <c r="J230" s="18"/>
      <c r="K230" s="18">
        <v>160</v>
      </c>
      <c r="L230" s="19">
        <f t="shared" ref="L230:L236" si="4">SUM(F230:K230)</f>
        <v>322520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159563</v>
      </c>
      <c r="G231" s="18">
        <v>105309</v>
      </c>
      <c r="H231" s="18">
        <v>74291</v>
      </c>
      <c r="I231" s="18">
        <v>70740</v>
      </c>
      <c r="J231" s="18">
        <f>9638+37877</f>
        <v>47515</v>
      </c>
      <c r="K231" s="18">
        <v>11779</v>
      </c>
      <c r="L231" s="19">
        <f t="shared" si="4"/>
        <v>469197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2970</v>
      </c>
      <c r="G232" s="18">
        <f>227+12</f>
        <v>239</v>
      </c>
      <c r="H232" s="18">
        <f>14889+245408</f>
        <v>260297</v>
      </c>
      <c r="I232" s="18">
        <v>774</v>
      </c>
      <c r="J232" s="18"/>
      <c r="K232" s="18">
        <v>1973</v>
      </c>
      <c r="L232" s="19">
        <f t="shared" si="4"/>
        <v>266253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311656</v>
      </c>
      <c r="G233" s="18">
        <v>124358</v>
      </c>
      <c r="H233" s="18">
        <v>25371</v>
      </c>
      <c r="I233" s="18">
        <f>5529+3961</f>
        <v>9490</v>
      </c>
      <c r="J233" s="18">
        <f>12029+868</f>
        <v>12897</v>
      </c>
      <c r="K233" s="18">
        <f>4676+679</f>
        <v>5355</v>
      </c>
      <c r="L233" s="19">
        <f t="shared" si="4"/>
        <v>489127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145579-(145579*0.26)</f>
        <v>107728.45999999999</v>
      </c>
      <c r="G235" s="18">
        <f>86655-(86655*0.26)</f>
        <v>64124.7</v>
      </c>
      <c r="H235" s="18">
        <f>551011-(551011*0.26)</f>
        <v>407748.14</v>
      </c>
      <c r="I235" s="18">
        <f>210344-(210344*0.26)</f>
        <v>155654.56</v>
      </c>
      <c r="J235" s="18">
        <v>9091</v>
      </c>
      <c r="K235" s="18"/>
      <c r="L235" s="19">
        <f t="shared" si="4"/>
        <v>744346.8600000001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84343</v>
      </c>
      <c r="G236" s="18">
        <v>17595</v>
      </c>
      <c r="H236" s="18">
        <v>129540</v>
      </c>
      <c r="I236" s="18">
        <v>21022</v>
      </c>
      <c r="J236" s="18">
        <f>59316+700</f>
        <v>60016</v>
      </c>
      <c r="K236" s="18">
        <v>274</v>
      </c>
      <c r="L236" s="19">
        <f t="shared" si="4"/>
        <v>312790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4012</v>
      </c>
      <c r="G237" s="18">
        <f>307+19</f>
        <v>326</v>
      </c>
      <c r="H237" s="18"/>
      <c r="I237" s="18"/>
      <c r="J237" s="18"/>
      <c r="K237" s="18"/>
      <c r="L237" s="19">
        <f>SUM(F237:K237)</f>
        <v>4338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2875411.46</v>
      </c>
      <c r="G239" s="41">
        <f t="shared" si="5"/>
        <v>1413614.7</v>
      </c>
      <c r="H239" s="41">
        <f t="shared" si="5"/>
        <v>1853385.1400000001</v>
      </c>
      <c r="I239" s="41">
        <f t="shared" si="5"/>
        <v>403075.56</v>
      </c>
      <c r="J239" s="41">
        <f t="shared" si="5"/>
        <v>200093</v>
      </c>
      <c r="K239" s="41">
        <f t="shared" si="5"/>
        <v>28141</v>
      </c>
      <c r="L239" s="41">
        <f t="shared" si="5"/>
        <v>6773720.8600000003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7111341</v>
      </c>
      <c r="G249" s="41">
        <f t="shared" si="8"/>
        <v>3467714</v>
      </c>
      <c r="H249" s="41">
        <f t="shared" si="8"/>
        <v>3468064</v>
      </c>
      <c r="I249" s="41">
        <f t="shared" si="8"/>
        <v>816120</v>
      </c>
      <c r="J249" s="41">
        <f t="shared" si="8"/>
        <v>417418</v>
      </c>
      <c r="K249" s="41">
        <f t="shared" si="8"/>
        <v>33430</v>
      </c>
      <c r="L249" s="41">
        <f t="shared" si="8"/>
        <v>15314087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565000</v>
      </c>
      <c r="L252" s="19">
        <f>SUM(F252:K252)</f>
        <v>565000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420125</v>
      </c>
      <c r="L253" s="19">
        <f>SUM(F253:K253)</f>
        <v>420125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12752</v>
      </c>
      <c r="L255" s="19">
        <f>SUM(F255:K255)</f>
        <v>12752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300000</v>
      </c>
      <c r="L258" s="19">
        <f t="shared" si="9"/>
        <v>300000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1297877</v>
      </c>
      <c r="L262" s="41">
        <f t="shared" si="9"/>
        <v>1297877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7111341</v>
      </c>
      <c r="G263" s="42">
        <f t="shared" si="11"/>
        <v>3467714</v>
      </c>
      <c r="H263" s="42">
        <f t="shared" si="11"/>
        <v>3468064</v>
      </c>
      <c r="I263" s="42">
        <f t="shared" si="11"/>
        <v>816120</v>
      </c>
      <c r="J263" s="42">
        <f t="shared" si="11"/>
        <v>417418</v>
      </c>
      <c r="K263" s="42">
        <f t="shared" si="11"/>
        <v>1331307</v>
      </c>
      <c r="L263" s="42">
        <f t="shared" si="11"/>
        <v>16611964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320387</v>
      </c>
      <c r="G268" s="18">
        <v>105888</v>
      </c>
      <c r="H268" s="18">
        <f>21545</f>
        <v>21545</v>
      </c>
      <c r="I268" s="18">
        <v>18855</v>
      </c>
      <c r="J268" s="18">
        <v>113056</v>
      </c>
      <c r="K268" s="18"/>
      <c r="L268" s="19">
        <f>SUM(F268:K268)</f>
        <v>579731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70534</v>
      </c>
      <c r="G269" s="18">
        <v>18938</v>
      </c>
      <c r="H269" s="18">
        <v>8359</v>
      </c>
      <c r="I269" s="18">
        <v>5295</v>
      </c>
      <c r="J269" s="18">
        <v>5051</v>
      </c>
      <c r="K269" s="18">
        <v>287</v>
      </c>
      <c r="L269" s="19">
        <f>SUM(F269:K269)</f>
        <v>108464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25308</v>
      </c>
      <c r="G271" s="18">
        <v>3785</v>
      </c>
      <c r="H271" s="18">
        <v>5518</v>
      </c>
      <c r="I271" s="18"/>
      <c r="J271" s="18"/>
      <c r="K271" s="18"/>
      <c r="L271" s="19">
        <f>SUM(F271:K271)</f>
        <v>34611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85+12074</f>
        <v>12159</v>
      </c>
      <c r="G273" s="18">
        <f>14+3743</f>
        <v>3757</v>
      </c>
      <c r="H273" s="18">
        <f>242+9908</f>
        <v>10150</v>
      </c>
      <c r="I273" s="18">
        <v>1743</v>
      </c>
      <c r="J273" s="18">
        <v>1799</v>
      </c>
      <c r="K273" s="18"/>
      <c r="L273" s="19">
        <f t="shared" ref="L273:L279" si="12">SUM(F273:K273)</f>
        <v>29608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55252</v>
      </c>
      <c r="G274" s="18">
        <v>19861</v>
      </c>
      <c r="H274" s="18">
        <v>94467</v>
      </c>
      <c r="I274" s="18">
        <v>6352</v>
      </c>
      <c r="J274" s="18"/>
      <c r="K274" s="18">
        <v>22</v>
      </c>
      <c r="L274" s="19">
        <f t="shared" si="12"/>
        <v>175954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2027</v>
      </c>
      <c r="G275" s="18">
        <f>327</f>
        <v>327</v>
      </c>
      <c r="H275" s="18"/>
      <c r="I275" s="18"/>
      <c r="J275" s="18"/>
      <c r="K275" s="18">
        <v>27520</v>
      </c>
      <c r="L275" s="19">
        <f t="shared" si="12"/>
        <v>29874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>
        <v>36075</v>
      </c>
      <c r="K279" s="18"/>
      <c r="L279" s="19">
        <f t="shared" si="12"/>
        <v>36075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485667</v>
      </c>
      <c r="G282" s="42">
        <f t="shared" si="13"/>
        <v>152556</v>
      </c>
      <c r="H282" s="42">
        <f t="shared" si="13"/>
        <v>140039</v>
      </c>
      <c r="I282" s="42">
        <f t="shared" si="13"/>
        <v>32245</v>
      </c>
      <c r="J282" s="42">
        <f t="shared" si="13"/>
        <v>155981</v>
      </c>
      <c r="K282" s="42">
        <f t="shared" si="13"/>
        <v>27829</v>
      </c>
      <c r="L282" s="41">
        <f t="shared" si="13"/>
        <v>994317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1765</v>
      </c>
      <c r="G287" s="18">
        <f>134+143+8</f>
        <v>285</v>
      </c>
      <c r="H287" s="18">
        <v>26</v>
      </c>
      <c r="I287" s="18">
        <v>2805</v>
      </c>
      <c r="J287" s="18">
        <v>6654</v>
      </c>
      <c r="K287" s="18"/>
      <c r="L287" s="19">
        <f>SUM(F287:K287)</f>
        <v>11535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18384</v>
      </c>
      <c r="G288" s="18">
        <v>4997</v>
      </c>
      <c r="H288" s="18">
        <v>2217</v>
      </c>
      <c r="I288" s="18">
        <v>1318</v>
      </c>
      <c r="J288" s="18">
        <v>448</v>
      </c>
      <c r="K288" s="18"/>
      <c r="L288" s="19">
        <f>SUM(F288:K288)</f>
        <v>27364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862</v>
      </c>
      <c r="G290" s="18">
        <v>118</v>
      </c>
      <c r="H290" s="18">
        <v>161</v>
      </c>
      <c r="I290" s="18"/>
      <c r="J290" s="18"/>
      <c r="K290" s="18"/>
      <c r="L290" s="19">
        <f>SUM(F290:K290)</f>
        <v>1141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24+23</f>
        <v>47</v>
      </c>
      <c r="G292" s="18">
        <v>6</v>
      </c>
      <c r="H292" s="18">
        <f>503+2124</f>
        <v>2627</v>
      </c>
      <c r="I292" s="18">
        <v>340</v>
      </c>
      <c r="J292" s="18">
        <v>477</v>
      </c>
      <c r="K292" s="18"/>
      <c r="L292" s="19">
        <f t="shared" ref="L292:L298" si="14">SUM(F292:K292)</f>
        <v>3497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7362</v>
      </c>
      <c r="G293" s="18">
        <v>1682</v>
      </c>
      <c r="H293" s="18">
        <f>7903+12306</f>
        <v>20209</v>
      </c>
      <c r="I293" s="18">
        <v>790</v>
      </c>
      <c r="J293" s="18"/>
      <c r="K293" s="18">
        <v>2892</v>
      </c>
      <c r="L293" s="19">
        <f t="shared" si="14"/>
        <v>32935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>
        <v>9566</v>
      </c>
      <c r="K298" s="18"/>
      <c r="L298" s="19">
        <f t="shared" si="14"/>
        <v>9566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28420</v>
      </c>
      <c r="G301" s="42">
        <f t="shared" si="15"/>
        <v>7088</v>
      </c>
      <c r="H301" s="42">
        <f t="shared" si="15"/>
        <v>25240</v>
      </c>
      <c r="I301" s="42">
        <f t="shared" si="15"/>
        <v>5253</v>
      </c>
      <c r="J301" s="42">
        <f t="shared" si="15"/>
        <v>17145</v>
      </c>
      <c r="K301" s="42">
        <f t="shared" si="15"/>
        <v>2892</v>
      </c>
      <c r="L301" s="41">
        <f t="shared" si="15"/>
        <v>86038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5051</v>
      </c>
      <c r="G306" s="18">
        <v>815</v>
      </c>
      <c r="H306" s="18">
        <f>26597+75</f>
        <v>26672</v>
      </c>
      <c r="I306" s="18">
        <v>8028</v>
      </c>
      <c r="J306" s="18">
        <v>19049</v>
      </c>
      <c r="K306" s="18"/>
      <c r="L306" s="19">
        <f>SUM(F306:K306)</f>
        <v>59615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52625</v>
      </c>
      <c r="G307" s="18">
        <v>14303</v>
      </c>
      <c r="H307" s="18">
        <v>6345</v>
      </c>
      <c r="I307" s="18">
        <v>3772</v>
      </c>
      <c r="J307" s="18">
        <v>1284</v>
      </c>
      <c r="K307" s="18"/>
      <c r="L307" s="19">
        <f>SUM(F307:K307)</f>
        <v>78329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22064</v>
      </c>
      <c r="G308" s="18">
        <v>2751</v>
      </c>
      <c r="H308" s="18">
        <v>27610</v>
      </c>
      <c r="I308" s="18">
        <v>2518</v>
      </c>
      <c r="J308" s="18">
        <v>43731</v>
      </c>
      <c r="K308" s="18"/>
      <c r="L308" s="19">
        <f>SUM(F308:K308)</f>
        <v>98674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2468</v>
      </c>
      <c r="G309" s="18">
        <f>189+137+11</f>
        <v>337</v>
      </c>
      <c r="H309" s="18">
        <v>461</v>
      </c>
      <c r="I309" s="18"/>
      <c r="J309" s="18"/>
      <c r="K309" s="18"/>
      <c r="L309" s="19">
        <f>SUM(F309:K309)</f>
        <v>3266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1699</v>
      </c>
      <c r="G311" s="18">
        <v>156</v>
      </c>
      <c r="H311" s="18">
        <v>19799</v>
      </c>
      <c r="I311" s="18">
        <v>5675</v>
      </c>
      <c r="J311" s="18">
        <v>1366</v>
      </c>
      <c r="K311" s="18">
        <v>65</v>
      </c>
      <c r="L311" s="19">
        <f t="shared" ref="L311:L317" si="16">SUM(F311:K311)</f>
        <v>28760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23335</v>
      </c>
      <c r="G312" s="18">
        <v>5183</v>
      </c>
      <c r="H312" s="18">
        <v>48112</v>
      </c>
      <c r="I312" s="18">
        <v>3015</v>
      </c>
      <c r="J312" s="18"/>
      <c r="K312" s="18">
        <v>2155</v>
      </c>
      <c r="L312" s="19">
        <f t="shared" si="16"/>
        <v>81800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3039</v>
      </c>
      <c r="G313" s="18">
        <v>370</v>
      </c>
      <c r="H313" s="18">
        <v>7822</v>
      </c>
      <c r="I313" s="18">
        <v>90</v>
      </c>
      <c r="J313" s="18"/>
      <c r="K313" s="18">
        <v>10892</v>
      </c>
      <c r="L313" s="19">
        <f t="shared" si="16"/>
        <v>22213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3495</v>
      </c>
      <c r="I317" s="18"/>
      <c r="J317" s="18">
        <v>27385</v>
      </c>
      <c r="K317" s="18"/>
      <c r="L317" s="19">
        <f t="shared" si="16"/>
        <v>30880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>
        <v>220</v>
      </c>
      <c r="L318" s="19">
        <f>SUM(F318:K318)</f>
        <v>220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110281</v>
      </c>
      <c r="G320" s="42">
        <f t="shared" si="17"/>
        <v>23915</v>
      </c>
      <c r="H320" s="42">
        <f t="shared" si="17"/>
        <v>140316</v>
      </c>
      <c r="I320" s="42">
        <f t="shared" si="17"/>
        <v>23098</v>
      </c>
      <c r="J320" s="42">
        <f t="shared" si="17"/>
        <v>92815</v>
      </c>
      <c r="K320" s="42">
        <f t="shared" si="17"/>
        <v>13332</v>
      </c>
      <c r="L320" s="41">
        <f t="shared" si="17"/>
        <v>403757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f>75850+15000+6481+1600</f>
        <v>98931</v>
      </c>
      <c r="I324" s="18"/>
      <c r="J324" s="18"/>
      <c r="K324" s="18">
        <v>3017</v>
      </c>
      <c r="L324" s="19">
        <f t="shared" ref="L324:L329" si="18">SUM(F324:K324)</f>
        <v>101948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201070</v>
      </c>
      <c r="G327" s="18">
        <v>18557</v>
      </c>
      <c r="H327" s="18">
        <v>19269</v>
      </c>
      <c r="I327" s="18">
        <v>27688</v>
      </c>
      <c r="J327" s="18">
        <v>1526</v>
      </c>
      <c r="K327" s="18">
        <v>19247</v>
      </c>
      <c r="L327" s="19">
        <f t="shared" si="18"/>
        <v>287357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201070</v>
      </c>
      <c r="G329" s="41">
        <f t="shared" si="19"/>
        <v>18557</v>
      </c>
      <c r="H329" s="41">
        <f t="shared" si="19"/>
        <v>118200</v>
      </c>
      <c r="I329" s="41">
        <f t="shared" si="19"/>
        <v>27688</v>
      </c>
      <c r="J329" s="41">
        <f t="shared" si="19"/>
        <v>1526</v>
      </c>
      <c r="K329" s="41">
        <f t="shared" si="19"/>
        <v>22264</v>
      </c>
      <c r="L329" s="41">
        <f t="shared" si="18"/>
        <v>389305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825438</v>
      </c>
      <c r="G330" s="41">
        <f t="shared" si="20"/>
        <v>202116</v>
      </c>
      <c r="H330" s="41">
        <f t="shared" si="20"/>
        <v>423795</v>
      </c>
      <c r="I330" s="41">
        <f t="shared" si="20"/>
        <v>88284</v>
      </c>
      <c r="J330" s="41">
        <f t="shared" si="20"/>
        <v>267467</v>
      </c>
      <c r="K330" s="41">
        <f t="shared" si="20"/>
        <v>66317</v>
      </c>
      <c r="L330" s="41">
        <f t="shared" si="20"/>
        <v>1873417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825438</v>
      </c>
      <c r="G344" s="41">
        <f>G330</f>
        <v>202116</v>
      </c>
      <c r="H344" s="41">
        <f>H330</f>
        <v>423795</v>
      </c>
      <c r="I344" s="41">
        <f>I330</f>
        <v>88284</v>
      </c>
      <c r="J344" s="41">
        <f>J330</f>
        <v>267467</v>
      </c>
      <c r="K344" s="47">
        <f>K330+K343</f>
        <v>66317</v>
      </c>
      <c r="L344" s="41">
        <f>L330+L343</f>
        <v>1873417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(384986+13283+6464+2096+6347)*0.49</f>
        <v>202456.24</v>
      </c>
      <c r="I350" s="18">
        <f>(300+1139+537+1807+231+21374+15265+6689+1117-301)*0.49</f>
        <v>23597.42</v>
      </c>
      <c r="J350" s="18"/>
      <c r="K350" s="18"/>
      <c r="L350" s="13">
        <f>SUM(F350:K350)</f>
        <v>226053.65999999997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f>(384986+13283+6464+2096+6347)*0.13</f>
        <v>53712.880000000005</v>
      </c>
      <c r="I351" s="18">
        <f>(300+1139+537+1807+231+21374+15265+6689+1117-301)*0.13</f>
        <v>6260.54</v>
      </c>
      <c r="J351" s="18"/>
      <c r="K351" s="18"/>
      <c r="L351" s="19">
        <f>SUM(F351:K351)</f>
        <v>59973.420000000006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f>(384986+13283+6464+2096+6347)*0.38</f>
        <v>157006.88</v>
      </c>
      <c r="I352" s="18">
        <f>(300+1139+537+1807+231+21374+15265+6689+1117-301)*0.38</f>
        <v>18300.04</v>
      </c>
      <c r="J352" s="18"/>
      <c r="K352" s="18"/>
      <c r="L352" s="19">
        <f>SUM(F352:K352)</f>
        <v>175306.92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413176</v>
      </c>
      <c r="I354" s="47">
        <f t="shared" si="22"/>
        <v>48158</v>
      </c>
      <c r="J354" s="47">
        <f t="shared" si="22"/>
        <v>0</v>
      </c>
      <c r="K354" s="47">
        <f t="shared" si="22"/>
        <v>0</v>
      </c>
      <c r="L354" s="47">
        <f t="shared" si="22"/>
        <v>461334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I350</f>
        <v>23597.42</v>
      </c>
      <c r="G360" s="63">
        <f>I351</f>
        <v>6260.54</v>
      </c>
      <c r="H360" s="63">
        <f>I352</f>
        <v>18300.04</v>
      </c>
      <c r="I360" s="56">
        <f>SUM(F360:H360)</f>
        <v>48158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23597.42</v>
      </c>
      <c r="G361" s="47">
        <f>SUM(G359:G360)</f>
        <v>6260.54</v>
      </c>
      <c r="H361" s="47">
        <f>SUM(H359:H360)</f>
        <v>18300.04</v>
      </c>
      <c r="I361" s="47">
        <f>SUM(I359:I360)</f>
        <v>48158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100000</v>
      </c>
      <c r="H381" s="18">
        <v>3153</v>
      </c>
      <c r="I381" s="18"/>
      <c r="J381" s="24" t="s">
        <v>312</v>
      </c>
      <c r="K381" s="24" t="s">
        <v>312</v>
      </c>
      <c r="L381" s="56">
        <f t="shared" si="25"/>
        <v>103153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100000</v>
      </c>
      <c r="H382" s="18">
        <v>1349</v>
      </c>
      <c r="I382" s="18"/>
      <c r="J382" s="24" t="s">
        <v>312</v>
      </c>
      <c r="K382" s="24" t="s">
        <v>312</v>
      </c>
      <c r="L382" s="56">
        <f t="shared" si="25"/>
        <v>101349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200000</v>
      </c>
      <c r="H385" s="139">
        <f>SUM(H379:H384)</f>
        <v>4502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204502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100000</v>
      </c>
      <c r="H390" s="18">
        <v>7176</v>
      </c>
      <c r="I390" s="18"/>
      <c r="J390" s="24" t="s">
        <v>312</v>
      </c>
      <c r="K390" s="24" t="s">
        <v>312</v>
      </c>
      <c r="L390" s="56">
        <f t="shared" si="26"/>
        <v>107176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100000</v>
      </c>
      <c r="H393" s="47">
        <f>SUM(H387:H392)</f>
        <v>7176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107176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300000</v>
      </c>
      <c r="H400" s="47">
        <f>H385+H393+H399</f>
        <v>11678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311678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658249</v>
      </c>
      <c r="G432" s="18"/>
      <c r="H432" s="18"/>
      <c r="I432" s="56">
        <f t="shared" si="33"/>
        <v>658249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658249</v>
      </c>
      <c r="G438" s="13">
        <f>SUM(G431:G437)</f>
        <v>0</v>
      </c>
      <c r="H438" s="13">
        <f>SUM(H431:H437)</f>
        <v>0</v>
      </c>
      <c r="I438" s="13">
        <f>SUM(I431:I437)</f>
        <v>658249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658249</v>
      </c>
      <c r="G449" s="18"/>
      <c r="H449" s="18"/>
      <c r="I449" s="56">
        <f>SUM(F449:H449)</f>
        <v>658249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658249</v>
      </c>
      <c r="G450" s="83">
        <f>SUM(G446:G449)</f>
        <v>0</v>
      </c>
      <c r="H450" s="83">
        <f>SUM(H446:H449)</f>
        <v>0</v>
      </c>
      <c r="I450" s="83">
        <f>SUM(I446:I449)</f>
        <v>658249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658249</v>
      </c>
      <c r="G451" s="42">
        <f>G444+G450</f>
        <v>0</v>
      </c>
      <c r="H451" s="42">
        <f>H444+H450</f>
        <v>0</v>
      </c>
      <c r="I451" s="42">
        <f>I444+I450</f>
        <v>658249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1608751</v>
      </c>
      <c r="G455" s="18">
        <v>12521</v>
      </c>
      <c r="H455" s="18">
        <v>0</v>
      </c>
      <c r="I455" s="18"/>
      <c r="J455" s="18">
        <v>346571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15671463</v>
      </c>
      <c r="G458" s="18">
        <f>G185</f>
        <v>461334</v>
      </c>
      <c r="H458" s="18">
        <f>H185</f>
        <v>1893597</v>
      </c>
      <c r="I458" s="18"/>
      <c r="J458" s="18">
        <f>L400</f>
        <v>311678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15671463</v>
      </c>
      <c r="G460" s="53">
        <f>SUM(G458:G459)</f>
        <v>461334</v>
      </c>
      <c r="H460" s="53">
        <f>SUM(H458:H459)</f>
        <v>1893597</v>
      </c>
      <c r="I460" s="53">
        <f>SUM(I458:I459)</f>
        <v>0</v>
      </c>
      <c r="J460" s="53">
        <f>SUM(J458:J459)</f>
        <v>311678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16611964</v>
      </c>
      <c r="G462" s="18">
        <v>461334</v>
      </c>
      <c r="H462" s="18">
        <f>L330</f>
        <v>1873417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16611964</v>
      </c>
      <c r="G464" s="53">
        <f>SUM(G462:G463)</f>
        <v>461334</v>
      </c>
      <c r="H464" s="53">
        <f>SUM(H462:H463)</f>
        <v>1873417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668250</v>
      </c>
      <c r="G466" s="53">
        <f>(G455+G460)- G464</f>
        <v>12521</v>
      </c>
      <c r="H466" s="53">
        <f>(H455+H460)- H464</f>
        <v>20180</v>
      </c>
      <c r="I466" s="53">
        <f>(I455+I460)- I464</f>
        <v>0</v>
      </c>
      <c r="J466" s="53">
        <f>(J455+J460)- J464</f>
        <v>658249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546800</v>
      </c>
      <c r="G483" s="18">
        <v>10156100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3.5</v>
      </c>
      <c r="G484" s="18">
        <v>4.57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155000</v>
      </c>
      <c r="G485" s="18">
        <v>9140000</v>
      </c>
      <c r="H485" s="18"/>
      <c r="I485" s="18"/>
      <c r="J485" s="18"/>
      <c r="K485" s="53">
        <f>SUM(F485:J485)</f>
        <v>9295000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55000</v>
      </c>
      <c r="G487" s="18">
        <v>510000</v>
      </c>
      <c r="H487" s="18"/>
      <c r="I487" s="18"/>
      <c r="J487" s="18"/>
      <c r="K487" s="53">
        <f t="shared" si="34"/>
        <v>565000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100000</v>
      </c>
      <c r="G488" s="205">
        <v>8630000</v>
      </c>
      <c r="H488" s="205"/>
      <c r="I488" s="205"/>
      <c r="J488" s="205"/>
      <c r="K488" s="206">
        <f t="shared" si="34"/>
        <v>8730000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4000</v>
      </c>
      <c r="G489" s="18">
        <v>3496213</v>
      </c>
      <c r="H489" s="18"/>
      <c r="I489" s="18"/>
      <c r="J489" s="18"/>
      <c r="K489" s="53">
        <f t="shared" si="34"/>
        <v>3500213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104000</v>
      </c>
      <c r="G490" s="42">
        <f>SUM(G488:G489)</f>
        <v>12126213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12230213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50000</v>
      </c>
      <c r="G491" s="205">
        <v>510000</v>
      </c>
      <c r="H491" s="205"/>
      <c r="I491" s="205"/>
      <c r="J491" s="205"/>
      <c r="K491" s="206">
        <f t="shared" si="34"/>
        <v>560000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3000</v>
      </c>
      <c r="G492" s="18">
        <f>202413+192212</f>
        <v>394625</v>
      </c>
      <c r="H492" s="18"/>
      <c r="I492" s="18"/>
      <c r="J492" s="18"/>
      <c r="K492" s="53">
        <f t="shared" si="34"/>
        <v>397625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53000</v>
      </c>
      <c r="G493" s="42">
        <f>SUM(G491:G492)</f>
        <v>904625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957625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673345+22798+70534</f>
        <v>766677</v>
      </c>
      <c r="G511" s="18">
        <f>329405+18939</f>
        <v>348344</v>
      </c>
      <c r="H511" s="18">
        <f>227657+8359-5209</f>
        <v>230807</v>
      </c>
      <c r="I511" s="18">
        <f>3800+5295+5209</f>
        <v>14304</v>
      </c>
      <c r="J511" s="18">
        <f>2765+5051</f>
        <v>7816</v>
      </c>
      <c r="K511" s="18">
        <f>505+287</f>
        <v>792</v>
      </c>
      <c r="L511" s="88">
        <f>SUM(F511:K511)</f>
        <v>1368740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180138+18384</f>
        <v>198522</v>
      </c>
      <c r="G512" s="18">
        <f>111116+4997</f>
        <v>116113</v>
      </c>
      <c r="H512" s="18">
        <f>56830+2217-2627</f>
        <v>56420</v>
      </c>
      <c r="I512" s="18">
        <f>2189+1318</f>
        <v>3507</v>
      </c>
      <c r="J512" s="18">
        <v>448</v>
      </c>
      <c r="K512" s="18">
        <v>139</v>
      </c>
      <c r="L512" s="88">
        <f>SUM(F512:K512)</f>
        <v>375149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410116+52625</f>
        <v>462741</v>
      </c>
      <c r="G513" s="18">
        <f>229810+14303</f>
        <v>244113</v>
      </c>
      <c r="H513" s="18">
        <f>814094+6345-7520</f>
        <v>812919</v>
      </c>
      <c r="I513" s="18">
        <f>3969+3772</f>
        <v>7741</v>
      </c>
      <c r="J513" s="18"/>
      <c r="K513" s="18">
        <v>383</v>
      </c>
      <c r="L513" s="88">
        <f>SUM(F513:K513)</f>
        <v>1527897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1427940</v>
      </c>
      <c r="G514" s="108">
        <f t="shared" ref="G514:L514" si="35">SUM(G511:G513)</f>
        <v>708570</v>
      </c>
      <c r="H514" s="108">
        <f t="shared" si="35"/>
        <v>1100146</v>
      </c>
      <c r="I514" s="108">
        <f t="shared" si="35"/>
        <v>25552</v>
      </c>
      <c r="J514" s="108">
        <f t="shared" si="35"/>
        <v>8264</v>
      </c>
      <c r="K514" s="108">
        <f t="shared" si="35"/>
        <v>1314</v>
      </c>
      <c r="L514" s="89">
        <f t="shared" si="35"/>
        <v>3271786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264447+(1897+8011)</f>
        <v>274355</v>
      </c>
      <c r="G516" s="18">
        <v>95446</v>
      </c>
      <c r="H516" s="18">
        <f>406288+8229</f>
        <v>414517</v>
      </c>
      <c r="I516" s="18">
        <f>5209+(703+505+536)</f>
        <v>6953</v>
      </c>
      <c r="J516" s="18">
        <f>(233+1566)</f>
        <v>1799</v>
      </c>
      <c r="K516" s="18"/>
      <c r="L516" s="88">
        <f>SUM(F516:K516)</f>
        <v>793070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15025</v>
      </c>
      <c r="G517" s="18">
        <v>4658</v>
      </c>
      <c r="H517" s="18">
        <f>7763+503+2124</f>
        <v>10390</v>
      </c>
      <c r="I517" s="18"/>
      <c r="J517" s="18"/>
      <c r="K517" s="18"/>
      <c r="L517" s="88">
        <f>SUM(F517:K517)</f>
        <v>30073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43011</v>
      </c>
      <c r="G518" s="18">
        <f>13334-1</f>
        <v>13333</v>
      </c>
      <c r="H518" s="18">
        <f>16831+1440+6081</f>
        <v>24352</v>
      </c>
      <c r="I518" s="18"/>
      <c r="J518" s="18">
        <f>177+1188</f>
        <v>1365</v>
      </c>
      <c r="K518" s="18"/>
      <c r="L518" s="88">
        <f>SUM(F518:K518)</f>
        <v>82061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332391</v>
      </c>
      <c r="G519" s="89">
        <f t="shared" ref="G519:L519" si="36">SUM(G516:G518)</f>
        <v>113437</v>
      </c>
      <c r="H519" s="89">
        <f t="shared" si="36"/>
        <v>449259</v>
      </c>
      <c r="I519" s="89">
        <f t="shared" si="36"/>
        <v>6953</v>
      </c>
      <c r="J519" s="89">
        <f t="shared" si="36"/>
        <v>3164</v>
      </c>
      <c r="K519" s="89">
        <f t="shared" si="36"/>
        <v>0</v>
      </c>
      <c r="L519" s="89">
        <f t="shared" si="36"/>
        <v>905204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13560</f>
        <v>13560</v>
      </c>
      <c r="G521" s="18"/>
      <c r="H521" s="18">
        <v>49216</v>
      </c>
      <c r="I521" s="18"/>
      <c r="J521" s="18"/>
      <c r="K521" s="18"/>
      <c r="L521" s="88">
        <f>SUM(F521:K521)</f>
        <v>62776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12796</v>
      </c>
      <c r="I522" s="18"/>
      <c r="J522" s="18"/>
      <c r="K522" s="18"/>
      <c r="L522" s="88">
        <f>SUM(F522:K522)</f>
        <v>12796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36419</v>
      </c>
      <c r="I523" s="18"/>
      <c r="J523" s="18"/>
      <c r="K523" s="18"/>
      <c r="L523" s="88">
        <f>SUM(F523:K523)</f>
        <v>36419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13560</v>
      </c>
      <c r="G524" s="89">
        <f t="shared" ref="G524:L524" si="37">SUM(G521:G523)</f>
        <v>0</v>
      </c>
      <c r="H524" s="89">
        <f t="shared" si="37"/>
        <v>98431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111991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22814</v>
      </c>
      <c r="G531" s="18">
        <v>12648</v>
      </c>
      <c r="H531" s="18">
        <f>54012+1172</f>
        <v>55184</v>
      </c>
      <c r="I531" s="18">
        <v>3806</v>
      </c>
      <c r="J531" s="18">
        <v>923</v>
      </c>
      <c r="K531" s="18"/>
      <c r="L531" s="88">
        <f>SUM(F531:K531)</f>
        <v>95375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f>2773+3277</f>
        <v>6050</v>
      </c>
      <c r="G532" s="18">
        <f>2208+444+549+153</f>
        <v>3354</v>
      </c>
      <c r="H532" s="18">
        <f>3195-1172-890</f>
        <v>1133</v>
      </c>
      <c r="I532" s="18">
        <f>84+925</f>
        <v>1009</v>
      </c>
      <c r="J532" s="18">
        <v>245</v>
      </c>
      <c r="K532" s="18"/>
      <c r="L532" s="88">
        <f>SUM(F532:K532)</f>
        <v>11791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f>7938+9380</f>
        <v>17318</v>
      </c>
      <c r="G533" s="18">
        <v>9601</v>
      </c>
      <c r="H533" s="18">
        <f>112589+891</f>
        <v>113480</v>
      </c>
      <c r="I533" s="18">
        <v>3197</v>
      </c>
      <c r="J533" s="18">
        <v>700</v>
      </c>
      <c r="K533" s="18"/>
      <c r="L533" s="88">
        <f>SUM(F533:K533)</f>
        <v>144296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46182</v>
      </c>
      <c r="G534" s="194">
        <f t="shared" ref="G534:L534" si="39">SUM(G531:G533)</f>
        <v>25603</v>
      </c>
      <c r="H534" s="194">
        <f t="shared" si="39"/>
        <v>169797</v>
      </c>
      <c r="I534" s="194">
        <f t="shared" si="39"/>
        <v>8012</v>
      </c>
      <c r="J534" s="194">
        <f t="shared" si="39"/>
        <v>1868</v>
      </c>
      <c r="K534" s="194">
        <f t="shared" si="39"/>
        <v>0</v>
      </c>
      <c r="L534" s="194">
        <f t="shared" si="39"/>
        <v>251462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1820073</v>
      </c>
      <c r="G535" s="89">
        <f t="shared" ref="G535:L535" si="40">G514+G519+G524+G529+G534</f>
        <v>847610</v>
      </c>
      <c r="H535" s="89">
        <f t="shared" si="40"/>
        <v>1817633</v>
      </c>
      <c r="I535" s="89">
        <f t="shared" si="40"/>
        <v>40517</v>
      </c>
      <c r="J535" s="89">
        <f t="shared" si="40"/>
        <v>13296</v>
      </c>
      <c r="K535" s="89">
        <f t="shared" si="40"/>
        <v>1314</v>
      </c>
      <c r="L535" s="89">
        <f t="shared" si="40"/>
        <v>4540443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1368740</v>
      </c>
      <c r="G539" s="87">
        <f>L516</f>
        <v>793070</v>
      </c>
      <c r="H539" s="87">
        <f>L521</f>
        <v>62776</v>
      </c>
      <c r="I539" s="87">
        <f>L526</f>
        <v>0</v>
      </c>
      <c r="J539" s="87">
        <f>L531</f>
        <v>95375</v>
      </c>
      <c r="K539" s="87">
        <f>SUM(F539:J539)</f>
        <v>2319961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375149</v>
      </c>
      <c r="G540" s="87">
        <f>L517</f>
        <v>30073</v>
      </c>
      <c r="H540" s="87">
        <f>L522</f>
        <v>12796</v>
      </c>
      <c r="I540" s="87">
        <f>L527</f>
        <v>0</v>
      </c>
      <c r="J540" s="87">
        <f>L532</f>
        <v>11791</v>
      </c>
      <c r="K540" s="87">
        <f>SUM(F540:J540)</f>
        <v>429809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1527897</v>
      </c>
      <c r="G541" s="87">
        <f>L518</f>
        <v>82061</v>
      </c>
      <c r="H541" s="87">
        <f>L523</f>
        <v>36419</v>
      </c>
      <c r="I541" s="87">
        <f>L528</f>
        <v>0</v>
      </c>
      <c r="J541" s="87">
        <f>L533</f>
        <v>144296</v>
      </c>
      <c r="K541" s="87">
        <f>SUM(F541:J541)</f>
        <v>1790673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3271786</v>
      </c>
      <c r="G542" s="89">
        <f t="shared" si="41"/>
        <v>905204</v>
      </c>
      <c r="H542" s="89">
        <f t="shared" si="41"/>
        <v>111991</v>
      </c>
      <c r="I542" s="89">
        <f t="shared" si="41"/>
        <v>0</v>
      </c>
      <c r="J542" s="89">
        <f t="shared" si="41"/>
        <v>251462</v>
      </c>
      <c r="K542" s="89">
        <f t="shared" si="41"/>
        <v>4540443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4"/>
      <c r="G565" s="18"/>
      <c r="H565" s="18">
        <f>609</f>
        <v>609</v>
      </c>
      <c r="I565" s="87">
        <f>SUM(F565:H565)</f>
        <v>609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4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4"/>
      <c r="G568" s="4"/>
      <c r="H568" s="18">
        <f>11081</f>
        <v>11081</v>
      </c>
      <c r="I568" s="87">
        <f t="shared" si="46"/>
        <v>11081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4729+27300+482</f>
        <v>32511</v>
      </c>
      <c r="G569" s="18"/>
      <c r="H569" s="18"/>
      <c r="I569" s="87">
        <f>SUM(F569:H569)</f>
        <v>32511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957</v>
      </c>
      <c r="I570" s="87">
        <f>SUM(F570:H570)</f>
        <v>957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149270</v>
      </c>
      <c r="G572" s="18">
        <v>56725</v>
      </c>
      <c r="H572" s="18">
        <f>730468</f>
        <v>730468</v>
      </c>
      <c r="I572" s="87">
        <f>SUM(F572:H572)</f>
        <v>936463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13353</v>
      </c>
      <c r="I574" s="87">
        <f t="shared" si="46"/>
        <v>13353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181816</v>
      </c>
      <c r="I581" s="18">
        <v>48215</v>
      </c>
      <c r="J581" s="18">
        <f>138014+7968</f>
        <v>145982</v>
      </c>
      <c r="K581" s="104">
        <f t="shared" ref="K581:K587" si="47">SUM(H581:J581)</f>
        <v>376013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95375</v>
      </c>
      <c r="I582" s="18">
        <v>11791</v>
      </c>
      <c r="J582" s="18">
        <v>144296</v>
      </c>
      <c r="K582" s="104">
        <f t="shared" si="47"/>
        <v>251462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2460+464+55</f>
        <v>2979</v>
      </c>
      <c r="K583" s="104">
        <f t="shared" si="47"/>
        <v>2979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3908</v>
      </c>
      <c r="J584" s="18">
        <v>16462</v>
      </c>
      <c r="K584" s="104">
        <f t="shared" si="47"/>
        <v>20370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3960</v>
      </c>
      <c r="I585" s="18">
        <v>729</v>
      </c>
      <c r="J585" s="18">
        <v>3071</v>
      </c>
      <c r="K585" s="104">
        <f t="shared" si="47"/>
        <v>7760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281151</v>
      </c>
      <c r="I588" s="108">
        <f>SUM(I581:I587)</f>
        <v>64643</v>
      </c>
      <c r="J588" s="108">
        <f>SUM(J581:J587)</f>
        <v>312790</v>
      </c>
      <c r="K588" s="108">
        <f>SUM(K581:K587)</f>
        <v>658584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338333</v>
      </c>
      <c r="I594" s="18">
        <f>J221+J301</f>
        <v>52118</v>
      </c>
      <c r="J594" s="18">
        <f>J239+J320+J327</f>
        <v>294434</v>
      </c>
      <c r="K594" s="104">
        <f>SUM(H594:J594)</f>
        <v>684885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338333</v>
      </c>
      <c r="I595" s="108">
        <f>SUM(I592:I594)</f>
        <v>52118</v>
      </c>
      <c r="J595" s="108">
        <f>SUM(J592:J594)</f>
        <v>294434</v>
      </c>
      <c r="K595" s="108">
        <f>SUM(K592:K594)</f>
        <v>684885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3252+533+228+103</f>
        <v>4116</v>
      </c>
      <c r="G601" s="18">
        <f>249+181+49+17+53+10</f>
        <v>559</v>
      </c>
      <c r="H601" s="18"/>
      <c r="I601" s="18">
        <f>608+63</f>
        <v>671</v>
      </c>
      <c r="J601" s="18"/>
      <c r="K601" s="18"/>
      <c r="L601" s="88">
        <f>SUM(F601:K601)</f>
        <v>5346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862</v>
      </c>
      <c r="G602" s="18">
        <f>66+48</f>
        <v>114</v>
      </c>
      <c r="H602" s="18"/>
      <c r="I602" s="18">
        <v>161</v>
      </c>
      <c r="J602" s="18"/>
      <c r="K602" s="18"/>
      <c r="L602" s="88">
        <f>SUM(F602:K602)</f>
        <v>1137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2468+3563</f>
        <v>6031</v>
      </c>
      <c r="G603" s="18">
        <f>189+137+273+286+13</f>
        <v>898</v>
      </c>
      <c r="H603" s="18"/>
      <c r="I603" s="18">
        <v>461</v>
      </c>
      <c r="J603" s="18"/>
      <c r="K603" s="18"/>
      <c r="L603" s="88">
        <f>SUM(F603:K603)</f>
        <v>7390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11009</v>
      </c>
      <c r="G604" s="108">
        <f t="shared" si="48"/>
        <v>1571</v>
      </c>
      <c r="H604" s="108">
        <f t="shared" si="48"/>
        <v>0</v>
      </c>
      <c r="I604" s="108">
        <f t="shared" si="48"/>
        <v>1293</v>
      </c>
      <c r="J604" s="108">
        <f t="shared" si="48"/>
        <v>0</v>
      </c>
      <c r="K604" s="108">
        <f t="shared" si="48"/>
        <v>0</v>
      </c>
      <c r="L604" s="89">
        <f t="shared" si="48"/>
        <v>13873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854386</v>
      </c>
      <c r="H607" s="109">
        <f>SUM(F44)</f>
        <v>854386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35959</v>
      </c>
      <c r="H608" s="109">
        <f>SUM(G44)</f>
        <v>35959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36027</v>
      </c>
      <c r="H609" s="109">
        <f>SUM(H44)</f>
        <v>36027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658249</v>
      </c>
      <c r="H611" s="109">
        <f>SUM(J44)</f>
        <v>658249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668250</v>
      </c>
      <c r="H612" s="109">
        <f>F466</f>
        <v>668250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12521</v>
      </c>
      <c r="H613" s="109">
        <f>G466</f>
        <v>12521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20180</v>
      </c>
      <c r="H614" s="109">
        <f>H466</f>
        <v>20180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658249</v>
      </c>
      <c r="H616" s="109">
        <f>J466</f>
        <v>658249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15671463</v>
      </c>
      <c r="H617" s="104">
        <f>SUM(F458)</f>
        <v>15671463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461334</v>
      </c>
      <c r="H618" s="104">
        <f>SUM(G458)</f>
        <v>461334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1893597</v>
      </c>
      <c r="H619" s="104">
        <f>SUM(H458)</f>
        <v>1893597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311678</v>
      </c>
      <c r="H621" s="104">
        <f>SUM(J458)</f>
        <v>311678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16611964</v>
      </c>
      <c r="H622" s="104">
        <f>SUM(F462)</f>
        <v>16611964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1873417</v>
      </c>
      <c r="H623" s="104">
        <f>SUM(H462)</f>
        <v>1873417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48158</v>
      </c>
      <c r="H624" s="104">
        <f>I361</f>
        <v>48158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461334</v>
      </c>
      <c r="H625" s="104">
        <f>SUM(G462)</f>
        <v>461334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311678</v>
      </c>
      <c r="H627" s="164">
        <f>SUM(J458)</f>
        <v>311678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658249</v>
      </c>
      <c r="H629" s="104">
        <f>SUM(F451)</f>
        <v>658249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658249</v>
      </c>
      <c r="H632" s="104">
        <f>SUM(I451)</f>
        <v>658249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11678</v>
      </c>
      <c r="H634" s="104">
        <f>H400</f>
        <v>11678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300000</v>
      </c>
      <c r="H635" s="104">
        <f>G400</f>
        <v>300000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311678</v>
      </c>
      <c r="H636" s="104">
        <f>L400</f>
        <v>311678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658584</v>
      </c>
      <c r="H637" s="104">
        <f>L200+L218+L236</f>
        <v>658584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684885</v>
      </c>
      <c r="H638" s="104">
        <f>(J249+J330)-(J247+J328)</f>
        <v>684885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281151</v>
      </c>
      <c r="H639" s="104">
        <f>H588</f>
        <v>281151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64643</v>
      </c>
      <c r="H640" s="104">
        <f>I588</f>
        <v>64643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312790</v>
      </c>
      <c r="H641" s="104">
        <f>J588</f>
        <v>312790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12752</v>
      </c>
      <c r="H642" s="104">
        <f>K255+K337</f>
        <v>12752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300000</v>
      </c>
      <c r="H645" s="104">
        <f>K258+K339</f>
        <v>300000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7779674.6600000001</v>
      </c>
      <c r="G650" s="19">
        <f>(L221+L301+L351)</f>
        <v>2127073.56</v>
      </c>
      <c r="H650" s="19">
        <f>(L239+L320+L352)</f>
        <v>7352784.7800000003</v>
      </c>
      <c r="I650" s="19">
        <f>SUM(F650:H650)</f>
        <v>17259533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72422.98</v>
      </c>
      <c r="G651" s="19">
        <f>(L351/IF(SUM(L350:L352)=0,1,SUM(L350:L352))*(SUM(G89:G102)))</f>
        <v>19214.260000000002</v>
      </c>
      <c r="H651" s="19">
        <f>(L352/IF(SUM(L350:L352)=0,1,SUM(L350:L352))*(SUM(G89:G102)))</f>
        <v>56164.76</v>
      </c>
      <c r="I651" s="19">
        <f>SUM(F651:H651)</f>
        <v>147802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202089</v>
      </c>
      <c r="G652" s="19">
        <f>(L218+L298)-(J218+J298)</f>
        <v>43677</v>
      </c>
      <c r="H652" s="19">
        <f>(L236+L317)-(J236+J317)</f>
        <v>256269</v>
      </c>
      <c r="I652" s="19">
        <f>SUM(F652:H652)</f>
        <v>502035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SUM(F566:F577)+SUM(H592:H594)+SUM(L601)</f>
        <v>525460</v>
      </c>
      <c r="G653" s="200">
        <f>SUM(G565:G577)+SUM(I592:I594)+L602</f>
        <v>109980</v>
      </c>
      <c r="H653" s="200">
        <f>SUM(H565:H577)+SUM(J592:J594)+L603</f>
        <v>1058292</v>
      </c>
      <c r="I653" s="19">
        <f>SUM(F653:H653)</f>
        <v>1693732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6979702.6799999997</v>
      </c>
      <c r="G654" s="19">
        <f>G650-SUM(G651:G653)</f>
        <v>1954202.3</v>
      </c>
      <c r="H654" s="19">
        <f>H650-SUM(H651:H653)</f>
        <v>5982059.0200000005</v>
      </c>
      <c r="I654" s="19">
        <f>I650-SUM(I651:I653)</f>
        <v>14915964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519.87</v>
      </c>
      <c r="G655" s="249">
        <v>140.12</v>
      </c>
      <c r="H655" s="249">
        <v>380.31</v>
      </c>
      <c r="I655" s="19">
        <f>SUM(F655:H655)</f>
        <v>1040.3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13425.86</v>
      </c>
      <c r="G657" s="19">
        <f>ROUND(G654/G655,2)</f>
        <v>13946.63</v>
      </c>
      <c r="H657" s="19">
        <f>ROUND(H654/H655,2)</f>
        <v>15729.43</v>
      </c>
      <c r="I657" s="19">
        <f>ROUND(I654/I655,2)</f>
        <v>14338.14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14.39</v>
      </c>
      <c r="I660" s="19">
        <f>SUM(F660:H660)</f>
        <v>14.39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13425.86</v>
      </c>
      <c r="G662" s="19">
        <f>ROUND((G654+G659)/(G655+G660),2)</f>
        <v>13946.63</v>
      </c>
      <c r="H662" s="19">
        <f>ROUND((H654+H659)/(H655+H660),2)</f>
        <v>15155.96</v>
      </c>
      <c r="I662" s="19">
        <f>ROUND((I654+I659)/(I655+I660),2)</f>
        <v>14142.51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29E2-F6BD-44CA-97CC-1722515DC80F}">
  <sheetPr>
    <tabColor indexed="20"/>
  </sheetPr>
  <dimension ref="A1:C52"/>
  <sheetViews>
    <sheetView topLeftCell="A6"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NEWPORT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3460366</v>
      </c>
      <c r="C9" s="230">
        <f>'DOE25'!G189+'DOE25'!G207+'DOE25'!G225+'DOE25'!G268+'DOE25'!G287+'DOE25'!G306</f>
        <v>1758878</v>
      </c>
    </row>
    <row r="10" spans="1:3" x14ac:dyDescent="0.2">
      <c r="A10" t="s">
        <v>810</v>
      </c>
      <c r="B10" s="241">
        <f>944596+440382+549784+1008548+2181+13302+1000+31806+48442+13469+214702</f>
        <v>3268212</v>
      </c>
      <c r="C10" s="241">
        <v>1661207</v>
      </c>
    </row>
    <row r="11" spans="1:3" x14ac:dyDescent="0.2">
      <c r="A11" t="s">
        <v>811</v>
      </c>
      <c r="B11" s="241">
        <f>65443+16461+605+17783</f>
        <v>100292</v>
      </c>
      <c r="C11" s="241">
        <v>50978</v>
      </c>
    </row>
    <row r="12" spans="1:3" x14ac:dyDescent="0.2">
      <c r="A12" t="s">
        <v>812</v>
      </c>
      <c r="B12" s="241">
        <f>92464-602</f>
        <v>91862</v>
      </c>
      <c r="C12" s="241">
        <v>46693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3460366</v>
      </c>
      <c r="C13" s="232">
        <f>SUM(C10:C12)</f>
        <v>1758878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1772107</v>
      </c>
      <c r="C18" s="230">
        <f>'DOE25'!G190+'DOE25'!G208+'DOE25'!G226+'DOE25'!G269+'DOE25'!G288+'DOE25'!G307</f>
        <v>822003</v>
      </c>
    </row>
    <row r="19" spans="1:3" x14ac:dyDescent="0.2">
      <c r="A19" t="s">
        <v>810</v>
      </c>
      <c r="B19" s="241">
        <f>1210+64513+682260</f>
        <v>747983</v>
      </c>
      <c r="C19" s="241">
        <v>346957</v>
      </c>
    </row>
    <row r="20" spans="1:3" x14ac:dyDescent="0.2">
      <c r="A20" t="s">
        <v>811</v>
      </c>
      <c r="B20" s="241">
        <f>6619+13492+55709+536447+8124</f>
        <v>620391</v>
      </c>
      <c r="C20" s="241">
        <v>287772</v>
      </c>
    </row>
    <row r="21" spans="1:3" x14ac:dyDescent="0.2">
      <c r="A21" t="s">
        <v>812</v>
      </c>
      <c r="B21" s="241">
        <f>21540+13560+46149+322484</f>
        <v>403733</v>
      </c>
      <c r="C21" s="241">
        <v>187274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1772107</v>
      </c>
      <c r="C22" s="232">
        <f>SUM(C19:C21)</f>
        <v>822003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380348</v>
      </c>
      <c r="C27" s="235">
        <f>'DOE25'!G191+'DOE25'!G209+'DOE25'!G227+'DOE25'!G270+'DOE25'!G289+'DOE25'!G308</f>
        <v>187289</v>
      </c>
    </row>
    <row r="28" spans="1:3" x14ac:dyDescent="0.2">
      <c r="A28" t="s">
        <v>810</v>
      </c>
      <c r="B28" s="241">
        <f>101356+40701+43935+27379+52263+92650+2230+4655</f>
        <v>365169</v>
      </c>
      <c r="C28" s="241">
        <v>179815</v>
      </c>
    </row>
    <row r="29" spans="1:3" x14ac:dyDescent="0.2">
      <c r="A29" t="s">
        <v>811</v>
      </c>
      <c r="B29" s="241">
        <f>11995+3184</f>
        <v>15179</v>
      </c>
      <c r="C29" s="241">
        <v>7474</v>
      </c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380348</v>
      </c>
      <c r="C31" s="232">
        <f>SUM(C28:C30)</f>
        <v>187289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168901</v>
      </c>
      <c r="C36" s="236">
        <f>'DOE25'!G192+'DOE25'!G210+'DOE25'!G228+'DOE25'!G271+'DOE25'!G290+'DOE25'!G309</f>
        <v>36020</v>
      </c>
    </row>
    <row r="37" spans="1:3" x14ac:dyDescent="0.2">
      <c r="A37" t="s">
        <v>810</v>
      </c>
      <c r="B37" s="241">
        <f>1645+2240+34210+533+228+-770+4332+20347+6582+1710</f>
        <v>71057</v>
      </c>
      <c r="C37" s="241">
        <v>15154</v>
      </c>
    </row>
    <row r="38" spans="1:3" x14ac:dyDescent="0.2">
      <c r="A38" t="s">
        <v>811</v>
      </c>
      <c r="B38" s="241">
        <v>103</v>
      </c>
      <c r="C38" s="241">
        <v>23</v>
      </c>
    </row>
    <row r="39" spans="1:3" x14ac:dyDescent="0.2">
      <c r="A39" t="s">
        <v>812</v>
      </c>
      <c r="B39" s="241">
        <f>10880+58292+28569</f>
        <v>97741</v>
      </c>
      <c r="C39" s="241">
        <v>20843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168901</v>
      </c>
      <c r="C40" s="232">
        <f>SUM(C37:C39)</f>
        <v>36020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FE99-A450-432C-8636-FFCC499D7D45}">
  <sheetPr>
    <tabColor indexed="11"/>
  </sheetPr>
  <dimension ref="A1:I51"/>
  <sheetViews>
    <sheetView workbookViewId="0">
      <pane ySplit="4" topLeftCell="A14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NEWPORT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9974024</v>
      </c>
      <c r="D5" s="20">
        <f>SUM('DOE25'!L189:L192)+SUM('DOE25'!L207:L210)+SUM('DOE25'!L225:L228)-F5-G5</f>
        <v>9822985</v>
      </c>
      <c r="E5" s="244"/>
      <c r="F5" s="256">
        <f>SUM('DOE25'!J189:J192)+SUM('DOE25'!J207:J210)+SUM('DOE25'!J225:J228)</f>
        <v>141745</v>
      </c>
      <c r="G5" s="53">
        <f>SUM('DOE25'!K189:K192)+SUM('DOE25'!K207:K210)+SUM('DOE25'!K225:K228)</f>
        <v>9294</v>
      </c>
      <c r="H5" s="260"/>
    </row>
    <row r="6" spans="1:9" x14ac:dyDescent="0.2">
      <c r="A6" s="32">
        <v>2100</v>
      </c>
      <c r="B6" t="s">
        <v>832</v>
      </c>
      <c r="C6" s="246">
        <f t="shared" si="0"/>
        <v>583146</v>
      </c>
      <c r="D6" s="20">
        <f>'DOE25'!L194+'DOE25'!L212+'DOE25'!L230-F6-G6</f>
        <v>582986</v>
      </c>
      <c r="E6" s="244"/>
      <c r="F6" s="256">
        <f>'DOE25'!J194+'DOE25'!J212+'DOE25'!J230</f>
        <v>0</v>
      </c>
      <c r="G6" s="53">
        <f>'DOE25'!K194+'DOE25'!K212+'DOE25'!K230</f>
        <v>160</v>
      </c>
      <c r="H6" s="260"/>
    </row>
    <row r="7" spans="1:9" x14ac:dyDescent="0.2">
      <c r="A7" s="32">
        <v>2200</v>
      </c>
      <c r="B7" t="s">
        <v>865</v>
      </c>
      <c r="C7" s="246">
        <f t="shared" si="0"/>
        <v>907479</v>
      </c>
      <c r="D7" s="20">
        <f>'DOE25'!L195+'DOE25'!L213+'DOE25'!L231-F7-G7</f>
        <v>803062</v>
      </c>
      <c r="E7" s="244"/>
      <c r="F7" s="256">
        <f>'DOE25'!J195+'DOE25'!J213+'DOE25'!J231</f>
        <v>92638</v>
      </c>
      <c r="G7" s="53">
        <f>'DOE25'!K195+'DOE25'!K213+'DOE25'!K231</f>
        <v>11779</v>
      </c>
      <c r="H7" s="260"/>
    </row>
    <row r="8" spans="1:9" x14ac:dyDescent="0.2">
      <c r="A8" s="32">
        <v>2300</v>
      </c>
      <c r="B8" t="s">
        <v>833</v>
      </c>
      <c r="C8" s="246">
        <f t="shared" si="0"/>
        <v>434807</v>
      </c>
      <c r="D8" s="244"/>
      <c r="E8" s="20">
        <f>'DOE25'!L196+'DOE25'!L214+'DOE25'!L232-F8-G8-D9-D11</f>
        <v>429546</v>
      </c>
      <c r="F8" s="256">
        <f>'DOE25'!J196+'DOE25'!J214+'DOE25'!J232</f>
        <v>0</v>
      </c>
      <c r="G8" s="53">
        <f>'DOE25'!K196+'DOE25'!K214+'DOE25'!K232</f>
        <v>5261</v>
      </c>
      <c r="H8" s="260"/>
    </row>
    <row r="9" spans="1:9" x14ac:dyDescent="0.2">
      <c r="A9" s="32">
        <v>2310</v>
      </c>
      <c r="B9" t="s">
        <v>849</v>
      </c>
      <c r="C9" s="246">
        <f t="shared" si="0"/>
        <v>55686</v>
      </c>
      <c r="D9" s="245">
        <v>55686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23500</v>
      </c>
      <c r="D10" s="244"/>
      <c r="E10" s="245">
        <v>23500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219513</v>
      </c>
      <c r="D11" s="245">
        <v>219513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957205</v>
      </c>
      <c r="D12" s="20">
        <f>'DOE25'!L197+'DOE25'!L215+'DOE25'!L233-F12-G12</f>
        <v>938103</v>
      </c>
      <c r="E12" s="244"/>
      <c r="F12" s="256">
        <f>'DOE25'!J197+'DOE25'!J215+'DOE25'!J233</f>
        <v>12897</v>
      </c>
      <c r="G12" s="53">
        <f>'DOE25'!K197+'DOE25'!K215+'DOE25'!K233</f>
        <v>6205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1512078</v>
      </c>
      <c r="D14" s="20">
        <f>'DOE25'!L199+'DOE25'!L217+'DOE25'!L235-F14-G14</f>
        <v>1501984</v>
      </c>
      <c r="E14" s="244"/>
      <c r="F14" s="256">
        <f>'DOE25'!J199+'DOE25'!J217+'DOE25'!J235</f>
        <v>10094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658584</v>
      </c>
      <c r="D15" s="20">
        <f>'DOE25'!L200+'DOE25'!L218+'DOE25'!L236-F15-G15</f>
        <v>497809</v>
      </c>
      <c r="E15" s="244"/>
      <c r="F15" s="256">
        <f>'DOE25'!J200+'DOE25'!J218+'DOE25'!J236</f>
        <v>160044</v>
      </c>
      <c r="G15" s="53">
        <f>'DOE25'!K200+'DOE25'!K218+'DOE25'!K236</f>
        <v>731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11565</v>
      </c>
      <c r="D16" s="244"/>
      <c r="E16" s="20">
        <f>'DOE25'!L201+'DOE25'!L219+'DOE25'!L237-F16-G16</f>
        <v>11565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985125</v>
      </c>
      <c r="D25" s="244"/>
      <c r="E25" s="244"/>
      <c r="F25" s="259"/>
      <c r="G25" s="257"/>
      <c r="H25" s="258">
        <f>'DOE25'!L252+'DOE25'!L253+'DOE25'!L333+'DOE25'!L334</f>
        <v>985125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461334</v>
      </c>
      <c r="D29" s="20">
        <f>'DOE25'!L350+'DOE25'!L351+'DOE25'!L352-'DOE25'!I359-F29-G29</f>
        <v>461334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1771469</v>
      </c>
      <c r="D31" s="20">
        <f>'DOE25'!L282+'DOE25'!L301+'DOE25'!L320+'DOE25'!L325+'DOE25'!L326+'DOE25'!L327-F31-G31</f>
        <v>1440702</v>
      </c>
      <c r="E31" s="244"/>
      <c r="F31" s="256">
        <f>'DOE25'!J282+'DOE25'!J301+'DOE25'!J320+'DOE25'!J325+'DOE25'!J326+'DOE25'!J327</f>
        <v>267467</v>
      </c>
      <c r="G31" s="53">
        <f>'DOE25'!K282+'DOE25'!K301+'DOE25'!K320+'DOE25'!K325+'DOE25'!K326+'DOE25'!K327</f>
        <v>63300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16324164</v>
      </c>
      <c r="E33" s="247">
        <f>SUM(E5:E31)</f>
        <v>464611</v>
      </c>
      <c r="F33" s="247">
        <f>SUM(F5:F31)</f>
        <v>684885</v>
      </c>
      <c r="G33" s="247">
        <f>SUM(G5:G31)</f>
        <v>96730</v>
      </c>
      <c r="H33" s="247">
        <f>SUM(H5:H31)</f>
        <v>985125</v>
      </c>
    </row>
    <row r="35" spans="2:8" ht="12" thickBot="1" x14ac:dyDescent="0.25">
      <c r="B35" s="254" t="s">
        <v>878</v>
      </c>
      <c r="D35" s="255">
        <f>E33</f>
        <v>464611</v>
      </c>
      <c r="E35" s="250"/>
    </row>
    <row r="36" spans="2:8" ht="12" thickTop="1" x14ac:dyDescent="0.2">
      <c r="B36" t="s">
        <v>846</v>
      </c>
      <c r="D36" s="20">
        <f>D33</f>
        <v>16324164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4927-1BB0-4068-87CF-6244CE01114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NEWPORT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340411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658249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432297</v>
      </c>
      <c r="D12" s="95">
        <f>'DOE25'!G12</f>
        <v>3375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56734</v>
      </c>
      <c r="D13" s="95">
        <f>'DOE25'!G13</f>
        <v>17912</v>
      </c>
      <c r="E13" s="95">
        <f>'DOE25'!H13</f>
        <v>35063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13580</v>
      </c>
      <c r="D14" s="95">
        <f>'DOE25'!G14</f>
        <v>3807</v>
      </c>
      <c r="E14" s="95">
        <f>'DOE25'!H14</f>
        <v>964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10865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11364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854386</v>
      </c>
      <c r="D19" s="41">
        <f>SUM(D9:D18)</f>
        <v>35959</v>
      </c>
      <c r="E19" s="41">
        <f>SUM(E9:E18)</f>
        <v>36027</v>
      </c>
      <c r="F19" s="41">
        <f>SUM(F9:F18)</f>
        <v>0</v>
      </c>
      <c r="G19" s="41">
        <f>SUM(G9:G18)</f>
        <v>658249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18171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336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165897</v>
      </c>
      <c r="D24" s="95">
        <f>'DOE25'!G25</f>
        <v>13418</v>
      </c>
      <c r="E24" s="95">
        <f>'DOE25'!H25</f>
        <v>11712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2068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2444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10020</v>
      </c>
      <c r="E30" s="95">
        <f>'DOE25'!H31</f>
        <v>1355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186136</v>
      </c>
      <c r="D32" s="41">
        <f>SUM(D22:D31)</f>
        <v>23438</v>
      </c>
      <c r="E32" s="41">
        <f>SUM(E22:E31)</f>
        <v>15847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10865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300000</v>
      </c>
      <c r="D40" s="95">
        <f>'DOE25'!G41</f>
        <v>1656</v>
      </c>
      <c r="E40" s="95">
        <f>'DOE25'!H41</f>
        <v>20180</v>
      </c>
      <c r="F40" s="95">
        <f>'DOE25'!I41</f>
        <v>0</v>
      </c>
      <c r="G40" s="95">
        <f>'DOE25'!J41</f>
        <v>658249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168250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668250</v>
      </c>
      <c r="D42" s="41">
        <f>SUM(D34:D41)</f>
        <v>12521</v>
      </c>
      <c r="E42" s="41">
        <f>SUM(E34:E41)</f>
        <v>20180</v>
      </c>
      <c r="F42" s="41">
        <f>SUM(F34:F41)</f>
        <v>0</v>
      </c>
      <c r="G42" s="41">
        <f>SUM(G34:G41)</f>
        <v>658249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854386</v>
      </c>
      <c r="D43" s="41">
        <f>D42+D32</f>
        <v>35959</v>
      </c>
      <c r="E43" s="41">
        <f>E42+E32</f>
        <v>36027</v>
      </c>
      <c r="F43" s="41">
        <f>F42+F32</f>
        <v>0</v>
      </c>
      <c r="G43" s="41">
        <f>G42+G32</f>
        <v>658249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5095156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1852617</v>
      </c>
      <c r="D49" s="24" t="s">
        <v>312</v>
      </c>
      <c r="E49" s="95">
        <f>'DOE25'!H71</f>
        <v>74689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9441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2216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11678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129860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62065</v>
      </c>
      <c r="D53" s="95">
        <f>SUM('DOE25'!G90:G102)</f>
        <v>17942</v>
      </c>
      <c r="E53" s="95">
        <f>SUM('DOE25'!H90:H102)</f>
        <v>5949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1926339</v>
      </c>
      <c r="D54" s="130">
        <f>SUM(D49:D53)</f>
        <v>147802</v>
      </c>
      <c r="E54" s="130">
        <f>SUM(E49:E53)</f>
        <v>80638</v>
      </c>
      <c r="F54" s="130">
        <f>SUM(F49:F53)</f>
        <v>0</v>
      </c>
      <c r="G54" s="130">
        <f>SUM(G49:G53)</f>
        <v>11678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7021495</v>
      </c>
      <c r="D55" s="22">
        <f>D48+D54</f>
        <v>147802</v>
      </c>
      <c r="E55" s="22">
        <f>E48+E54</f>
        <v>80638</v>
      </c>
      <c r="F55" s="22">
        <f>F48+F54</f>
        <v>0</v>
      </c>
      <c r="G55" s="22">
        <f>G48+G54</f>
        <v>11678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6688740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1056662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242599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7988001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321772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162868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75792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10350</v>
      </c>
      <c r="D69" s="95">
        <f>SUM('DOE25'!G123:G127)</f>
        <v>5153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570782</v>
      </c>
      <c r="D70" s="130">
        <f>SUM(D64:D69)</f>
        <v>5153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8558783</v>
      </c>
      <c r="D73" s="130">
        <f>SUM(D71:D72)+D70+D62</f>
        <v>5153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47512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91185</v>
      </c>
      <c r="D80" s="95">
        <f>SUM('DOE25'!G145:G153)</f>
        <v>295627</v>
      </c>
      <c r="E80" s="95">
        <f>SUM('DOE25'!H145:H153)</f>
        <v>1765447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91185</v>
      </c>
      <c r="D83" s="131">
        <f>SUM(D77:D82)</f>
        <v>295627</v>
      </c>
      <c r="E83" s="131">
        <f>SUM(E77:E82)</f>
        <v>1812959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12752</v>
      </c>
      <c r="E88" s="95">
        <f>'DOE25'!H171</f>
        <v>0</v>
      </c>
      <c r="F88" s="95">
        <f>'DOE25'!I171</f>
        <v>0</v>
      </c>
      <c r="G88" s="95">
        <f>'DOE25'!J171</f>
        <v>300000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12752</v>
      </c>
      <c r="E95" s="86">
        <f>SUM(E85:E94)</f>
        <v>0</v>
      </c>
      <c r="F95" s="86">
        <f>SUM(F85:F94)</f>
        <v>0</v>
      </c>
      <c r="G95" s="86">
        <f>SUM(G85:G94)</f>
        <v>300000</v>
      </c>
    </row>
    <row r="96" spans="1:7" ht="12.75" thickTop="1" thickBot="1" x14ac:dyDescent="0.25">
      <c r="A96" s="33" t="s">
        <v>796</v>
      </c>
      <c r="C96" s="86">
        <f>C55+C73+C83+C95</f>
        <v>15671463</v>
      </c>
      <c r="D96" s="86">
        <f>D55+D73+D83+D95</f>
        <v>461334</v>
      </c>
      <c r="E96" s="86">
        <f>E55+E73+E83+E95</f>
        <v>1893597</v>
      </c>
      <c r="F96" s="86">
        <f>F55+F73+F83+F95</f>
        <v>0</v>
      </c>
      <c r="G96" s="86">
        <f>G55+G73+G95</f>
        <v>311678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5106321</v>
      </c>
      <c r="D101" s="24" t="s">
        <v>312</v>
      </c>
      <c r="E101" s="95">
        <f>('DOE25'!L268)+('DOE25'!L287)+('DOE25'!L306)</f>
        <v>650881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3967054</v>
      </c>
      <c r="D102" s="24" t="s">
        <v>312</v>
      </c>
      <c r="E102" s="95">
        <f>('DOE25'!L269)+('DOE25'!L288)+('DOE25'!L307)</f>
        <v>214157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654871</v>
      </c>
      <c r="D103" s="24" t="s">
        <v>312</v>
      </c>
      <c r="E103" s="95">
        <f>('DOE25'!L270)+('DOE25'!L289)+('DOE25'!L308)</f>
        <v>98674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245778</v>
      </c>
      <c r="D104" s="24" t="s">
        <v>312</v>
      </c>
      <c r="E104" s="95">
        <f>+('DOE25'!L271)+('DOE25'!L290)+('DOE25'!L309)</f>
        <v>39018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101948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287357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9974024</v>
      </c>
      <c r="D107" s="86">
        <f>SUM(D101:D106)</f>
        <v>0</v>
      </c>
      <c r="E107" s="86">
        <f>SUM(E101:E106)</f>
        <v>1392035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583146</v>
      </c>
      <c r="D110" s="24" t="s">
        <v>312</v>
      </c>
      <c r="E110" s="95">
        <f>+('DOE25'!L273)+('DOE25'!L292)+('DOE25'!L311)</f>
        <v>61865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907479</v>
      </c>
      <c r="D111" s="24" t="s">
        <v>312</v>
      </c>
      <c r="E111" s="95">
        <f>+('DOE25'!L274)+('DOE25'!L293)+('DOE25'!L312)</f>
        <v>290689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710006</v>
      </c>
      <c r="D112" s="24" t="s">
        <v>312</v>
      </c>
      <c r="E112" s="95">
        <f>+('DOE25'!L275)+('DOE25'!L294)+('DOE25'!L313)</f>
        <v>52087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957205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1512078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658584</v>
      </c>
      <c r="D116" s="24" t="s">
        <v>312</v>
      </c>
      <c r="E116" s="95">
        <f>+('DOE25'!L279)+('DOE25'!L298)+('DOE25'!L317)</f>
        <v>76521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11565</v>
      </c>
      <c r="D117" s="24" t="s">
        <v>312</v>
      </c>
      <c r="E117" s="95">
        <f>+('DOE25'!L280)+('DOE25'!L299)+('DOE25'!L318)</f>
        <v>220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461334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5340063</v>
      </c>
      <c r="D120" s="86">
        <f>SUM(D110:D119)</f>
        <v>461334</v>
      </c>
      <c r="E120" s="86">
        <f>SUM(E110:E119)</f>
        <v>481382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565000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420125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12752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204502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107176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-11678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1297877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16611964</v>
      </c>
      <c r="D137" s="86">
        <f>(D107+D120+D136)</f>
        <v>461334</v>
      </c>
      <c r="E137" s="86">
        <f>(E107+E120+E136)</f>
        <v>1873417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08/02</v>
      </c>
      <c r="C144" s="152" t="str">
        <f>'DOE25'!G481</f>
        <v>07/07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08/12</v>
      </c>
      <c r="C145" s="152" t="str">
        <f>'DOE25'!G482</f>
        <v>08/27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546800</v>
      </c>
      <c r="C146" s="137">
        <f>'DOE25'!G483</f>
        <v>10156100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3.5</v>
      </c>
      <c r="C147" s="137">
        <f>'DOE25'!G484</f>
        <v>4.57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155000</v>
      </c>
      <c r="C148" s="137">
        <f>'DOE25'!G485</f>
        <v>9140000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9295000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55000</v>
      </c>
      <c r="C150" s="137">
        <f>'DOE25'!G487</f>
        <v>510000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565000</v>
      </c>
    </row>
    <row r="151" spans="1:7" x14ac:dyDescent="0.2">
      <c r="A151" s="22" t="s">
        <v>35</v>
      </c>
      <c r="B151" s="137">
        <f>'DOE25'!F488</f>
        <v>100000</v>
      </c>
      <c r="C151" s="137">
        <f>'DOE25'!G488</f>
        <v>8630000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8730000</v>
      </c>
    </row>
    <row r="152" spans="1:7" x14ac:dyDescent="0.2">
      <c r="A152" s="22" t="s">
        <v>36</v>
      </c>
      <c r="B152" s="137">
        <f>'DOE25'!F489</f>
        <v>4000</v>
      </c>
      <c r="C152" s="137">
        <f>'DOE25'!G489</f>
        <v>3496213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3500213</v>
      </c>
    </row>
    <row r="153" spans="1:7" x14ac:dyDescent="0.2">
      <c r="A153" s="22" t="s">
        <v>37</v>
      </c>
      <c r="B153" s="137">
        <f>'DOE25'!F490</f>
        <v>104000</v>
      </c>
      <c r="C153" s="137">
        <f>'DOE25'!G490</f>
        <v>12126213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12230213</v>
      </c>
    </row>
    <row r="154" spans="1:7" x14ac:dyDescent="0.2">
      <c r="A154" s="22" t="s">
        <v>38</v>
      </c>
      <c r="B154" s="137">
        <f>'DOE25'!F491</f>
        <v>50000</v>
      </c>
      <c r="C154" s="137">
        <f>'DOE25'!G491</f>
        <v>510000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560000</v>
      </c>
    </row>
    <row r="155" spans="1:7" x14ac:dyDescent="0.2">
      <c r="A155" s="22" t="s">
        <v>39</v>
      </c>
      <c r="B155" s="137">
        <f>'DOE25'!F492</f>
        <v>3000</v>
      </c>
      <c r="C155" s="137">
        <f>'DOE25'!G492</f>
        <v>394625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397625</v>
      </c>
    </row>
    <row r="156" spans="1:7" x14ac:dyDescent="0.2">
      <c r="A156" s="22" t="s">
        <v>269</v>
      </c>
      <c r="B156" s="137">
        <f>'DOE25'!F493</f>
        <v>53000</v>
      </c>
      <c r="C156" s="137">
        <f>'DOE25'!G493</f>
        <v>904625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957625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8D4E-8962-43F1-B6A5-A00BBD66B3DF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NEWPORT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13426</v>
      </c>
    </row>
    <row r="5" spans="1:4" x14ac:dyDescent="0.2">
      <c r="B5" t="s">
        <v>735</v>
      </c>
      <c r="C5" s="179">
        <f>IF('DOE25'!G655+'DOE25'!G660=0,0,ROUND('DOE25'!G662,0))</f>
        <v>13947</v>
      </c>
    </row>
    <row r="6" spans="1:4" x14ac:dyDescent="0.2">
      <c r="B6" t="s">
        <v>62</v>
      </c>
      <c r="C6" s="179">
        <f>IF('DOE25'!H655+'DOE25'!H660=0,0,ROUND('DOE25'!H662,0))</f>
        <v>15156</v>
      </c>
    </row>
    <row r="7" spans="1:4" x14ac:dyDescent="0.2">
      <c r="B7" t="s">
        <v>736</v>
      </c>
      <c r="C7" s="179">
        <f>IF('DOE25'!I655+'DOE25'!I660=0,0,ROUND('DOE25'!I662,0))</f>
        <v>14143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5757202</v>
      </c>
      <c r="D10" s="182">
        <f>ROUND((C10/$C$28)*100,1)</f>
        <v>32.1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4181211</v>
      </c>
      <c r="D11" s="182">
        <f>ROUND((C11/$C$28)*100,1)</f>
        <v>23.3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753545</v>
      </c>
      <c r="D12" s="182">
        <f>ROUND((C12/$C$28)*100,1)</f>
        <v>4.2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284796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645011</v>
      </c>
      <c r="D15" s="182">
        <f t="shared" ref="D15:D27" si="0">ROUND((C15/$C$28)*100,1)</f>
        <v>3.6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1198168</v>
      </c>
      <c r="D16" s="182">
        <f t="shared" si="0"/>
        <v>6.7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773878</v>
      </c>
      <c r="D17" s="182">
        <f t="shared" si="0"/>
        <v>4.3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957205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1512078</v>
      </c>
      <c r="D20" s="182">
        <f t="shared" si="0"/>
        <v>8.4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735105</v>
      </c>
      <c r="D21" s="182">
        <f t="shared" si="0"/>
        <v>4.0999999999999996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101948</v>
      </c>
      <c r="D23" s="182">
        <f t="shared" si="0"/>
        <v>0.6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287357</v>
      </c>
      <c r="D24" s="182">
        <f t="shared" si="0"/>
        <v>1.6</v>
      </c>
    </row>
    <row r="25" spans="1:4" x14ac:dyDescent="0.2">
      <c r="A25">
        <v>5120</v>
      </c>
      <c r="B25" t="s">
        <v>751</v>
      </c>
      <c r="C25" s="179">
        <f>ROUND('DOE25'!L253+'DOE25'!L334,0)</f>
        <v>420125</v>
      </c>
      <c r="D25" s="182">
        <f t="shared" si="0"/>
        <v>2.2999999999999998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313532</v>
      </c>
      <c r="D27" s="182">
        <f t="shared" si="0"/>
        <v>1.7</v>
      </c>
    </row>
    <row r="28" spans="1:4" x14ac:dyDescent="0.2">
      <c r="B28" s="187" t="s">
        <v>754</v>
      </c>
      <c r="C28" s="180">
        <f>SUM(C10:C27)</f>
        <v>17921161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17921161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565000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5095156</v>
      </c>
      <c r="D35" s="182">
        <f t="shared" ref="D35:D40" si="1">ROUND((C35/$C$41)*100,1)</f>
        <v>28.5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2018655</v>
      </c>
      <c r="D36" s="182">
        <f t="shared" si="1"/>
        <v>11.3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7988001</v>
      </c>
      <c r="D37" s="182">
        <f t="shared" si="1"/>
        <v>44.7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575935</v>
      </c>
      <c r="D38" s="182">
        <f t="shared" si="1"/>
        <v>3.2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2199771</v>
      </c>
      <c r="D39" s="182">
        <f t="shared" si="1"/>
        <v>12.3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17877518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D99E-676F-403E-98C3-C25AFC06CE6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801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798</v>
      </c>
      <c r="B2" s="293"/>
      <c r="C2" s="293"/>
      <c r="D2" s="293"/>
      <c r="E2" s="293"/>
      <c r="F2" s="290" t="str">
        <f>'DOE25'!A2</f>
        <v>NEWPORT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88" t="s">
        <v>802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30A" sheet="1" objects="1" scenarios="1"/>
  <mergeCells count="223">
    <mergeCell ref="C26:M26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66:M66"/>
    <mergeCell ref="C67:M67"/>
    <mergeCell ref="C68:M68"/>
    <mergeCell ref="C69:M69"/>
    <mergeCell ref="C87:M87"/>
    <mergeCell ref="C88:M88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1:M61"/>
    <mergeCell ref="C53:M53"/>
    <mergeCell ref="C54:M54"/>
    <mergeCell ref="C55:M55"/>
    <mergeCell ref="C56:M56"/>
    <mergeCell ref="C57:M57"/>
    <mergeCell ref="C59:M59"/>
    <mergeCell ref="C60:M60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62:M62"/>
    <mergeCell ref="C63:M63"/>
    <mergeCell ref="C18:M18"/>
    <mergeCell ref="C19:M19"/>
    <mergeCell ref="C52:M52"/>
    <mergeCell ref="C50:M50"/>
    <mergeCell ref="C47:M47"/>
    <mergeCell ref="C48:M48"/>
    <mergeCell ref="C49:M49"/>
    <mergeCell ref="C51:M51"/>
    <mergeCell ref="C5:M5"/>
    <mergeCell ref="C6:M6"/>
    <mergeCell ref="C7:M7"/>
    <mergeCell ref="C8:M8"/>
    <mergeCell ref="A2:E2"/>
    <mergeCell ref="C20:M20"/>
    <mergeCell ref="C30:M30"/>
    <mergeCell ref="C31:M31"/>
    <mergeCell ref="P31:Z31"/>
    <mergeCell ref="AC31:AM31"/>
    <mergeCell ref="AC30:AM30"/>
    <mergeCell ref="C10:M10"/>
    <mergeCell ref="C11:M11"/>
    <mergeCell ref="C12:M12"/>
    <mergeCell ref="C29:M29"/>
    <mergeCell ref="C25:M25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9:M9"/>
    <mergeCell ref="P32:Z32"/>
    <mergeCell ref="P30:Z30"/>
    <mergeCell ref="CP29:CZ29"/>
    <mergeCell ref="DC29:DM29"/>
    <mergeCell ref="DP29:DZ29"/>
    <mergeCell ref="EC29:EM29"/>
    <mergeCell ref="CC30:CM30"/>
    <mergeCell ref="BC29:BM29"/>
    <mergeCell ref="BP29:BZ29"/>
    <mergeCell ref="CC29:CM29"/>
    <mergeCell ref="BC30:BM30"/>
    <mergeCell ref="BP30:BZ30"/>
    <mergeCell ref="AP30:AZ30"/>
    <mergeCell ref="C33:M33"/>
    <mergeCell ref="C37:M37"/>
    <mergeCell ref="C38:M38"/>
    <mergeCell ref="AC32:AM32"/>
    <mergeCell ref="AP32:AZ32"/>
    <mergeCell ref="AC38:AM38"/>
    <mergeCell ref="AP38:AZ38"/>
    <mergeCell ref="P38:Z38"/>
    <mergeCell ref="AP31:AZ31"/>
    <mergeCell ref="C39:M39"/>
    <mergeCell ref="C32:M32"/>
    <mergeCell ref="HC29:HM29"/>
    <mergeCell ref="HP29:HZ29"/>
    <mergeCell ref="EC31:EM31"/>
    <mergeCell ref="EP31:EZ31"/>
    <mergeCell ref="FC31:FM31"/>
    <mergeCell ref="FP31:FZ31"/>
    <mergeCell ref="CC31:CM31"/>
    <mergeCell ref="CP31:CZ31"/>
    <mergeCell ref="IC30:IM30"/>
    <mergeCell ref="IP30:IV30"/>
    <mergeCell ref="IC29:IM29"/>
    <mergeCell ref="IC31:IM31"/>
    <mergeCell ref="GP31:GZ31"/>
    <mergeCell ref="HC31:HM31"/>
    <mergeCell ref="HP31:HZ31"/>
    <mergeCell ref="FP30:FZ30"/>
    <mergeCell ref="GC31:GM31"/>
    <mergeCell ref="IP29:IV29"/>
    <mergeCell ref="GC30:GM30"/>
    <mergeCell ref="GP30:GZ30"/>
    <mergeCell ref="FP29:FZ29"/>
    <mergeCell ref="GC29:GM29"/>
    <mergeCell ref="GP29:GZ29"/>
    <mergeCell ref="HC30:HM30"/>
    <mergeCell ref="HP30:HZ30"/>
    <mergeCell ref="BC31:BM31"/>
    <mergeCell ref="BC32:BM32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GC32:GM32"/>
    <mergeCell ref="GP32:GZ32"/>
    <mergeCell ref="FC32:FM32"/>
    <mergeCell ref="BC39:BM39"/>
    <mergeCell ref="BP31:BZ31"/>
    <mergeCell ref="BP38:BZ38"/>
    <mergeCell ref="BP32:BZ32"/>
    <mergeCell ref="BC38:BM38"/>
    <mergeCell ref="DC31:DM31"/>
    <mergeCell ref="DP31:DZ31"/>
    <mergeCell ref="CC38:CM38"/>
    <mergeCell ref="CC32:CM32"/>
    <mergeCell ref="CP38:CZ38"/>
    <mergeCell ref="DC38:DM38"/>
    <mergeCell ref="HC32:HM32"/>
    <mergeCell ref="DC32:DM32"/>
    <mergeCell ref="DP32:DZ32"/>
    <mergeCell ref="EC32:EM32"/>
    <mergeCell ref="EP32:EZ32"/>
    <mergeCell ref="FP32:FZ32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P39:Z39"/>
    <mergeCell ref="AC39:AM39"/>
    <mergeCell ref="AP39:AZ39"/>
    <mergeCell ref="BP39:BZ39"/>
    <mergeCell ref="CC39:CM39"/>
    <mergeCell ref="CP39:CZ39"/>
    <mergeCell ref="DC39:DM39"/>
    <mergeCell ref="DP39:DZ39"/>
    <mergeCell ref="EC39:EM39"/>
    <mergeCell ref="GC39:GM39"/>
    <mergeCell ref="FP38:FZ38"/>
    <mergeCell ref="GC38:GM38"/>
    <mergeCell ref="DP38:DZ38"/>
    <mergeCell ref="EC38:EM38"/>
    <mergeCell ref="EP38:EZ38"/>
    <mergeCell ref="FC38:FM38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FC40:FM40"/>
    <mergeCell ref="FP40:FZ40"/>
    <mergeCell ref="CC40:CM40"/>
    <mergeCell ref="CP40:CZ40"/>
    <mergeCell ref="DC40:DM40"/>
    <mergeCell ref="EP40:EZ40"/>
    <mergeCell ref="DP40:DZ40"/>
    <mergeCell ref="C44:M44"/>
    <mergeCell ref="C43:M43"/>
    <mergeCell ref="BC40:BM40"/>
    <mergeCell ref="BP40:BZ40"/>
    <mergeCell ref="AP40:AZ40"/>
    <mergeCell ref="C42:M42"/>
    <mergeCell ref="C41:M41"/>
    <mergeCell ref="C40:M40"/>
    <mergeCell ref="P40:Z40"/>
    <mergeCell ref="AC40:AM4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2011-11-07T17:57:15Z</cp:lastPrinted>
  <dcterms:created xsi:type="dcterms:W3CDTF">1997-12-04T19:04:30Z</dcterms:created>
  <dcterms:modified xsi:type="dcterms:W3CDTF">2025-01-10T20:14:21Z</dcterms:modified>
</cp:coreProperties>
</file>