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B7093EE-CF6B-4AD9-9761-E29B7C0BF39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EC8D3BC-7C1B-436A-9F4C-A510BFD8158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2" i="1"/>
  <c r="C37" i="12"/>
  <c r="B37" i="12"/>
  <c r="B19" i="12"/>
  <c r="C19" i="12"/>
  <c r="B20" i="12"/>
  <c r="B10" i="12"/>
  <c r="B13" i="12" s="1"/>
  <c r="C10" i="12"/>
  <c r="C13" i="12" s="1"/>
  <c r="B11" i="12"/>
  <c r="J594" i="1"/>
  <c r="J225" i="1"/>
  <c r="J239" i="1" s="1"/>
  <c r="J249" i="1" s="1"/>
  <c r="H236" i="1"/>
  <c r="H200" i="1"/>
  <c r="L200" i="1" s="1"/>
  <c r="J585" i="1"/>
  <c r="H585" i="1"/>
  <c r="J584" i="1"/>
  <c r="H584" i="1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E13" i="13" s="1"/>
  <c r="L234" i="1"/>
  <c r="F16" i="13"/>
  <c r="G16" i="13"/>
  <c r="L201" i="1"/>
  <c r="L219" i="1"/>
  <c r="L237" i="1"/>
  <c r="C17" i="10" s="1"/>
  <c r="E16" i="13"/>
  <c r="C16" i="13" s="1"/>
  <c r="G5" i="13"/>
  <c r="G33" i="13" s="1"/>
  <c r="L189" i="1"/>
  <c r="L190" i="1"/>
  <c r="L191" i="1"/>
  <c r="L192" i="1"/>
  <c r="L207" i="1"/>
  <c r="L208" i="1"/>
  <c r="L209" i="1"/>
  <c r="L221" i="1" s="1"/>
  <c r="G650" i="1" s="1"/>
  <c r="L210" i="1"/>
  <c r="L226" i="1"/>
  <c r="C102" i="2" s="1"/>
  <c r="L227" i="1"/>
  <c r="L228" i="1"/>
  <c r="C104" i="2" s="1"/>
  <c r="F6" i="13"/>
  <c r="G6" i="13"/>
  <c r="L194" i="1"/>
  <c r="L212" i="1"/>
  <c r="L230" i="1"/>
  <c r="D6" i="13"/>
  <c r="F7" i="13"/>
  <c r="G7" i="13"/>
  <c r="L195" i="1"/>
  <c r="D7" i="13" s="1"/>
  <c r="C7" i="13" s="1"/>
  <c r="L213" i="1"/>
  <c r="L231" i="1"/>
  <c r="F12" i="13"/>
  <c r="G12" i="13"/>
  <c r="L197" i="1"/>
  <c r="L215" i="1"/>
  <c r="L233" i="1"/>
  <c r="D12" i="13"/>
  <c r="C12" i="13" s="1"/>
  <c r="F14" i="13"/>
  <c r="G14" i="13"/>
  <c r="L199" i="1"/>
  <c r="D14" i="13" s="1"/>
  <c r="C14" i="13" s="1"/>
  <c r="L217" i="1"/>
  <c r="L235" i="1"/>
  <c r="F15" i="13"/>
  <c r="G15" i="13"/>
  <c r="L218" i="1"/>
  <c r="L236" i="1"/>
  <c r="F17" i="13"/>
  <c r="G17" i="13"/>
  <c r="L243" i="1"/>
  <c r="C106" i="2" s="1"/>
  <c r="F18" i="13"/>
  <c r="D18" i="13" s="1"/>
  <c r="C18" i="13" s="1"/>
  <c r="G18" i="13"/>
  <c r="L244" i="1"/>
  <c r="F19" i="13"/>
  <c r="G19" i="13"/>
  <c r="L245" i="1"/>
  <c r="D19" i="13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30" i="1" s="1"/>
  <c r="K344" i="1" s="1"/>
  <c r="K320" i="1"/>
  <c r="G31" i="13"/>
  <c r="L268" i="1"/>
  <c r="L269" i="1"/>
  <c r="E102" i="2" s="1"/>
  <c r="L270" i="1"/>
  <c r="L271" i="1"/>
  <c r="L273" i="1"/>
  <c r="C15" i="10" s="1"/>
  <c r="L274" i="1"/>
  <c r="L275" i="1"/>
  <c r="L276" i="1"/>
  <c r="L277" i="1"/>
  <c r="E114" i="2" s="1"/>
  <c r="L278" i="1"/>
  <c r="L279" i="1"/>
  <c r="L280" i="1"/>
  <c r="E117" i="2" s="1"/>
  <c r="L287" i="1"/>
  <c r="E101" i="2" s="1"/>
  <c r="L288" i="1"/>
  <c r="L289" i="1"/>
  <c r="L290" i="1"/>
  <c r="L292" i="1"/>
  <c r="L293" i="1"/>
  <c r="L294" i="1"/>
  <c r="L295" i="1"/>
  <c r="C18" i="10" s="1"/>
  <c r="L296" i="1"/>
  <c r="L297" i="1"/>
  <c r="E115" i="2" s="1"/>
  <c r="L298" i="1"/>
  <c r="G652" i="1" s="1"/>
  <c r="L299" i="1"/>
  <c r="L301" i="1"/>
  <c r="L306" i="1"/>
  <c r="L307" i="1"/>
  <c r="L320" i="1" s="1"/>
  <c r="L308" i="1"/>
  <c r="L309" i="1"/>
  <c r="L311" i="1"/>
  <c r="L312" i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C25" i="10" s="1"/>
  <c r="L333" i="1"/>
  <c r="L334" i="1"/>
  <c r="L343" i="1" s="1"/>
  <c r="L247" i="1"/>
  <c r="F22" i="13" s="1"/>
  <c r="C22" i="13" s="1"/>
  <c r="L328" i="1"/>
  <c r="C11" i="13"/>
  <c r="C10" i="13"/>
  <c r="C9" i="13"/>
  <c r="C8" i="13"/>
  <c r="C6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C9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L400" i="1" s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96" i="2" s="1"/>
  <c r="G51" i="2"/>
  <c r="G54" i="2" s="1"/>
  <c r="G53" i="2"/>
  <c r="F2" i="11"/>
  <c r="L603" i="1"/>
  <c r="H653" i="1"/>
  <c r="L602" i="1"/>
  <c r="G653" i="1"/>
  <c r="L601" i="1"/>
  <c r="F653" i="1"/>
  <c r="I653" i="1" s="1"/>
  <c r="C40" i="10"/>
  <c r="F52" i="1"/>
  <c r="G52" i="1"/>
  <c r="H52" i="1"/>
  <c r="I52" i="1"/>
  <c r="C35" i="10"/>
  <c r="F71" i="1"/>
  <c r="F86" i="1"/>
  <c r="F103" i="1"/>
  <c r="F104" i="1"/>
  <c r="F185" i="1" s="1"/>
  <c r="G617" i="1" s="1"/>
  <c r="J617" i="1" s="1"/>
  <c r="G103" i="1"/>
  <c r="G104" i="1"/>
  <c r="H71" i="1"/>
  <c r="H104" i="1" s="1"/>
  <c r="H185" i="1" s="1"/>
  <c r="G619" i="1" s="1"/>
  <c r="J619" i="1" s="1"/>
  <c r="H86" i="1"/>
  <c r="H103" i="1"/>
  <c r="I103" i="1"/>
  <c r="I104" i="1"/>
  <c r="J103" i="1"/>
  <c r="J104" i="1"/>
  <c r="F139" i="1"/>
  <c r="F161" i="1" s="1"/>
  <c r="F154" i="1"/>
  <c r="G139" i="1"/>
  <c r="G161" i="1" s="1"/>
  <c r="G154" i="1"/>
  <c r="H139" i="1"/>
  <c r="H154" i="1"/>
  <c r="H161" i="1"/>
  <c r="I139" i="1"/>
  <c r="F77" i="2" s="1"/>
  <c r="F83" i="2" s="1"/>
  <c r="I154" i="1"/>
  <c r="C13" i="10"/>
  <c r="L242" i="1"/>
  <c r="C105" i="2" s="1"/>
  <c r="L324" i="1"/>
  <c r="C23" i="10"/>
  <c r="L246" i="1"/>
  <c r="C24" i="10"/>
  <c r="L260" i="1"/>
  <c r="C26" i="10" s="1"/>
  <c r="L261" i="1"/>
  <c r="L341" i="1"/>
  <c r="L342" i="1"/>
  <c r="I655" i="1"/>
  <c r="I660" i="1"/>
  <c r="F651" i="1"/>
  <c r="H651" i="1"/>
  <c r="H652" i="1"/>
  <c r="I659" i="1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L514" i="1" s="1"/>
  <c r="L513" i="1"/>
  <c r="F541" i="1" s="1"/>
  <c r="K541" i="1" s="1"/>
  <c r="L516" i="1"/>
  <c r="G539" i="1" s="1"/>
  <c r="G542" i="1" s="1"/>
  <c r="L517" i="1"/>
  <c r="G540" i="1" s="1"/>
  <c r="L518" i="1"/>
  <c r="G541" i="1"/>
  <c r="L521" i="1"/>
  <c r="H539" i="1" s="1"/>
  <c r="L522" i="1"/>
  <c r="H540" i="1" s="1"/>
  <c r="L523" i="1"/>
  <c r="H541" i="1" s="1"/>
  <c r="L526" i="1"/>
  <c r="I539" i="1" s="1"/>
  <c r="I542" i="1" s="1"/>
  <c r="L527" i="1"/>
  <c r="L529" i="1" s="1"/>
  <c r="I540" i="1"/>
  <c r="L528" i="1"/>
  <c r="I541" i="1"/>
  <c r="L531" i="1"/>
  <c r="J539" i="1" s="1"/>
  <c r="L532" i="1"/>
  <c r="J540" i="1" s="1"/>
  <c r="L533" i="1"/>
  <c r="J541" i="1" s="1"/>
  <c r="E123" i="2"/>
  <c r="K262" i="1"/>
  <c r="J262" i="1"/>
  <c r="I262" i="1"/>
  <c r="H262" i="1"/>
  <c r="G262" i="1"/>
  <c r="F262" i="1"/>
  <c r="A1" i="2"/>
  <c r="A2" i="2"/>
  <c r="C9" i="2"/>
  <c r="C19" i="2" s="1"/>
  <c r="D9" i="2"/>
  <c r="D19" i="2" s="1"/>
  <c r="E9" i="2"/>
  <c r="F9" i="2"/>
  <c r="I431" i="1"/>
  <c r="J9" i="1" s="1"/>
  <c r="C10" i="2"/>
  <c r="D10" i="2"/>
  <c r="E10" i="2"/>
  <c r="F10" i="2"/>
  <c r="I432" i="1"/>
  <c r="I438" i="1" s="1"/>
  <c r="G632" i="1" s="1"/>
  <c r="J632" i="1" s="1"/>
  <c r="C11" i="2"/>
  <c r="C12" i="2"/>
  <c r="D12" i="2"/>
  <c r="E12" i="2"/>
  <c r="F12" i="2"/>
  <c r="I433" i="1"/>
  <c r="J12" i="1"/>
  <c r="G12" i="2"/>
  <c r="C13" i="2"/>
  <c r="D13" i="2"/>
  <c r="E13" i="2"/>
  <c r="F13" i="2"/>
  <c r="F19" i="2" s="1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E19" i="2"/>
  <c r="C22" i="2"/>
  <c r="D22" i="2"/>
  <c r="E22" i="2"/>
  <c r="F22" i="2"/>
  <c r="I440" i="1"/>
  <c r="J23" i="1" s="1"/>
  <c r="C23" i="2"/>
  <c r="D23" i="2"/>
  <c r="E23" i="2"/>
  <c r="E32" i="2" s="1"/>
  <c r="F23" i="2"/>
  <c r="F32" i="2" s="1"/>
  <c r="I441" i="1"/>
  <c r="I444" i="1" s="1"/>
  <c r="I451" i="1" s="1"/>
  <c r="H632" i="1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D32" i="2"/>
  <c r="C34" i="2"/>
  <c r="D34" i="2"/>
  <c r="E34" i="2"/>
  <c r="F34" i="2"/>
  <c r="F42" i="2" s="1"/>
  <c r="C35" i="2"/>
  <c r="D35" i="2"/>
  <c r="E35" i="2"/>
  <c r="F35" i="2"/>
  <c r="C36" i="2"/>
  <c r="C42" i="2" s="1"/>
  <c r="C43" i="2" s="1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/>
  <c r="G39" i="2"/>
  <c r="C40" i="2"/>
  <c r="D40" i="2"/>
  <c r="D42" i="2" s="1"/>
  <c r="D43" i="2" s="1"/>
  <c r="E40" i="2"/>
  <c r="F40" i="2"/>
  <c r="I449" i="1"/>
  <c r="J41" i="1"/>
  <c r="G40" i="2" s="1"/>
  <c r="C41" i="2"/>
  <c r="D41" i="2"/>
  <c r="E41" i="2"/>
  <c r="F41" i="2"/>
  <c r="E42" i="2"/>
  <c r="E43" i="2" s="1"/>
  <c r="C48" i="2"/>
  <c r="D48" i="2"/>
  <c r="D55" i="2" s="1"/>
  <c r="E48" i="2"/>
  <c r="E55" i="2" s="1"/>
  <c r="F48" i="2"/>
  <c r="F55" i="2" s="1"/>
  <c r="C49" i="2"/>
  <c r="C54" i="2" s="1"/>
  <c r="C55" i="2" s="1"/>
  <c r="E49" i="2"/>
  <c r="E54" i="2" s="1"/>
  <c r="C50" i="2"/>
  <c r="E50" i="2"/>
  <c r="C51" i="2"/>
  <c r="D51" i="2"/>
  <c r="E51" i="2"/>
  <c r="F51" i="2"/>
  <c r="D52" i="2"/>
  <c r="C53" i="2"/>
  <c r="D53" i="2"/>
  <c r="E53" i="2"/>
  <c r="F53" i="2"/>
  <c r="F54" i="2" s="1"/>
  <c r="D54" i="2"/>
  <c r="C58" i="2"/>
  <c r="C62" i="2" s="1"/>
  <c r="C59" i="2"/>
  <c r="C61" i="2"/>
  <c r="D61" i="2"/>
  <c r="D62" i="2" s="1"/>
  <c r="E61" i="2"/>
  <c r="F61" i="2"/>
  <c r="F62" i="2" s="1"/>
  <c r="G61" i="2"/>
  <c r="E62" i="2"/>
  <c r="G62" i="2"/>
  <c r="C64" i="2"/>
  <c r="F64" i="2"/>
  <c r="C65" i="2"/>
  <c r="F65" i="2"/>
  <c r="C66" i="2"/>
  <c r="C67" i="2"/>
  <c r="C70" i="2" s="1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D70" i="2"/>
  <c r="D73" i="2" s="1"/>
  <c r="F70" i="2"/>
  <c r="C71" i="2"/>
  <c r="D71" i="2"/>
  <c r="E71" i="2"/>
  <c r="C72" i="2"/>
  <c r="E72" i="2"/>
  <c r="C77" i="2"/>
  <c r="C83" i="2" s="1"/>
  <c r="D77" i="2"/>
  <c r="D83" i="2" s="1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95" i="2"/>
  <c r="C103" i="2"/>
  <c r="E103" i="2"/>
  <c r="E104" i="2"/>
  <c r="E105" i="2"/>
  <c r="E106" i="2"/>
  <c r="D107" i="2"/>
  <c r="F107" i="2"/>
  <c r="G107" i="2"/>
  <c r="C110" i="2"/>
  <c r="E110" i="2"/>
  <c r="C111" i="2"/>
  <c r="E111" i="2"/>
  <c r="C112" i="2"/>
  <c r="C113" i="2"/>
  <c r="E113" i="2"/>
  <c r="C117" i="2"/>
  <c r="D119" i="2"/>
  <c r="D120" i="2" s="1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G490" i="1"/>
  <c r="C153" i="2" s="1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156" i="2" s="1"/>
  <c r="G493" i="1"/>
  <c r="C156" i="2"/>
  <c r="H493" i="1"/>
  <c r="D156" i="2"/>
  <c r="I493" i="1"/>
  <c r="E156" i="2" s="1"/>
  <c r="J493" i="1"/>
  <c r="F156" i="2"/>
  <c r="F19" i="1"/>
  <c r="G607" i="1" s="1"/>
  <c r="G19" i="1"/>
  <c r="G608" i="1" s="1"/>
  <c r="J608" i="1" s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G613" i="1" s="1"/>
  <c r="J613" i="1" s="1"/>
  <c r="H43" i="1"/>
  <c r="H44" i="1" s="1"/>
  <c r="H609" i="1" s="1"/>
  <c r="I43" i="1"/>
  <c r="I44" i="1" s="1"/>
  <c r="H610" i="1" s="1"/>
  <c r="J610" i="1" s="1"/>
  <c r="G44" i="1"/>
  <c r="H608" i="1" s="1"/>
  <c r="F169" i="1"/>
  <c r="I169" i="1"/>
  <c r="F175" i="1"/>
  <c r="G175" i="1"/>
  <c r="G184" i="1" s="1"/>
  <c r="H175" i="1"/>
  <c r="H184" i="1" s="1"/>
  <c r="I175" i="1"/>
  <c r="I184" i="1" s="1"/>
  <c r="J175" i="1"/>
  <c r="J184" i="1" s="1"/>
  <c r="J185" i="1" s="1"/>
  <c r="F180" i="1"/>
  <c r="G180" i="1"/>
  <c r="H180" i="1"/>
  <c r="I180" i="1"/>
  <c r="F184" i="1"/>
  <c r="F203" i="1"/>
  <c r="G203" i="1"/>
  <c r="G249" i="1" s="1"/>
  <c r="G263" i="1" s="1"/>
  <c r="H203" i="1"/>
  <c r="H249" i="1" s="1"/>
  <c r="H263" i="1" s="1"/>
  <c r="I203" i="1"/>
  <c r="I249" i="1" s="1"/>
  <c r="I263" i="1" s="1"/>
  <c r="J203" i="1"/>
  <c r="K203" i="1"/>
  <c r="F221" i="1"/>
  <c r="F249" i="1" s="1"/>
  <c r="F263" i="1" s="1"/>
  <c r="G221" i="1"/>
  <c r="H221" i="1"/>
  <c r="I221" i="1"/>
  <c r="J221" i="1"/>
  <c r="K221" i="1"/>
  <c r="K249" i="1" s="1"/>
  <c r="K263" i="1" s="1"/>
  <c r="F239" i="1"/>
  <c r="G239" i="1"/>
  <c r="H239" i="1"/>
  <c r="I239" i="1"/>
  <c r="K239" i="1"/>
  <c r="F248" i="1"/>
  <c r="L248" i="1" s="1"/>
  <c r="G248" i="1"/>
  <c r="H248" i="1"/>
  <c r="I248" i="1"/>
  <c r="J248" i="1"/>
  <c r="K248" i="1"/>
  <c r="L262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J330" i="1" s="1"/>
  <c r="J344" i="1" s="1"/>
  <c r="K329" i="1"/>
  <c r="F330" i="1"/>
  <c r="F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F399" i="1"/>
  <c r="G399" i="1"/>
  <c r="H399" i="1"/>
  <c r="I399" i="1"/>
  <c r="F400" i="1"/>
  <c r="H633" i="1" s="1"/>
  <c r="J633" i="1" s="1"/>
  <c r="G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F426" i="1"/>
  <c r="F438" i="1"/>
  <c r="G438" i="1"/>
  <c r="H438" i="1"/>
  <c r="G631" i="1" s="1"/>
  <c r="J631" i="1" s="1"/>
  <c r="F444" i="1"/>
  <c r="F451" i="1" s="1"/>
  <c r="H629" i="1" s="1"/>
  <c r="J629" i="1" s="1"/>
  <c r="G444" i="1"/>
  <c r="H444" i="1"/>
  <c r="H451" i="1" s="1"/>
  <c r="H631" i="1" s="1"/>
  <c r="F450" i="1"/>
  <c r="G450" i="1"/>
  <c r="H450" i="1"/>
  <c r="I450" i="1"/>
  <c r="G451" i="1"/>
  <c r="F460" i="1"/>
  <c r="F466" i="1" s="1"/>
  <c r="H612" i="1" s="1"/>
  <c r="G460" i="1"/>
  <c r="H460" i="1"/>
  <c r="H466" i="1" s="1"/>
  <c r="H614" i="1" s="1"/>
  <c r="J614" i="1" s="1"/>
  <c r="I460" i="1"/>
  <c r="J460" i="1"/>
  <c r="F464" i="1"/>
  <c r="G464" i="1"/>
  <c r="H464" i="1"/>
  <c r="I464" i="1"/>
  <c r="I466" i="1" s="1"/>
  <c r="H615" i="1" s="1"/>
  <c r="J464" i="1"/>
  <c r="G466" i="1"/>
  <c r="H613" i="1" s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K535" i="1" s="1"/>
  <c r="F519" i="1"/>
  <c r="G519" i="1"/>
  <c r="G535" i="1" s="1"/>
  <c r="H519" i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H535" i="1" s="1"/>
  <c r="I534" i="1"/>
  <c r="J534" i="1"/>
  <c r="K534" i="1"/>
  <c r="L534" i="1"/>
  <c r="L547" i="1"/>
  <c r="L550" i="1" s="1"/>
  <c r="L548" i="1"/>
  <c r="L549" i="1"/>
  <c r="F550" i="1"/>
  <c r="G550" i="1"/>
  <c r="G561" i="1" s="1"/>
  <c r="H550" i="1"/>
  <c r="I550" i="1"/>
  <c r="I561" i="1" s="1"/>
  <c r="J550" i="1"/>
  <c r="J561" i="1" s="1"/>
  <c r="K550" i="1"/>
  <c r="L552" i="1"/>
  <c r="L553" i="1"/>
  <c r="L555" i="1" s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2" i="1"/>
  <c r="J612" i="1" s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H630" i="1"/>
  <c r="J630" i="1"/>
  <c r="G633" i="1"/>
  <c r="G634" i="1"/>
  <c r="H635" i="1"/>
  <c r="H639" i="1"/>
  <c r="G640" i="1"/>
  <c r="J640" i="1" s="1"/>
  <c r="H640" i="1"/>
  <c r="G641" i="1"/>
  <c r="G642" i="1"/>
  <c r="H642" i="1"/>
  <c r="J642" i="1"/>
  <c r="G643" i="1"/>
  <c r="J643" i="1" s="1"/>
  <c r="H643" i="1"/>
  <c r="G644" i="1"/>
  <c r="J644" i="1" s="1"/>
  <c r="H644" i="1"/>
  <c r="G645" i="1"/>
  <c r="H645" i="1"/>
  <c r="J645" i="1"/>
  <c r="E96" i="2" l="1"/>
  <c r="F43" i="2"/>
  <c r="G654" i="1"/>
  <c r="J263" i="1"/>
  <c r="H638" i="1"/>
  <c r="J638" i="1" s="1"/>
  <c r="D96" i="2"/>
  <c r="L535" i="1"/>
  <c r="C133" i="2"/>
  <c r="C13" i="13"/>
  <c r="E33" i="13"/>
  <c r="D35" i="13" s="1"/>
  <c r="J637" i="1"/>
  <c r="J607" i="1"/>
  <c r="A13" i="12"/>
  <c r="H636" i="1"/>
  <c r="G627" i="1"/>
  <c r="J627" i="1" s="1"/>
  <c r="H33" i="13"/>
  <c r="C25" i="13"/>
  <c r="C38" i="10"/>
  <c r="G185" i="1"/>
  <c r="G618" i="1" s="1"/>
  <c r="J618" i="1" s="1"/>
  <c r="J43" i="1"/>
  <c r="G36" i="2"/>
  <c r="G42" i="2" s="1"/>
  <c r="G137" i="2"/>
  <c r="C73" i="2"/>
  <c r="C96" i="2" s="1"/>
  <c r="G22" i="2"/>
  <c r="J33" i="1"/>
  <c r="E107" i="2"/>
  <c r="J624" i="1"/>
  <c r="F137" i="2"/>
  <c r="G9" i="2"/>
  <c r="H542" i="1"/>
  <c r="C39" i="10"/>
  <c r="L561" i="1"/>
  <c r="D137" i="2"/>
  <c r="F73" i="2"/>
  <c r="F96" i="2" s="1"/>
  <c r="G636" i="1"/>
  <c r="J636" i="1" s="1"/>
  <c r="G621" i="1"/>
  <c r="J621" i="1" s="1"/>
  <c r="I651" i="1"/>
  <c r="I185" i="1"/>
  <c r="G620" i="1" s="1"/>
  <c r="J620" i="1" s="1"/>
  <c r="F652" i="1"/>
  <c r="I652" i="1" s="1"/>
  <c r="H637" i="1"/>
  <c r="D15" i="13"/>
  <c r="C15" i="13" s="1"/>
  <c r="C21" i="10"/>
  <c r="C116" i="2"/>
  <c r="G639" i="1"/>
  <c r="J639" i="1" s="1"/>
  <c r="L426" i="1"/>
  <c r="G628" i="1" s="1"/>
  <c r="J628" i="1" s="1"/>
  <c r="J542" i="1"/>
  <c r="G635" i="1"/>
  <c r="J635" i="1" s="1"/>
  <c r="G615" i="1"/>
  <c r="J615" i="1" s="1"/>
  <c r="B153" i="2"/>
  <c r="G153" i="2" s="1"/>
  <c r="J24" i="1"/>
  <c r="G23" i="2" s="1"/>
  <c r="J10" i="1"/>
  <c r="G10" i="2" s="1"/>
  <c r="E124" i="2"/>
  <c r="E136" i="2" s="1"/>
  <c r="F540" i="1"/>
  <c r="K540" i="1" s="1"/>
  <c r="C32" i="10"/>
  <c r="G651" i="1"/>
  <c r="C12" i="10"/>
  <c r="I161" i="1"/>
  <c r="C36" i="10"/>
  <c r="L282" i="1"/>
  <c r="D17" i="13"/>
  <c r="C17" i="13" s="1"/>
  <c r="F5" i="13"/>
  <c r="E116" i="2"/>
  <c r="E120" i="2" s="1"/>
  <c r="L225" i="1"/>
  <c r="L374" i="1"/>
  <c r="G626" i="1" s="1"/>
  <c r="J626" i="1" s="1"/>
  <c r="F122" i="2"/>
  <c r="F136" i="2" s="1"/>
  <c r="C123" i="2"/>
  <c r="C136" i="2" s="1"/>
  <c r="C11" i="10"/>
  <c r="C124" i="2"/>
  <c r="K539" i="1"/>
  <c r="L524" i="1"/>
  <c r="C115" i="2"/>
  <c r="C20" i="10"/>
  <c r="C19" i="10"/>
  <c r="C114" i="2"/>
  <c r="C120" i="2" s="1"/>
  <c r="L203" i="1"/>
  <c r="L354" i="1"/>
  <c r="C16" i="10"/>
  <c r="F650" i="1" l="1"/>
  <c r="C101" i="2"/>
  <c r="C107" i="2" s="1"/>
  <c r="C137" i="2" s="1"/>
  <c r="L239" i="1"/>
  <c r="H650" i="1" s="1"/>
  <c r="H654" i="1" s="1"/>
  <c r="C10" i="10"/>
  <c r="G32" i="2"/>
  <c r="G43" i="2" s="1"/>
  <c r="D31" i="13"/>
  <c r="C31" i="13" s="1"/>
  <c r="L330" i="1"/>
  <c r="L344" i="1" s="1"/>
  <c r="G623" i="1" s="1"/>
  <c r="J623" i="1" s="1"/>
  <c r="F542" i="1"/>
  <c r="K542" i="1"/>
  <c r="G662" i="1"/>
  <c r="G657" i="1"/>
  <c r="E137" i="2"/>
  <c r="D5" i="13"/>
  <c r="F33" i="13"/>
  <c r="J19" i="1"/>
  <c r="G611" i="1" s="1"/>
  <c r="G616" i="1"/>
  <c r="J616" i="1" s="1"/>
  <c r="J44" i="1"/>
  <c r="H611" i="1" s="1"/>
  <c r="G625" i="1"/>
  <c r="J625" i="1" s="1"/>
  <c r="C27" i="10"/>
  <c r="C41" i="10"/>
  <c r="G19" i="2"/>
  <c r="J611" i="1" l="1"/>
  <c r="C5" i="13"/>
  <c r="D33" i="13"/>
  <c r="D36" i="13" s="1"/>
  <c r="D40" i="10"/>
  <c r="D37" i="10"/>
  <c r="D35" i="10"/>
  <c r="C28" i="10"/>
  <c r="D10" i="10"/>
  <c r="H657" i="1"/>
  <c r="H662" i="1"/>
  <c r="C6" i="10" s="1"/>
  <c r="D36" i="10"/>
  <c r="L249" i="1"/>
  <c r="L263" i="1" s="1"/>
  <c r="G622" i="1" s="1"/>
  <c r="J622" i="1" s="1"/>
  <c r="D38" i="10"/>
  <c r="D39" i="10"/>
  <c r="F654" i="1"/>
  <c r="I650" i="1"/>
  <c r="I654" i="1" s="1"/>
  <c r="D41" i="10" l="1"/>
  <c r="H646" i="1"/>
  <c r="D22" i="10"/>
  <c r="C30" i="10"/>
  <c r="D23" i="10"/>
  <c r="D17" i="10"/>
  <c r="D26" i="10"/>
  <c r="D18" i="10"/>
  <c r="D13" i="10"/>
  <c r="D15" i="10"/>
  <c r="D24" i="10"/>
  <c r="D25" i="10"/>
  <c r="D16" i="10"/>
  <c r="D21" i="10"/>
  <c r="D11" i="10"/>
  <c r="D28" i="10" s="1"/>
  <c r="D19" i="10"/>
  <c r="D20" i="10"/>
  <c r="D12" i="10"/>
  <c r="I657" i="1"/>
  <c r="I662" i="1"/>
  <c r="C7" i="10" s="1"/>
  <c r="F662" i="1"/>
  <c r="C4" i="10" s="1"/>
  <c r="F657" i="1"/>
  <c r="D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BDB5A14-C891-4437-A5E1-A98D322D3CB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6DD77EF-9461-41D8-892B-07F78076DFD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0D609B1-74CB-4C35-9C62-9EA0EF8E9B6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56BD4CA-BE7A-460A-A13D-0D26E9418DF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F571A2D-898C-40B7-B2B6-4AA622CEE03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656D058-33D9-4BE7-9522-47E6336576B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313D932-526C-4DF8-8F10-51D1FE0E7DE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C0C3270-7399-492D-8A1A-E774BFF2296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29CFC3E-04A9-4A80-B6D8-D39FAFC5B1F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4251B89-8AAC-4FED-B9EF-2812282DBFE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EDCEA66-8713-46E1-A405-F7F82480C35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1A6EB0F-DA2B-485A-B9FC-9B4E8EE1CC5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<sst xmlns="http://schemas.openxmlformats.org/spreadsheetml/2006/main" count="3858" uniqueCount="895">
  <si>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</si>
  <si>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</si>
  <si>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</si>
  <si>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</si>
  <si>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</si>
  <si>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</si>
  <si>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</si>
  <si>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</si>
  <si>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</si>
  <si>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</si>
  <si>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</si>
  <si>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</si>
  <si>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</si>
  <si>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</si>
  <si>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</si>
  <si>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</si>
  <si>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</si>
  <si>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</si>
  <si>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</si>
  <si>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</si>
  <si>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</si>
  <si>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</si>
  <si>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</si>
  <si>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</si>
  <si>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</si>
  <si>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</si>
  <si>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</si>
  <si>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</si>
  <si>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</si>
  <si>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</si>
  <si>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</si>
  <si>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</si>
  <si>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</si>
  <si>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</si>
  <si>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</si>
  <si>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</si>
  <si>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</si>
  <si>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</si>
  <si>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</si>
  <si>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</si>
  <si>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</si>
  <si>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</si>
  <si>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</si>
  <si>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</si>
  <si>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</si>
  <si>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</si>
  <si>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</si>
  <si>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</si>
  <si>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</si>
  <si>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</si>
  <si>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</si>
  <si>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</si>
  <si>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</si>
  <si>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</si>
  <si>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</si>
  <si>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</si>
  <si>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</si>
  <si>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</si>
  <si>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</si>
  <si>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</si>
  <si>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</si>
  <si>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</si>
  <si>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</si>
  <si>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</si>
  <si>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</si>
  <si>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</si>
  <si>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</si>
  <si>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</si>
  <si>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</si>
  <si>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</si>
  <si>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</si>
  <si>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</si>
  <si>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</si>
  <si>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</si>
  <si>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</si>
  <si>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</si>
  <si>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</si>
  <si>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</si>
  <si>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</si>
  <si>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</si>
  <si>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</si>
  <si>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</si>
  <si>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</si>
  <si>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</si>
  <si>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</si>
  <si>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</si>
  <si>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</si>
  <si>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</si>
  <si>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</si>
  <si>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</si>
  <si>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</si>
  <si>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</si>
  <si>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</si>
  <si>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</si>
  <si>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</si>
  <si>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</si>
  <si>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</si>
  <si>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</si>
  <si>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</si>
  <si>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</si>
  <si>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</si>
  <si>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</si>
  <si>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</si>
  <si>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</si>
  <si>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</si>
  <si>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</si>
  <si>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</si>
  <si>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</si>
  <si>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</si>
  <si>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</si>
  <si>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</si>
  <si>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</si>
  <si>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</si>
  <si>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</si>
  <si>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</si>
  <si>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</si>
  <si>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</si>
  <si>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</si>
  <si>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</si>
  <si>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</si>
  <si>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</si>
  <si>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</si>
  <si>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</si>
  <si>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</si>
  <si>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</si>
  <si>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</si>
  <si>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</si>
  <si>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</si>
  <si>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</si>
  <si>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</si>
  <si>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</si>
  <si>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</si>
  <si>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</si>
  <si>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</si>
  <si>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</si>
  <si>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</si>
  <si>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</si>
  <si>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</si>
  <si>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</si>
  <si>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</si>
  <si>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</si>
  <si>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</si>
  <si>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</si>
  <si>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</si>
  <si>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</si>
  <si>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</si>
  <si>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</si>
  <si>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</si>
  <si>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</si>
  <si>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</si>
  <si>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</si>
  <si>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</si>
  <si>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</si>
  <si>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</si>
  <si>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</si>
  <si>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</si>
  <si>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</si>
  <si>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</si>
  <si>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</si>
  <si>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</si>
  <si>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</si>
  <si>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</si>
  <si>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</si>
  <si>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</si>
  <si>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</si>
  <si>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</si>
  <si>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</si>
  <si>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</si>
  <si>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</si>
  <si>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</si>
  <si>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</si>
  <si>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</si>
  <si>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</si>
  <si>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</si>
  <si>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</si>
  <si>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</si>
  <si>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</si>
  <si>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</si>
  <si>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</si>
  <si>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</si>
  <si>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</si>
  <si>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</si>
  <si>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</si>
  <si>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</si>
  <si>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</si>
  <si>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</si>
  <si>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</si>
  <si>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</si>
  <si>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</si>
  <si>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</si>
  <si>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</si>
  <si>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</si>
  <si>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</si>
  <si>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</si>
  <si>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</si>
  <si>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</si>
  <si>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</si>
  <si>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</si>
  <si>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</si>
  <si>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</si>
  <si>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</si>
  <si>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</si>
  <si>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</si>
  <si>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</si>
  <si>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</si>
  <si>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</si>
  <si>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</si>
  <si>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</si>
  <si>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</si>
  <si>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</si>
  <si>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</si>
  <si>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</si>
  <si>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</si>
  <si>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</si>
  <si>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</si>
  <si>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</si>
  <si>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</si>
  <si>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</si>
  <si>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</si>
  <si>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</si>
  <si>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</si>
  <si>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</si>
  <si>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</si>
  <si>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</si>
  <si>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</si>
  <si>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</si>
  <si>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</si>
  <si>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</si>
  <si>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</si>
  <si>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</si>
  <si>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</si>
  <si>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</si>
  <si>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</si>
  <si>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</si>
  <si>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</si>
  <si>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</si>
  <si>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</si>
  <si>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</si>
  <si>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</si>
  <si>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</si>
  <si>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</si>
  <si>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</si>
  <si>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</si>
  <si>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</si>
  <si>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</si>
  <si>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</si>
  <si>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</si>
  <si>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</si>
  <si>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</si>
  <si>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</si>
  <si>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</si>
  <si>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</si>
  <si>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</si>
  <si>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</si>
  <si>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</si>
  <si>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</si>
  <si>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</si>
  <si>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</si>
  <si>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</si>
  <si>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</si>
  <si>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</si>
  <si>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</si>
  <si>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</si>
  <si>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</si>
  <si>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</si>
  <si>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</si>
  <si>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</si>
  <si>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</si>
  <si>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</si>
  <si>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</si>
  <si>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</si>
  <si>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</si>
  <si>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</si>
  <si>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</si>
  <si>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</si>
  <si>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</si>
  <si>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</si>
  <si>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</si>
  <si>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</si>
  <si>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</si>
  <si>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</si>
  <si>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</si>
  <si>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</si>
  <si>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</si>
  <si>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</si>
  <si>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</si>
  <si>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</si>
  <si>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</si>
  <si>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</si>
  <si>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</si>
  <si>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</si>
  <si>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</si>
  <si>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</si>
  <si>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</si>
  <si>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</si>
  <si>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</si>
  <si>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</si>
  <si>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</si>
  <si>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</si>
  <si>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</si>
  <si>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</si>
  <si>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</si>
  <si>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</si>
  <si>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</si>
  <si>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</si>
  <si>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</si>
  <si>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</si>
  <si>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</si>
  <si>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</si>
  <si>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</si>
  <si>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</si>
  <si>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</si>
  <si>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</si>
  <si>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</si>
  <si>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</si>
  <si>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</si>
  <si>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</si>
  <si>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</si>
  <si>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</si>
  <si>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</si>
  <si>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</si>
  <si>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</si>
  <si>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</si>
  <si>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</si>
  <si>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</si>
  <si>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</si>
  <si>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</si>
  <si>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</si>
  <si>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</si>
  <si>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</si>
  <si>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</si>
  <si>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</si>
  <si>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</si>
  <si>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</si>
  <si>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</si>
  <si>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</si>
  <si>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</si>
  <si>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</si>
  <si>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</si>
  <si>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</si>
  <si>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</si>
  <si>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</si>
  <si>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</si>
  <si>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</si>
  <si>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</si>
  <si>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</si>
  <si>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</si>
  <si>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</si>
  <si>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</si>
  <si>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</si>
  <si>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</si>
  <si>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</si>
  <si>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</si>
  <si>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</si>
  <si>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</si>
  <si>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</si>
  <si>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</si>
  <si>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</si>
  <si>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</si>
  <si>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</si>
  <si>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</si>
  <si>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</si>
  <si>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</si>
  <si>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</si>
  <si>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</si>
  <si>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</si>
  <si>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</si>
  <si>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</si>
  <si>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</si>
  <si>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</si>
  <si>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</si>
  <si>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</si>
  <si>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</si>
  <si>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</si>
  <si>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</si>
  <si>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</si>
  <si>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</si>
  <si>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</si>
  <si>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</si>
  <si>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</si>
  <si>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</si>
  <si>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</si>
  <si>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</si>
  <si>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</si>
  <si>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</si>
  <si>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</si>
  <si>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</si>
  <si>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</si>
  <si>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</si>
  <si>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</si>
  <si>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</si>
  <si>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</si>
  <si>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</si>
  <si>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</si>
  <si>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</si>
  <si>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</si>
  <si>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</si>
  <si>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</si>
  <si>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</si>
  <si>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</si>
  <si>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</si>
  <si>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</si>
  <si>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</si>
  <si>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</si>
  <si>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</si>
  <si>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</si>
  <si>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</si>
  <si>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</si>
  <si>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</si>
  <si>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</si>
  <si>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</si>
  <si>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</si>
  <si>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</si>
  <si>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</si>
  <si>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</si>
  <si>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</si>
  <si>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</si>
  <si>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</si>
  <si>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</si>
  <si>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</si>
  <si>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</si>
  <si>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</si>
  <si>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</si>
  <si>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</si>
  <si>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</si>
  <si>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</si>
  <si>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</si>
  <si>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</si>
  <si>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</si>
  <si>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</si>
  <si>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</si>
  <si>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</si>
  <si>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</si>
  <si>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</si>
  <si>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</si>
  <si>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</si>
  <si>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</si>
  <si>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</si>
  <si>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</si>
  <si>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</si>
  <si>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</si>
  <si>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</si>
  <si>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</si>
  <si>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</si>
  <si>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</si>
  <si>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</si>
  <si>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</si>
  <si>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</si>
  <si>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</si>
  <si>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</si>
  <si>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</si>
  <si>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</si>
  <si>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</si>
  <si>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</si>
  <si>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</si>
  <si>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</si>
  <si>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</si>
  <si>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</si>
  <si>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</si>
  <si>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</si>
  <si>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</si>
  <si>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</si>
  <si>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</si>
  <si>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</si>
  <si>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</si>
  <si>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</si>
  <si>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</si>
  <si>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</si>
  <si>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</si>
  <si>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</si>
  <si>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</si>
  <si>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</si>
  <si>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</si>
  <si>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</si>
  <si>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</si>
  <si>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</si>
  <si>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</si>
  <si>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</si>
  <si>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</si>
  <si>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</si>
  <si>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</si>
  <si>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</si>
  <si>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</si>
  <si>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</si>
  <si>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</si>
  <si>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</si>
  <si>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</si>
  <si>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</si>
  <si>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</si>
  <si>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</si>
  <si>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</si>
  <si>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</si>
  <si>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</si>
  <si>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</si>
  <si>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</si>
  <si>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</si>
  <si>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</si>
  <si>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</si>
  <si>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</si>
  <si>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</si>
  <si>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</si>
  <si>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</si>
  <si>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</si>
  <si>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</si>
  <si>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</si>
  <si>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</si>
  <si>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</si>
  <si>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</si>
  <si>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</si>
  <si>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</si>
  <si>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</si>
  <si>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</si>
  <si>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</si>
  <si>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</si>
  <si>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</si>
  <si>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</si>
  <si>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</si>
  <si>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</si>
  <si>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</si>
  <si>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</si>
  <si>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</si>
  <si>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</si>
  <si>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</si>
  <si>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</si>
  <si>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</si>
  <si>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</si>
  <si>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</si>
  <si>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</si>
  <si>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</si>
  <si>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</si>
  <si>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</si>
  <si>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</si>
  <si>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</si>
  <si>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</si>
  <si>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</si>
  <si>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</si>
  <si>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</si>
  <si>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</si>
  <si>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</si>
  <si>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</si>
  <si>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</si>
  <si>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</si>
  <si>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</si>
  <si>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</si>
  <si>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</si>
  <si>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</si>
  <si>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</si>
  <si>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</si>
  <si>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</si>
  <si>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</si>
  <si>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</si>
  <si>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</si>
  <si>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</si>
  <si>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</si>
  <si>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</si>
  <si>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</si>
  <si>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</si>
  <si>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</si>
  <si>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</si>
  <si>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</si>
  <si>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</si>
  <si>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</si>
  <si>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</si>
  <si>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</si>
  <si>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</si>
  <si>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</si>
  <si>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</si>
  <si>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</si>
  <si>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</si>
  <si>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</si>
  <si>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</si>
  <si>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</si>
  <si>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</si>
  <si>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</si>
  <si>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</si>
  <si>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</si>
  <si>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</si>
  <si>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</si>
  <si>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</si>
  <si>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</si>
  <si>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</si>
  <si>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</si>
  <si>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</si>
  <si>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</si>
  <si>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</si>
  <si>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</si>
  <si>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</si>
  <si>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</si>
  <si>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</si>
  <si>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</si>
  <si>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</si>
  <si>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</si>
  <si>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</si>
  <si>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</si>
  <si>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</si>
  <si>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</si>
  <si>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</si>
  <si>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</si>
  <si>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</si>
  <si>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</si>
  <si>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</si>
  <si>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</si>
  <si>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</si>
  <si>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</si>
  <si>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</si>
  <si>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</si>
  <si>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</si>
  <si>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</si>
  <si>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</si>
  <si>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</si>
  <si>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</si>
  <si>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</si>
  <si>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</si>
  <si>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</si>
  <si>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</si>
  <si>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</si>
  <si>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</si>
  <si>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</si>
  <si>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</si>
  <si>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</si>
  <si>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</si>
  <si>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</si>
  <si>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</si>
  <si>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</si>
  <si>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</si>
  <si>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</si>
  <si>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</si>
  <si>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</si>
  <si>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</si>
  <si>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</si>
  <si>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</si>
  <si>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</si>
  <si>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</si>
  <si>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</si>
  <si>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</si>
  <si>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</si>
  <si>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</si>
  <si>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</si>
  <si>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</si>
  <si>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</si>
  <si>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</si>
  <si>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</si>
  <si>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</si>
  <si>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</si>
  <si>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</si>
  <si>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</si>
  <si>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</si>
  <si>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</si>
  <si>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</si>
  <si>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</si>
  <si>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</si>
  <si>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</si>
  <si>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</si>
  <si>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</si>
  <si>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</si>
  <si>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</si>
  <si>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</si>
  <si>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</si>
  <si>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</si>
  <si>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</si>
  <si>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</si>
  <si>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</si>
  <si>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</si>
  <si>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</si>
  <si>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</si>
  <si>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</si>
  <si>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</si>
  <si>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</si>
  <si>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</si>
  <si>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</si>
  <si>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</si>
  <si>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</si>
  <si>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</si>
  <si>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</si>
  <si>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</si>
  <si>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</si>
  <si>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</si>
  <si>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</si>
  <si>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</si>
  <si>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</si>
  <si>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</si>
  <si>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</si>
  <si>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</si>
  <si>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</si>
  <si>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</si>
  <si>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</si>
  <si>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</si>
  <si>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</si>
  <si>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</si>
  <si>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</si>
  <si>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</si>
  <si>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</si>
  <si>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</si>
  <si>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</si>
  <si>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</si>
  <si>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</si>
  <si>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</si>
  <si>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</si>
  <si>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</si>
  <si>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</si>
  <si>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</si>
  <si>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</si>
  <si>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</si>
  <si>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</si>
  <si>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</si>
  <si>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</si>
  <si>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</si>
  <si>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</si>
  <si>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</si>
  <si>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</si>
  <si>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</si>
  <si>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</si>
  <si>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</si>
  <si>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</si>
  <si>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</si>
  <si>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</si>
  <si>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</si>
  <si>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</si>
  <si>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</si>
  <si>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</si>
  <si>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</si>
  <si>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</si>
  <si>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</si>
  <si>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</si>
  <si>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</si>
  <si>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</si>
  <si>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</si>
  <si>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</si>
  <si>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</si>
  <si>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</si>
  <si>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</si>
  <si>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</si>
  <si>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</si>
  <si>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</si>
  <si>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</si>
  <si>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</si>
  <si>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</si>
  <si>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</si>
  <si>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</si>
  <si>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</si>
  <si>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</si>
  <si>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</si>
  <si>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</si>
  <si>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</si>
  <si>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</si>
  <si>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</si>
  <si>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</si>
  <si>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</si>
  <si>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</si>
  <si>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</si>
  <si>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</si>
  <si>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</si>
  <si>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</si>
  <si>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</si>
  <si>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</si>
  <si>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</si>
  <si>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</si>
  <si>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</si>
  <si>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</si>
  <si>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</si>
  <si>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</si>
  <si>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</si>
  <si>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</si>
  <si>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</si>
  <si>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</si>
  <si>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</si>
  <si>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</si>
  <si>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</si>
  <si>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</si>
  <si>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</si>
  <si>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</si>
  <si>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</si>
  <si>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</si>
  <si>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</si>
  <si>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</si>
  <si>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</si>
  <si>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</si>
  <si>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</si>
  <si>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</si>
  <si>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</si>
  <si>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</si>
  <si>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</si>
  <si>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</si>
  <si>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</si>
  <si>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</si>
  <si>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</si>
  <si>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</si>
  <si>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</si>
  <si>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</si>
  <si>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</si>
  <si>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</si>
  <si>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</si>
  <si>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</si>
  <si>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</si>
  <si>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</si>
  <si>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</si>
  <si>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</si>
  <si>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</si>
  <si>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</si>
  <si>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</si>
  <si>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</si>
  <si>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</si>
  <si>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</si>
  <si>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</si>
  <si>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</si>
  <si>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</si>
  <si>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</si>
  <si>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</si>
  <si>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</si>
  <si>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</si>
  <si>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</si>
  <si>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</si>
  <si>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</si>
  <si>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</si>
  <si>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</si>
  <si>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</si>
  <si>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</si>
  <si>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</si>
  <si>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</si>
  <si>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</si>
  <si>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</si>
  <si>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</si>
  <si>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</si>
  <si>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</si>
  <si>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</si>
  <si>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</si>
  <si>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</si>
  <si>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</si>
  <si>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</si>
  <si>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</si>
  <si>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</si>
  <si>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</si>
  <si>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</si>
  <si>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</si>
  <si>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</si>
  <si>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</si>
  <si>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</si>
  <si>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</si>
  <si>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</si>
  <si>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</si>
  <si>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</si>
  <si>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</si>
  <si>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</si>
  <si>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</si>
  <si>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</si>
  <si>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</si>
  <si>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</si>
  <si>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</si>
  <si>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</si>
  <si>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</si>
  <si>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</si>
  <si>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</si>
  <si>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</si>
  <si>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</si>
  <si>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</si>
  <si>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</si>
  <si>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</si>
  <si>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</si>
  <si>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</si>
  <si>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</si>
  <si>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</si>
  <si>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</si>
  <si>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</si>
  <si>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</si>
  <si>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</si>
  <si>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</si>
  <si>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</si>
  <si>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</si>
  <si>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</si>
  <si>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</si>
  <si>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</si>
  <si>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</si>
  <si>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</si>
  <si>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</si>
  <si>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</si>
  <si>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</si>
  <si>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</si>
  <si>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</si>
  <si>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</si>
  <si>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</si>
  <si>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</si>
  <si>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</si>
  <si>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</si>
  <si>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</si>
  <si>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</si>
  <si>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</si>
  <si>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</si>
  <si>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</si>
  <si>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</si>
  <si>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</si>
  <si>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</si>
  <si>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</si>
  <si>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</si>
  <si>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</si>
  <si>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Northumberland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</si>
</sst>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Documents%20and%20Settings\p_brown\Local%20Settings\Temporary%20Internet%20Files\OLK6A0\Northumberland%20DOE-25%202011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2663-4C47-4292-93D1-76D882B49A7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407</v>
      </c>
      <c r="C2" s="21">
        <v>407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-374183.39</v>
      </c>
      <c r="G9" s="18"/>
      <c r="H9" s="18"/>
      <c r="I9" s="18"/>
      <c r="J9" s="67">
        <f>SUM(I431)</f>
        <v>308680.58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266059.66+18884.9</f>
        <v>284944.56</v>
      </c>
      <c r="G12" s="18">
        <v>0</v>
      </c>
      <c r="H12" s="18">
        <v>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117655.28</f>
        <v>117655.28</v>
      </c>
      <c r="G14" s="18">
        <v>18884.900000000001</v>
      </c>
      <c r="H14" s="18">
        <v>266059.65999999997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28416.449999999983</v>
      </c>
      <c r="G19" s="41">
        <f>SUM(G9:G18)</f>
        <v>18884.900000000001</v>
      </c>
      <c r="H19" s="41">
        <f>SUM(H9:H18)</f>
        <v>266059.65999999997</v>
      </c>
      <c r="I19" s="41">
        <f>SUM(I9:I18)</f>
        <v>0</v>
      </c>
      <c r="J19" s="41">
        <f>SUM(J9:J18)</f>
        <v>308680.58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18884.900000000001</v>
      </c>
      <c r="H23" s="18">
        <v>266059.65999999997</v>
      </c>
      <c r="I23" s="18"/>
      <c r="J23" s="67">
        <f>SUM(I440)</f>
        <v>111991.33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8284.74</v>
      </c>
      <c r="G29" s="18">
        <v>0</v>
      </c>
      <c r="H29" s="18">
        <v>0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20131.71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28416.449999999997</v>
      </c>
      <c r="G33" s="41">
        <f>SUM(G23:G32)</f>
        <v>18884.900000000001</v>
      </c>
      <c r="H33" s="41">
        <f>SUM(H23:H32)</f>
        <v>266059.65999999997</v>
      </c>
      <c r="I33" s="41">
        <f>SUM(I23:I32)</f>
        <v>0</v>
      </c>
      <c r="J33" s="41">
        <f>SUM(J23:J32)</f>
        <v>111991.33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196689.25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196689.25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28416.449999999997</v>
      </c>
      <c r="G44" s="41">
        <f>G43+G33</f>
        <v>18884.900000000001</v>
      </c>
      <c r="H44" s="41">
        <f>H43+H33</f>
        <v>266059.65999999997</v>
      </c>
      <c r="I44" s="41">
        <f>I43+I33</f>
        <v>0</v>
      </c>
      <c r="J44" s="41">
        <f>J43+J33</f>
        <v>308680.58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1533462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1533462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361049.32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193565.69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554615.01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373.69</v>
      </c>
      <c r="G88" s="18"/>
      <c r="H88" s="18"/>
      <c r="I88" s="18"/>
      <c r="J88" s="18">
        <v>520.16999999999996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58936.71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10000.08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18786.509999999998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29160.28</v>
      </c>
      <c r="G103" s="41">
        <f>SUM(G88:G102)</f>
        <v>58936.71</v>
      </c>
      <c r="H103" s="41">
        <f>SUM(H88:H102)</f>
        <v>0</v>
      </c>
      <c r="I103" s="41">
        <f>SUM(I88:I102)</f>
        <v>0</v>
      </c>
      <c r="J103" s="41">
        <f>SUM(J88:J102)</f>
        <v>520.16999999999996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2117237.29</v>
      </c>
      <c r="G104" s="41">
        <f>G52+G103</f>
        <v>58936.71</v>
      </c>
      <c r="H104" s="41">
        <f>H52+H71+H86+H103</f>
        <v>0</v>
      </c>
      <c r="I104" s="41">
        <f>I52+I103</f>
        <v>0</v>
      </c>
      <c r="J104" s="41">
        <f>J52+J103</f>
        <v>520.16999999999996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2572751.0499999998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254723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93312.95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2920787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18287.28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33268.44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1970.16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2850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54405.72</v>
      </c>
      <c r="G128" s="41">
        <f>SUM(G115:G127)</f>
        <v>1970.16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2975192.72</v>
      </c>
      <c r="G132" s="41">
        <f>G113+SUM(G128:G129)</f>
        <v>1970.16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290919.67999999999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124450.07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92774.45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100817.68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25456.76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126274.43999999999</v>
      </c>
      <c r="G154" s="41">
        <f>SUM(G142:G153)</f>
        <v>92774.45</v>
      </c>
      <c r="H154" s="41">
        <f>SUM(H142:H153)</f>
        <v>415369.75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5661.11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131935.54999999999</v>
      </c>
      <c r="G161" s="41">
        <f>G139+G154+SUM(G155:G160)</f>
        <v>92774.45</v>
      </c>
      <c r="H161" s="41">
        <f>H139+H154+SUM(H155:H160)</f>
        <v>415369.75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129446.13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6707.99</v>
      </c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136154.12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43477.39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43477.39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111991.33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111991.33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248145.45</v>
      </c>
      <c r="G184" s="41">
        <f>G175+SUM(G180:G183)</f>
        <v>43477.39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5472511.0099999998</v>
      </c>
      <c r="G185" s="47">
        <f>G104+G132+G161+G184</f>
        <v>197158.71000000002</v>
      </c>
      <c r="H185" s="47">
        <f>H104+H132+H161+H184</f>
        <v>415369.75</v>
      </c>
      <c r="I185" s="47">
        <f>I104+I132+I161+I184</f>
        <v>0</v>
      </c>
      <c r="J185" s="47">
        <f>J104+J132+J184</f>
        <v>520.16999999999996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981881.8</v>
      </c>
      <c r="G189" s="18">
        <v>406179.82</v>
      </c>
      <c r="H189" s="18">
        <v>16507.79</v>
      </c>
      <c r="I189" s="18">
        <v>41709.71</v>
      </c>
      <c r="J189" s="18">
        <v>10753.52</v>
      </c>
      <c r="K189" s="18">
        <v>288</v>
      </c>
      <c r="L189" s="19">
        <f>SUM(F189:K189)</f>
        <v>1457320.6400000001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202537.5</v>
      </c>
      <c r="G190" s="18">
        <v>62678.95</v>
      </c>
      <c r="H190" s="18">
        <v>48951.57</v>
      </c>
      <c r="I190" s="18">
        <v>528.09</v>
      </c>
      <c r="J190" s="18">
        <v>0</v>
      </c>
      <c r="K190" s="18">
        <v>0</v>
      </c>
      <c r="L190" s="19">
        <f>SUM(F190:K190)</f>
        <v>314696.11000000004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35127.65</v>
      </c>
      <c r="G192" s="18">
        <v>4081.58</v>
      </c>
      <c r="H192" s="18">
        <v>6360</v>
      </c>
      <c r="I192" s="18">
        <v>2234.67</v>
      </c>
      <c r="J192" s="18">
        <v>50</v>
      </c>
      <c r="K192" s="18">
        <v>765</v>
      </c>
      <c r="L192" s="19">
        <f>SUM(F192:K192)</f>
        <v>48618.9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173215.13</v>
      </c>
      <c r="G194" s="18">
        <v>49711.19</v>
      </c>
      <c r="H194" s="18">
        <v>2766.9</v>
      </c>
      <c r="I194" s="18">
        <v>1576.27</v>
      </c>
      <c r="J194" s="18">
        <v>88.5</v>
      </c>
      <c r="K194" s="18">
        <v>135</v>
      </c>
      <c r="L194" s="19">
        <f t="shared" ref="L194:L200" si="0">SUM(F194:K194)</f>
        <v>227492.99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41800.97</v>
      </c>
      <c r="G195" s="18">
        <v>18124.36</v>
      </c>
      <c r="H195" s="18">
        <v>9617.68</v>
      </c>
      <c r="I195" s="18">
        <v>3787.21</v>
      </c>
      <c r="J195" s="18">
        <v>0</v>
      </c>
      <c r="K195" s="18">
        <v>0</v>
      </c>
      <c r="L195" s="19">
        <f t="shared" si="0"/>
        <v>73330.220000000016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3233</v>
      </c>
      <c r="G196" s="18">
        <v>247</v>
      </c>
      <c r="H196" s="18">
        <v>181444</v>
      </c>
      <c r="I196" s="18">
        <v>0</v>
      </c>
      <c r="J196" s="18">
        <v>0</v>
      </c>
      <c r="K196" s="18">
        <v>2999</v>
      </c>
      <c r="L196" s="19">
        <f t="shared" si="0"/>
        <v>187923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214731.79</v>
      </c>
      <c r="G197" s="18">
        <v>117583.62</v>
      </c>
      <c r="H197" s="18">
        <v>7159.94</v>
      </c>
      <c r="I197" s="18">
        <v>653.19000000000005</v>
      </c>
      <c r="J197" s="18">
        <v>0</v>
      </c>
      <c r="K197" s="18">
        <v>2311.5</v>
      </c>
      <c r="L197" s="19">
        <f t="shared" si="0"/>
        <v>342440.04000000004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105622.59</v>
      </c>
      <c r="G199" s="18">
        <v>65646.789999999994</v>
      </c>
      <c r="H199" s="18">
        <v>58702.12</v>
      </c>
      <c r="I199" s="18">
        <v>101611.72</v>
      </c>
      <c r="J199" s="18">
        <v>2968.65</v>
      </c>
      <c r="K199" s="18">
        <v>0</v>
      </c>
      <c r="L199" s="19">
        <f t="shared" si="0"/>
        <v>334551.87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5288.43+6376.67+6452.91+1399.6+50631.68+3890.41+6203.42</f>
        <v>80243.12000000001</v>
      </c>
      <c r="I200" s="18"/>
      <c r="J200" s="18"/>
      <c r="K200" s="18"/>
      <c r="L200" s="19">
        <f t="shared" si="0"/>
        <v>80243.12000000001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1758150.4300000002</v>
      </c>
      <c r="G203" s="41">
        <f t="shared" si="1"/>
        <v>724253.31</v>
      </c>
      <c r="H203" s="41">
        <f t="shared" si="1"/>
        <v>411753.12</v>
      </c>
      <c r="I203" s="41">
        <f t="shared" si="1"/>
        <v>152100.85999999999</v>
      </c>
      <c r="J203" s="41">
        <f t="shared" si="1"/>
        <v>13860.67</v>
      </c>
      <c r="K203" s="41">
        <f t="shared" si="1"/>
        <v>6498.5</v>
      </c>
      <c r="L203" s="41">
        <f t="shared" si="1"/>
        <v>3066616.8900000006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609964.42000000004</v>
      </c>
      <c r="G225" s="18">
        <v>250232.88</v>
      </c>
      <c r="H225" s="18">
        <v>40225.449999999997</v>
      </c>
      <c r="I225" s="18">
        <v>33911.9</v>
      </c>
      <c r="J225" s="18">
        <f>10704.9-1499</f>
        <v>9205.9</v>
      </c>
      <c r="K225" s="18">
        <v>993</v>
      </c>
      <c r="L225" s="19">
        <f>SUM(F225:K225)</f>
        <v>944533.55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77810.17</v>
      </c>
      <c r="G226" s="18">
        <v>18916.810000000001</v>
      </c>
      <c r="H226" s="18">
        <v>353955.43</v>
      </c>
      <c r="I226" s="18">
        <v>804.95</v>
      </c>
      <c r="J226" s="18">
        <v>0</v>
      </c>
      <c r="K226" s="18">
        <v>0</v>
      </c>
      <c r="L226" s="19">
        <f>SUM(F226:K226)</f>
        <v>451487.36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29733.29</v>
      </c>
      <c r="I227" s="18"/>
      <c r="J227" s="18"/>
      <c r="K227" s="18"/>
      <c r="L227" s="19">
        <f>SUM(F227:K227)</f>
        <v>29733.29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31748.7</v>
      </c>
      <c r="G228" s="18">
        <v>4169.4399999999996</v>
      </c>
      <c r="H228" s="18">
        <v>11139</v>
      </c>
      <c r="I228" s="18">
        <v>7277.18</v>
      </c>
      <c r="J228" s="18">
        <v>0</v>
      </c>
      <c r="K228" s="18">
        <v>2970</v>
      </c>
      <c r="L228" s="19">
        <f>SUM(F228:K228)</f>
        <v>57304.32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70511.149999999994</v>
      </c>
      <c r="G230" s="18">
        <v>28316.21</v>
      </c>
      <c r="H230" s="18">
        <v>1892.71</v>
      </c>
      <c r="I230" s="18">
        <v>1041.8499999999999</v>
      </c>
      <c r="J230" s="18">
        <v>268</v>
      </c>
      <c r="K230" s="18">
        <v>120</v>
      </c>
      <c r="L230" s="19">
        <f t="shared" ref="L230:L236" si="4">SUM(F230:K230)</f>
        <v>102149.92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15634.36</v>
      </c>
      <c r="G231" s="18">
        <v>10286.4</v>
      </c>
      <c r="H231" s="18">
        <v>3596.48</v>
      </c>
      <c r="I231" s="18">
        <v>3692.63</v>
      </c>
      <c r="J231" s="18">
        <v>0</v>
      </c>
      <c r="K231" s="18">
        <v>0</v>
      </c>
      <c r="L231" s="19">
        <f t="shared" si="4"/>
        <v>33209.870000000003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1982</v>
      </c>
      <c r="G232" s="18">
        <v>152.04</v>
      </c>
      <c r="H232" s="18">
        <v>111206.92</v>
      </c>
      <c r="I232" s="18">
        <v>0</v>
      </c>
      <c r="J232" s="18">
        <v>0</v>
      </c>
      <c r="K232" s="18">
        <v>1838.75</v>
      </c>
      <c r="L232" s="19">
        <f t="shared" si="4"/>
        <v>115179.70999999999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126513.44</v>
      </c>
      <c r="G233" s="18">
        <v>57131.12</v>
      </c>
      <c r="H233" s="18">
        <v>2387.37</v>
      </c>
      <c r="I233" s="18">
        <v>269.45</v>
      </c>
      <c r="J233" s="18">
        <v>0</v>
      </c>
      <c r="K233" s="18">
        <v>714</v>
      </c>
      <c r="L233" s="19">
        <f t="shared" si="4"/>
        <v>187015.38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55000.93</v>
      </c>
      <c r="G235" s="18">
        <v>35615.82</v>
      </c>
      <c r="H235" s="18">
        <v>42415.29</v>
      </c>
      <c r="I235" s="18">
        <v>63413.15</v>
      </c>
      <c r="J235" s="18">
        <v>3999.81</v>
      </c>
      <c r="K235" s="18">
        <v>0</v>
      </c>
      <c r="L235" s="19">
        <f t="shared" si="4"/>
        <v>200445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31032.32+12724.85+2097.97+6220.5+42032</f>
        <v>94107.64</v>
      </c>
      <c r="I236" s="18"/>
      <c r="J236" s="18"/>
      <c r="K236" s="18"/>
      <c r="L236" s="19">
        <f t="shared" si="4"/>
        <v>94107.64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989165.17</v>
      </c>
      <c r="G239" s="41">
        <f t="shared" si="5"/>
        <v>404820.72000000003</v>
      </c>
      <c r="H239" s="41">
        <f t="shared" si="5"/>
        <v>690659.58000000007</v>
      </c>
      <c r="I239" s="41">
        <f t="shared" si="5"/>
        <v>110411.10999999999</v>
      </c>
      <c r="J239" s="41">
        <f t="shared" si="5"/>
        <v>13473.71</v>
      </c>
      <c r="K239" s="41">
        <f t="shared" si="5"/>
        <v>6635.75</v>
      </c>
      <c r="L239" s="41">
        <f t="shared" si="5"/>
        <v>2215166.0400000005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161502.22</v>
      </c>
      <c r="I247" s="18"/>
      <c r="J247" s="18"/>
      <c r="K247" s="18"/>
      <c r="L247" s="19">
        <f t="shared" si="6"/>
        <v>161502.22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161502.22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161502.22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2747315.6</v>
      </c>
      <c r="G249" s="41">
        <f t="shared" si="8"/>
        <v>1129074.03</v>
      </c>
      <c r="H249" s="41">
        <f t="shared" si="8"/>
        <v>1263914.9200000002</v>
      </c>
      <c r="I249" s="41">
        <f t="shared" si="8"/>
        <v>262511.96999999997</v>
      </c>
      <c r="J249" s="41">
        <f t="shared" si="8"/>
        <v>27334.379999999997</v>
      </c>
      <c r="K249" s="41">
        <f t="shared" si="8"/>
        <v>13134.25</v>
      </c>
      <c r="L249" s="41">
        <f t="shared" si="8"/>
        <v>5443285.1500000013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28571.43</v>
      </c>
      <c r="L252" s="19">
        <f>SUM(F252:K252)</f>
        <v>28571.43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6707.56</v>
      </c>
      <c r="L253" s="19">
        <f>SUM(F253:K253)</f>
        <v>6707.56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43477.39</v>
      </c>
      <c r="L255" s="19">
        <f>SUM(F255:K255)</f>
        <v>43477.39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78756.38</v>
      </c>
      <c r="L262" s="41">
        <f t="shared" si="9"/>
        <v>78756.38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2747315.6</v>
      </c>
      <c r="G263" s="42">
        <f t="shared" si="11"/>
        <v>1129074.03</v>
      </c>
      <c r="H263" s="42">
        <f t="shared" si="11"/>
        <v>1263914.9200000002</v>
      </c>
      <c r="I263" s="42">
        <f t="shared" si="11"/>
        <v>262511.96999999997</v>
      </c>
      <c r="J263" s="42">
        <f t="shared" si="11"/>
        <v>27334.379999999997</v>
      </c>
      <c r="K263" s="42">
        <f t="shared" si="11"/>
        <v>91890.63</v>
      </c>
      <c r="L263" s="42">
        <f t="shared" si="11"/>
        <v>5522041.5300000012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227169.42</v>
      </c>
      <c r="G268" s="18">
        <v>69401.119999999995</v>
      </c>
      <c r="H268" s="18">
        <v>5825.43</v>
      </c>
      <c r="I268" s="18">
        <v>1057.03</v>
      </c>
      <c r="J268" s="18">
        <v>6805.11</v>
      </c>
      <c r="K268" s="18">
        <v>936.13</v>
      </c>
      <c r="L268" s="19">
        <f>SUM(F268:K268)</f>
        <v>311194.24000000005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48113.19</v>
      </c>
      <c r="I269" s="18">
        <v>0</v>
      </c>
      <c r="J269" s="18">
        <v>0</v>
      </c>
      <c r="K269" s="18">
        <v>0</v>
      </c>
      <c r="L269" s="19">
        <f>SUM(F269:K269)</f>
        <v>48113.19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227169.42</v>
      </c>
      <c r="G282" s="42">
        <f t="shared" si="13"/>
        <v>69401.119999999995</v>
      </c>
      <c r="H282" s="42">
        <f t="shared" si="13"/>
        <v>53938.62</v>
      </c>
      <c r="I282" s="42">
        <f t="shared" si="13"/>
        <v>1057.03</v>
      </c>
      <c r="J282" s="42">
        <f t="shared" si="13"/>
        <v>6805.11</v>
      </c>
      <c r="K282" s="42">
        <f t="shared" si="13"/>
        <v>936.13</v>
      </c>
      <c r="L282" s="41">
        <f t="shared" si="13"/>
        <v>359307.43000000005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15861</v>
      </c>
      <c r="G306" s="18">
        <v>2866.84</v>
      </c>
      <c r="H306" s="18">
        <v>23664.86</v>
      </c>
      <c r="I306" s="18">
        <v>6297.45</v>
      </c>
      <c r="J306" s="18">
        <v>648</v>
      </c>
      <c r="K306" s="18">
        <v>0</v>
      </c>
      <c r="L306" s="19">
        <f>SUM(F306:K306)</f>
        <v>49338.149999999994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1740</v>
      </c>
      <c r="I307" s="18">
        <v>0</v>
      </c>
      <c r="J307" s="18">
        <v>0</v>
      </c>
      <c r="K307" s="18">
        <v>0</v>
      </c>
      <c r="L307" s="19">
        <f>SUM(F307:K307)</f>
        <v>1740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4327.5</v>
      </c>
      <c r="G309" s="18">
        <v>656.67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4984.17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20188.5</v>
      </c>
      <c r="G320" s="42">
        <f t="shared" si="17"/>
        <v>3523.51</v>
      </c>
      <c r="H320" s="42">
        <f t="shared" si="17"/>
        <v>25404.86</v>
      </c>
      <c r="I320" s="42">
        <f t="shared" si="17"/>
        <v>6297.45</v>
      </c>
      <c r="J320" s="42">
        <f t="shared" si="17"/>
        <v>648</v>
      </c>
      <c r="K320" s="42">
        <f t="shared" si="17"/>
        <v>0</v>
      </c>
      <c r="L320" s="41">
        <f t="shared" si="17"/>
        <v>56062.319999999992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247357.92</v>
      </c>
      <c r="G330" s="41">
        <f t="shared" si="20"/>
        <v>72924.62999999999</v>
      </c>
      <c r="H330" s="41">
        <f t="shared" si="20"/>
        <v>79343.48000000001</v>
      </c>
      <c r="I330" s="41">
        <f t="shared" si="20"/>
        <v>7354.48</v>
      </c>
      <c r="J330" s="41">
        <f t="shared" si="20"/>
        <v>7453.11</v>
      </c>
      <c r="K330" s="41">
        <f t="shared" si="20"/>
        <v>936.13</v>
      </c>
      <c r="L330" s="41">
        <f t="shared" si="20"/>
        <v>415369.75000000006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247357.92</v>
      </c>
      <c r="G344" s="41">
        <f>G330</f>
        <v>72924.62999999999</v>
      </c>
      <c r="H344" s="41">
        <f>H330</f>
        <v>79343.48000000001</v>
      </c>
      <c r="I344" s="41">
        <f>I330</f>
        <v>7354.48</v>
      </c>
      <c r="J344" s="41">
        <f>J330</f>
        <v>7453.11</v>
      </c>
      <c r="K344" s="47">
        <f>K330+K343</f>
        <v>936.13</v>
      </c>
      <c r="L344" s="41">
        <f>L330+L343</f>
        <v>415369.75000000006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50540</v>
      </c>
      <c r="G350" s="18">
        <v>15456</v>
      </c>
      <c r="H350" s="18">
        <v>5412</v>
      </c>
      <c r="I350" s="18">
        <v>47570</v>
      </c>
      <c r="J350" s="18">
        <v>3059</v>
      </c>
      <c r="K350" s="18">
        <v>200</v>
      </c>
      <c r="L350" s="13">
        <f>SUM(F350:K350)</f>
        <v>122237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30976.75</v>
      </c>
      <c r="G352" s="18">
        <v>9473.24</v>
      </c>
      <c r="H352" s="18">
        <v>3317.14</v>
      </c>
      <c r="I352" s="18">
        <v>29156.29</v>
      </c>
      <c r="J352" s="18">
        <v>1875.54</v>
      </c>
      <c r="K352" s="18">
        <v>122.75</v>
      </c>
      <c r="L352" s="19">
        <f>SUM(F352:K352)</f>
        <v>74921.709999999992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81516.75</v>
      </c>
      <c r="G354" s="47">
        <f t="shared" si="22"/>
        <v>24929.239999999998</v>
      </c>
      <c r="H354" s="47">
        <f t="shared" si="22"/>
        <v>8729.14</v>
      </c>
      <c r="I354" s="47">
        <f t="shared" si="22"/>
        <v>76726.290000000008</v>
      </c>
      <c r="J354" s="47">
        <f t="shared" si="22"/>
        <v>4934.54</v>
      </c>
      <c r="K354" s="47">
        <f t="shared" si="22"/>
        <v>322.75</v>
      </c>
      <c r="L354" s="47">
        <f t="shared" si="22"/>
        <v>197158.71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47074</v>
      </c>
      <c r="G359" s="18"/>
      <c r="H359" s="18">
        <v>28852.5</v>
      </c>
      <c r="I359" s="56">
        <f>SUM(F359:H359)</f>
        <v>75926.5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496</v>
      </c>
      <c r="G360" s="63"/>
      <c r="H360" s="63">
        <v>303.79000000000002</v>
      </c>
      <c r="I360" s="56">
        <f>SUM(F360:H360)</f>
        <v>799.79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47570</v>
      </c>
      <c r="G361" s="47">
        <f>SUM(G359:G360)</f>
        <v>0</v>
      </c>
      <c r="H361" s="47">
        <f>SUM(H359:H360)</f>
        <v>29156.29</v>
      </c>
      <c r="I361" s="47">
        <f>SUM(I359:I360)</f>
        <v>76726.289999999994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295.20999999999998</v>
      </c>
      <c r="I388" s="18"/>
      <c r="J388" s="24" t="s">
        <v>312</v>
      </c>
      <c r="K388" s="24" t="s">
        <v>312</v>
      </c>
      <c r="L388" s="56">
        <f t="shared" si="26"/>
        <v>295.20999999999998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224.96</v>
      </c>
      <c r="I389" s="18"/>
      <c r="J389" s="24" t="s">
        <v>312</v>
      </c>
      <c r="K389" s="24" t="s">
        <v>312</v>
      </c>
      <c r="L389" s="56">
        <f t="shared" si="26"/>
        <v>224.96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520.16999999999996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520.16999999999996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520.16999999999996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520.16999999999996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111991.33</v>
      </c>
      <c r="L415" s="56">
        <f t="shared" si="29"/>
        <v>111991.33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111991.33</v>
      </c>
      <c r="L419" s="47">
        <f t="shared" si="30"/>
        <v>111991.33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111991.33</v>
      </c>
      <c r="L426" s="47">
        <f t="shared" si="32"/>
        <v>111991.33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308680.58</v>
      </c>
      <c r="H431" s="18"/>
      <c r="I431" s="56">
        <f t="shared" ref="I431:I437" si="33">SUM(F431:H431)</f>
        <v>308680.58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308680.58</v>
      </c>
      <c r="H438" s="13">
        <f>SUM(H431:H437)</f>
        <v>0</v>
      </c>
      <c r="I438" s="13">
        <f>SUM(I431:I437)</f>
        <v>308680.58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111991.33</v>
      </c>
      <c r="H440" s="18"/>
      <c r="I440" s="56">
        <f>SUM(F440:H440)</f>
        <v>111991.33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111991.33</v>
      </c>
      <c r="H444" s="72">
        <f>SUM(H440:H443)</f>
        <v>0</v>
      </c>
      <c r="I444" s="72">
        <f>SUM(I440:I443)</f>
        <v>111991.33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196689.25</v>
      </c>
      <c r="H447" s="18"/>
      <c r="I447" s="56">
        <f>SUM(F447:H447)</f>
        <v>196689.25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196689.25</v>
      </c>
      <c r="H450" s="83">
        <f>SUM(H446:H449)</f>
        <v>0</v>
      </c>
      <c r="I450" s="83">
        <f>SUM(I446:I449)</f>
        <v>196689.25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308680.58</v>
      </c>
      <c r="H451" s="42">
        <f>H444+H450</f>
        <v>0</v>
      </c>
      <c r="I451" s="42">
        <f>I444+I450</f>
        <v>308680.58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49530.52</v>
      </c>
      <c r="G455" s="18"/>
      <c r="H455" s="18"/>
      <c r="I455" s="18"/>
      <c r="J455" s="18">
        <v>308160.40999999997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5472511.0099999998</v>
      </c>
      <c r="G458" s="18">
        <v>197158.71</v>
      </c>
      <c r="H458" s="18">
        <v>415369.75</v>
      </c>
      <c r="I458" s="18"/>
      <c r="J458" s="18">
        <v>520.16999999999996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5472511.0099999998</v>
      </c>
      <c r="G460" s="53">
        <f>SUM(G458:G459)</f>
        <v>197158.71</v>
      </c>
      <c r="H460" s="53">
        <f>SUM(H458:H459)</f>
        <v>415369.75</v>
      </c>
      <c r="I460" s="53">
        <f>SUM(I458:I459)</f>
        <v>0</v>
      </c>
      <c r="J460" s="53">
        <f>SUM(J458:J459)</f>
        <v>520.16999999999996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5522041.5300000003</v>
      </c>
      <c r="G462" s="18">
        <v>197158.71</v>
      </c>
      <c r="H462" s="18">
        <v>415369.75</v>
      </c>
      <c r="I462" s="18"/>
      <c r="J462" s="18">
        <v>111991.33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5522041.5300000003</v>
      </c>
      <c r="G464" s="53">
        <f>SUM(G462:G463)</f>
        <v>197158.71</v>
      </c>
      <c r="H464" s="53">
        <f>SUM(H462:H463)</f>
        <v>415369.75</v>
      </c>
      <c r="I464" s="53">
        <f>SUM(I462:I463)</f>
        <v>0</v>
      </c>
      <c r="J464" s="53">
        <f>SUM(J462:J463)</f>
        <v>111991.33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196689.24999999994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14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400000</v>
      </c>
      <c r="G483" s="18">
        <v>2225501.31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0</v>
      </c>
      <c r="G484" s="18">
        <v>5.39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142857.13</v>
      </c>
      <c r="G485" s="18">
        <v>225501.31</v>
      </c>
      <c r="H485" s="18"/>
      <c r="I485" s="18"/>
      <c r="J485" s="18"/>
      <c r="K485" s="53">
        <f>SUM(F485:J485)</f>
        <v>368358.44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28571.43</v>
      </c>
      <c r="G487" s="18">
        <v>6707.56</v>
      </c>
      <c r="H487" s="18"/>
      <c r="I487" s="18"/>
      <c r="J487" s="18"/>
      <c r="K487" s="53">
        <f t="shared" si="34"/>
        <v>35278.99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114285.7</v>
      </c>
      <c r="G488" s="205">
        <v>175000</v>
      </c>
      <c r="H488" s="205"/>
      <c r="I488" s="205"/>
      <c r="J488" s="205"/>
      <c r="K488" s="206">
        <f t="shared" si="34"/>
        <v>289285.7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43793.75</v>
      </c>
      <c r="H489" s="18"/>
      <c r="I489" s="18"/>
      <c r="J489" s="18"/>
      <c r="K489" s="53">
        <f t="shared" si="34"/>
        <v>43793.75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114285.7</v>
      </c>
      <c r="G490" s="42">
        <f>SUM(G488:G489)</f>
        <v>218793.75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333079.45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28571.43</v>
      </c>
      <c r="G491" s="205">
        <v>20000</v>
      </c>
      <c r="H491" s="205"/>
      <c r="I491" s="205"/>
      <c r="J491" s="205"/>
      <c r="K491" s="206">
        <f t="shared" si="34"/>
        <v>48571.43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8893.5</v>
      </c>
      <c r="H492" s="18"/>
      <c r="I492" s="18"/>
      <c r="J492" s="18"/>
      <c r="K492" s="53">
        <f t="shared" si="34"/>
        <v>8893.5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28571.43</v>
      </c>
      <c r="G493" s="42">
        <f>SUM(G491:G492)</f>
        <v>28893.5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57464.93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187765.22</v>
      </c>
      <c r="G511" s="18">
        <v>61112.39</v>
      </c>
      <c r="H511" s="18">
        <v>97064.76</v>
      </c>
      <c r="I511" s="18">
        <v>528.09</v>
      </c>
      <c r="J511" s="18"/>
      <c r="K511" s="18"/>
      <c r="L511" s="88">
        <f>SUM(F511:K511)</f>
        <v>346470.46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77810.17</v>
      </c>
      <c r="G513" s="18">
        <v>18916.810000000001</v>
      </c>
      <c r="H513" s="18">
        <v>311435.03000000003</v>
      </c>
      <c r="I513" s="18">
        <v>804.95</v>
      </c>
      <c r="J513" s="18"/>
      <c r="K513" s="18"/>
      <c r="L513" s="88">
        <f>SUM(F513:K513)</f>
        <v>408966.96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265575.39</v>
      </c>
      <c r="G514" s="108">
        <f t="shared" ref="G514:L514" si="35">SUM(G511:G513)</f>
        <v>80029.2</v>
      </c>
      <c r="H514" s="108">
        <f t="shared" si="35"/>
        <v>408499.79000000004</v>
      </c>
      <c r="I514" s="108">
        <f t="shared" si="35"/>
        <v>1333.04</v>
      </c>
      <c r="J514" s="108">
        <f t="shared" si="35"/>
        <v>0</v>
      </c>
      <c r="K514" s="108">
        <f t="shared" si="35"/>
        <v>0</v>
      </c>
      <c r="L514" s="89">
        <f t="shared" si="35"/>
        <v>755437.42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54516.160000000003</v>
      </c>
      <c r="G516" s="18">
        <v>12834.67</v>
      </c>
      <c r="H516" s="18">
        <v>0</v>
      </c>
      <c r="I516" s="18">
        <v>-137.76</v>
      </c>
      <c r="J516" s="18">
        <v>0</v>
      </c>
      <c r="K516" s="18">
        <v>0</v>
      </c>
      <c r="L516" s="88">
        <f>SUM(F516:K516)</f>
        <v>67213.070000000007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3456.12</v>
      </c>
      <c r="G518" s="18">
        <v>1120.81</v>
      </c>
      <c r="H518" s="18"/>
      <c r="I518" s="18">
        <v>0</v>
      </c>
      <c r="J518" s="18">
        <v>0</v>
      </c>
      <c r="K518" s="18">
        <v>0</v>
      </c>
      <c r="L518" s="88">
        <f>SUM(F518:K518)</f>
        <v>4576.93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57972.280000000006</v>
      </c>
      <c r="G519" s="89">
        <f t="shared" ref="G519:L519" si="36">SUM(G516:G518)</f>
        <v>13955.48</v>
      </c>
      <c r="H519" s="89">
        <f t="shared" si="36"/>
        <v>0</v>
      </c>
      <c r="I519" s="89">
        <f t="shared" si="36"/>
        <v>-137.76</v>
      </c>
      <c r="J519" s="89">
        <f t="shared" si="36"/>
        <v>0</v>
      </c>
      <c r="K519" s="89">
        <f t="shared" si="36"/>
        <v>0</v>
      </c>
      <c r="L519" s="89">
        <f t="shared" si="36"/>
        <v>71790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43031.81</v>
      </c>
      <c r="G521" s="18">
        <v>24478.99</v>
      </c>
      <c r="H521" s="18">
        <v>2105.1799999999998</v>
      </c>
      <c r="I521" s="18">
        <v>367.82</v>
      </c>
      <c r="J521" s="18">
        <v>0</v>
      </c>
      <c r="K521" s="18">
        <v>948.5</v>
      </c>
      <c r="L521" s="88">
        <f>SUM(F521:K521)</f>
        <v>70932.3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26374.47</v>
      </c>
      <c r="G523" s="18">
        <v>14965.24</v>
      </c>
      <c r="H523" s="18">
        <v>731.74</v>
      </c>
      <c r="I523" s="18">
        <v>0</v>
      </c>
      <c r="J523" s="18">
        <v>0</v>
      </c>
      <c r="K523" s="18">
        <v>214</v>
      </c>
      <c r="L523" s="88">
        <f>SUM(F523:K523)</f>
        <v>42285.45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69406.28</v>
      </c>
      <c r="G524" s="89">
        <f t="shared" ref="G524:L524" si="37">SUM(G521:G523)</f>
        <v>39444.230000000003</v>
      </c>
      <c r="H524" s="89">
        <f t="shared" si="37"/>
        <v>2836.92</v>
      </c>
      <c r="I524" s="89">
        <f t="shared" si="37"/>
        <v>367.82</v>
      </c>
      <c r="J524" s="89">
        <f t="shared" si="37"/>
        <v>0</v>
      </c>
      <c r="K524" s="89">
        <f t="shared" si="37"/>
        <v>1162.5</v>
      </c>
      <c r="L524" s="89">
        <f t="shared" si="37"/>
        <v>113217.75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10093.83</v>
      </c>
      <c r="I531" s="18"/>
      <c r="J531" s="18"/>
      <c r="K531" s="18"/>
      <c r="L531" s="88">
        <f>SUM(F531:K531)</f>
        <v>10093.83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6220.5</v>
      </c>
      <c r="I533" s="18"/>
      <c r="J533" s="18"/>
      <c r="K533" s="18"/>
      <c r="L533" s="88">
        <f>SUM(F533:K533)</f>
        <v>6220.5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16314.33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16314.33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392953.95000000007</v>
      </c>
      <c r="G535" s="89">
        <f t="shared" ref="G535:L535" si="40">G514+G519+G524+G529+G534</f>
        <v>133428.91</v>
      </c>
      <c r="H535" s="89">
        <f t="shared" si="40"/>
        <v>427651.04000000004</v>
      </c>
      <c r="I535" s="89">
        <f t="shared" si="40"/>
        <v>1563.1</v>
      </c>
      <c r="J535" s="89">
        <f t="shared" si="40"/>
        <v>0</v>
      </c>
      <c r="K535" s="89">
        <f t="shared" si="40"/>
        <v>1162.5</v>
      </c>
      <c r="L535" s="89">
        <f t="shared" si="40"/>
        <v>956759.5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346470.46</v>
      </c>
      <c r="G539" s="87">
        <f>L516</f>
        <v>67213.070000000007</v>
      </c>
      <c r="H539" s="87">
        <f>L521</f>
        <v>70932.3</v>
      </c>
      <c r="I539" s="87">
        <f>L526</f>
        <v>0</v>
      </c>
      <c r="J539" s="87">
        <f>L531</f>
        <v>10093.83</v>
      </c>
      <c r="K539" s="87">
        <f>SUM(F539:J539)</f>
        <v>494709.66000000003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408966.96</v>
      </c>
      <c r="G541" s="87">
        <f>L518</f>
        <v>4576.93</v>
      </c>
      <c r="H541" s="87">
        <f>L523</f>
        <v>42285.45</v>
      </c>
      <c r="I541" s="87">
        <f>L528</f>
        <v>0</v>
      </c>
      <c r="J541" s="87">
        <f>L533</f>
        <v>6220.5</v>
      </c>
      <c r="K541" s="87">
        <f>SUM(F541:J541)</f>
        <v>462049.84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755437.42</v>
      </c>
      <c r="G542" s="89">
        <f t="shared" si="41"/>
        <v>71790</v>
      </c>
      <c r="H542" s="89">
        <f t="shared" si="41"/>
        <v>113217.75</v>
      </c>
      <c r="I542" s="89">
        <f t="shared" si="41"/>
        <v>0</v>
      </c>
      <c r="J542" s="89">
        <f t="shared" si="41"/>
        <v>16314.33</v>
      </c>
      <c r="K542" s="89">
        <f t="shared" si="41"/>
        <v>956759.5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4389.29</v>
      </c>
      <c r="G569" s="18"/>
      <c r="H569" s="18">
        <v>309695.03000000003</v>
      </c>
      <c r="I569" s="87">
        <f t="shared" si="46"/>
        <v>314084.32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28232.04</v>
      </c>
      <c r="I574" s="87">
        <f t="shared" si="46"/>
        <v>28232.04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50631.68</v>
      </c>
      <c r="I581" s="18"/>
      <c r="J581" s="18">
        <v>31032.32</v>
      </c>
      <c r="K581" s="104">
        <f t="shared" ref="K581:K587" si="47">SUM(H581:J581)</f>
        <v>81664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10093.83</v>
      </c>
      <c r="I582" s="18"/>
      <c r="J582" s="18">
        <v>6220.5</v>
      </c>
      <c r="K582" s="104">
        <f t="shared" si="47"/>
        <v>16314.33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45">
        <v>0</v>
      </c>
      <c r="I583" s="18"/>
      <c r="J583" s="145">
        <v>42032</v>
      </c>
      <c r="K583" s="104">
        <f t="shared" si="47"/>
        <v>42032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5288.43+6376.67</f>
        <v>11665.1</v>
      </c>
      <c r="I584" s="18"/>
      <c r="J584" s="18">
        <f>12724.85</f>
        <v>12724.85</v>
      </c>
      <c r="K584" s="104">
        <f t="shared" si="47"/>
        <v>24389.95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6452.91+1399.6</f>
        <v>7852.51</v>
      </c>
      <c r="I585" s="18"/>
      <c r="J585" s="18">
        <f>2097.97</f>
        <v>2097.9699999999998</v>
      </c>
      <c r="K585" s="104">
        <f t="shared" si="47"/>
        <v>9950.48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80243.12</v>
      </c>
      <c r="I588" s="108">
        <f>SUM(I581:I587)</f>
        <v>0</v>
      </c>
      <c r="J588" s="108">
        <f>SUM(J581:J587)</f>
        <v>94107.640000000014</v>
      </c>
      <c r="K588" s="108">
        <f>SUM(K581:K587)</f>
        <v>174350.76000000004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20665.78</v>
      </c>
      <c r="I594" s="18"/>
      <c r="J594" s="18">
        <f>15620.71-1499</f>
        <v>14121.71</v>
      </c>
      <c r="K594" s="104">
        <f>SUM(H594:J594)</f>
        <v>34787.49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20665.78</v>
      </c>
      <c r="I595" s="108">
        <f>SUM(I592:I594)</f>
        <v>0</v>
      </c>
      <c r="J595" s="108">
        <f>SUM(J592:J594)</f>
        <v>14121.71</v>
      </c>
      <c r="K595" s="108">
        <f>SUM(K592:K594)</f>
        <v>34787.49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28416.449999999983</v>
      </c>
      <c r="H607" s="109">
        <f>SUM(F44)</f>
        <v>28416.449999999997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18884.900000000001</v>
      </c>
      <c r="H608" s="109">
        <f>SUM(G44)</f>
        <v>18884.900000000001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266059.65999999997</v>
      </c>
      <c r="H609" s="109">
        <f>SUM(H44)</f>
        <v>266059.65999999997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308680.58</v>
      </c>
      <c r="H611" s="109">
        <f>SUM(J44)</f>
        <v>308680.58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196689.25</v>
      </c>
      <c r="H616" s="109">
        <f>J466</f>
        <v>196689.24999999994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5472511.0099999998</v>
      </c>
      <c r="H617" s="104">
        <f>SUM(F458)</f>
        <v>5472511.0099999998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197158.71000000002</v>
      </c>
      <c r="H618" s="104">
        <f>SUM(G458)</f>
        <v>197158.71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415369.75</v>
      </c>
      <c r="H619" s="104">
        <f>SUM(H458)</f>
        <v>415369.75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520.16999999999996</v>
      </c>
      <c r="H621" s="104">
        <f>SUM(J458)</f>
        <v>520.16999999999996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5522041.5300000012</v>
      </c>
      <c r="H622" s="104">
        <f>SUM(F462)</f>
        <v>5522041.5300000003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415369.75000000006</v>
      </c>
      <c r="H623" s="104">
        <f>SUM(H462)</f>
        <v>415369.75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76726.290000000008</v>
      </c>
      <c r="H624" s="104">
        <f>I361</f>
        <v>76726.289999999994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197158.71</v>
      </c>
      <c r="H625" s="104">
        <f>SUM(G462)</f>
        <v>197158.71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520.16999999999996</v>
      </c>
      <c r="H627" s="164">
        <f>SUM(J458)</f>
        <v>520.16999999999996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111991.33</v>
      </c>
      <c r="H628" s="164">
        <f>SUM(J462)</f>
        <v>111991.33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308680.58</v>
      </c>
      <c r="H630" s="104">
        <f>SUM(G451)</f>
        <v>308680.58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308680.58</v>
      </c>
      <c r="H632" s="104">
        <f>SUM(I451)</f>
        <v>308680.58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520.16999999999996</v>
      </c>
      <c r="H634" s="104">
        <f>H400</f>
        <v>520.16999999999996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520.16999999999996</v>
      </c>
      <c r="H636" s="104">
        <f>L400</f>
        <v>520.16999999999996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174350.76000000004</v>
      </c>
      <c r="H637" s="104">
        <f>L200+L218+L236</f>
        <v>174350.76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34787.49</v>
      </c>
      <c r="H638" s="104">
        <f>(J249+J330)-(J247+J328)</f>
        <v>34787.49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80243.12000000001</v>
      </c>
      <c r="H639" s="104">
        <f>H588</f>
        <v>80243.12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94107.64</v>
      </c>
      <c r="H641" s="104">
        <f>J588</f>
        <v>94107.640000000014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43477.39</v>
      </c>
      <c r="H642" s="104">
        <f>K255+K337</f>
        <v>43477.39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3548161.3200000008</v>
      </c>
      <c r="G650" s="19">
        <f>(L221+L301+L351)</f>
        <v>0</v>
      </c>
      <c r="H650" s="19">
        <f>(L239+L320+L352)</f>
        <v>2346150.0700000003</v>
      </c>
      <c r="I650" s="19">
        <f>SUM(F650:H650)</f>
        <v>5894311.3900000006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36540.341637810474</v>
      </c>
      <c r="G651" s="19">
        <f>(L351/IF(SUM(L350:L352)=0,1,SUM(L350:L352))*(SUM(G89:G102)))</f>
        <v>0</v>
      </c>
      <c r="H651" s="19">
        <f>(L352/IF(SUM(L350:L352)=0,1,SUM(L350:L352))*(SUM(G89:G102)))</f>
        <v>22396.368362189525</v>
      </c>
      <c r="I651" s="19">
        <f>SUM(F651:H651)</f>
        <v>58936.71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80243.12000000001</v>
      </c>
      <c r="G652" s="19">
        <f>(L218+L298)-(J218+J298)</f>
        <v>0</v>
      </c>
      <c r="H652" s="19">
        <f>(L236+L317)-(J236+J317)</f>
        <v>94107.64</v>
      </c>
      <c r="I652" s="19">
        <f>SUM(F652:H652)</f>
        <v>174350.76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25055.07</v>
      </c>
      <c r="G653" s="200">
        <f>SUM(G565:G577)+SUM(I592:I594)+L602</f>
        <v>0</v>
      </c>
      <c r="H653" s="200">
        <f>SUM(H565:H577)+SUM(J592:J594)+L603</f>
        <v>352048.78</v>
      </c>
      <c r="I653" s="19">
        <f>SUM(F653:H653)</f>
        <v>377103.85000000003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3406322.7883621901</v>
      </c>
      <c r="G654" s="19">
        <f>G650-SUM(G651:G653)</f>
        <v>0</v>
      </c>
      <c r="H654" s="19">
        <f>H650-SUM(H651:H653)</f>
        <v>1877597.2816378106</v>
      </c>
      <c r="I654" s="19">
        <f>I650-SUM(I651:I653)</f>
        <v>5283920.07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239.16</v>
      </c>
      <c r="G655" s="249"/>
      <c r="H655" s="249">
        <v>132.33000000000001</v>
      </c>
      <c r="I655" s="19">
        <f>SUM(F655:H655)</f>
        <v>371.49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14242.86</v>
      </c>
      <c r="G657" s="19" t="e">
        <f>ROUND(G654/G655,2)</f>
        <v>#DIV/0!</v>
      </c>
      <c r="H657" s="19">
        <f>ROUND(H654/H655,2)</f>
        <v>14188.75</v>
      </c>
      <c r="I657" s="19">
        <f>ROUND(I654/I655,2)</f>
        <v>14223.59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-5.19</v>
      </c>
      <c r="I660" s="19">
        <f>SUM(F660:H660)</f>
        <v>-5.19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14242.86</v>
      </c>
      <c r="G662" s="19" t="e">
        <f>ROUND((G654+G659)/(G655+G660),2)</f>
        <v>#DIV/0!</v>
      </c>
      <c r="H662" s="19">
        <f>ROUND((H654+H659)/(H655+H660),2)</f>
        <v>14767.95</v>
      </c>
      <c r="I662" s="19">
        <f>ROUND((I654+I659)/(I655+I660),2)</f>
        <v>14425.12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>
    <dataRefs count="1">
      <dataRef ref="F9:L662" sheet="DOE25" r:id="rId1"/>
    </dataRefs>
  </dataConsolidate>
  <phoneticPr fontId="0" type="noConversion"/>
  <printOptions gridLines="1" gridLinesSet="0"/>
  <pageMargins left="0.3" right="0.3" top="0.75" bottom="0.75" header="0.5" footer="0.5"/>
  <pageSetup scale="90" orientation="landscape" r:id="rId2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B6F-B9C7-4FD0-9B7A-8EB0FC85C127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Northumberland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1834876.6400000001</v>
      </c>
      <c r="C9" s="230">
        <f>'DOE25'!G189+'DOE25'!G207+'DOE25'!G225+'DOE25'!G268+'DOE25'!G287+'DOE25'!G306</f>
        <v>728680.65999999992</v>
      </c>
    </row>
    <row r="10" spans="1:3" x14ac:dyDescent="0.2">
      <c r="A10" t="s">
        <v>810</v>
      </c>
      <c r="B10" s="241">
        <f>629412.79+289731.45+569906.71+2610+24688.34+5043.03+26802.6+243030.42</f>
        <v>1791225.34</v>
      </c>
      <c r="C10" s="241">
        <f>155803.19+85898.97+143832.37+3677.87+1645.19+3332.75+49556.79+21776.25+44713.64+49129.27+22784.61+48411.38+4477.5+5490+2032.5+833.92+624.22+733.86+1307.8+253.84+956.28+97.5+262.9+180.1+1050+1510+6040-3392.32+72320.96</f>
        <v>725341.34000000008</v>
      </c>
    </row>
    <row r="11" spans="1:3" x14ac:dyDescent="0.2">
      <c r="A11" t="s">
        <v>811</v>
      </c>
      <c r="B11" s="241">
        <f>9191.62+397.48+11917.7+9286.87+12857.63</f>
        <v>43651.3</v>
      </c>
      <c r="C11" s="241">
        <v>3339.32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1834876.6400000001</v>
      </c>
      <c r="C13" s="232">
        <f>SUM(C10:C12)</f>
        <v>728680.66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280347.67</v>
      </c>
      <c r="C18" s="230">
        <f>'DOE25'!G190+'DOE25'!G208+'DOE25'!G226+'DOE25'!G269+'DOE25'!G288+'DOE25'!G307</f>
        <v>81595.759999999995</v>
      </c>
    </row>
    <row r="19" spans="1:3" x14ac:dyDescent="0.2">
      <c r="A19" t="s">
        <v>810</v>
      </c>
      <c r="B19" s="241">
        <f>71339.5+35668+61077+4891.99+2300.01+14772.28</f>
        <v>190048.78</v>
      </c>
      <c r="C19" s="241">
        <f>21731.82+14615.07+7311.16+328.06+218.4+300.36+7733.95+5981.99+5784.02+6113.56+3045.05+4898.27+198+200+200+400+275+300+228.44+43.05+123-6907.87+1566.56</f>
        <v>74687.890000000014</v>
      </c>
    </row>
    <row r="20" spans="1:3" x14ac:dyDescent="0.2">
      <c r="A20" t="s">
        <v>811</v>
      </c>
      <c r="B20" s="241">
        <f>29885.95+41427.7+15365.35+890.68+1361.39+1367.82</f>
        <v>90298.89</v>
      </c>
      <c r="C20" s="241">
        <v>6907.87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280347.67</v>
      </c>
      <c r="C22" s="232">
        <f>SUM(C19:C21)</f>
        <v>81595.760000000009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71203.850000000006</v>
      </c>
      <c r="C36" s="236">
        <f>'DOE25'!G192+'DOE25'!G210+'DOE25'!G228+'DOE25'!G271+'DOE25'!G290+'DOE25'!G309</f>
        <v>8907.69</v>
      </c>
    </row>
    <row r="37" spans="1:3" x14ac:dyDescent="0.2">
      <c r="A37" t="s">
        <v>810</v>
      </c>
      <c r="B37" s="241">
        <f>-280.1+9891+9335.2+32028.8+15901.45+4327.5</f>
        <v>71203.849999999991</v>
      </c>
      <c r="C37" s="241">
        <f>1206.73+16.11+756.69+714.14+2450.27+538.33+88.85+143.17+183.97+215.74+1283.43+150+175+275+17.57+18.45+17.57+311.13+345.54</f>
        <v>8907.69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71203.849999999991</v>
      </c>
      <c r="C40" s="232">
        <f>SUM(C37:C39)</f>
        <v>8907.69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8E15-AE60-4F5F-8935-18F57D07D06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Northumberland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3303694.1700000004</v>
      </c>
      <c r="D5" s="20">
        <f>SUM('DOE25'!L189:L192)+SUM('DOE25'!L207:L210)+SUM('DOE25'!L225:L228)-F5-G5</f>
        <v>3278668.7500000005</v>
      </c>
      <c r="E5" s="244"/>
      <c r="F5" s="256">
        <f>SUM('DOE25'!J189:J192)+SUM('DOE25'!J207:J210)+SUM('DOE25'!J225:J228)</f>
        <v>20009.419999999998</v>
      </c>
      <c r="G5" s="53">
        <f>SUM('DOE25'!K189:K192)+SUM('DOE25'!K207:K210)+SUM('DOE25'!K225:K228)</f>
        <v>5016</v>
      </c>
      <c r="H5" s="260"/>
    </row>
    <row r="6" spans="1:9" x14ac:dyDescent="0.2">
      <c r="A6" s="32">
        <v>2100</v>
      </c>
      <c r="B6" t="s">
        <v>832</v>
      </c>
      <c r="C6" s="246">
        <f t="shared" si="0"/>
        <v>329642.90999999997</v>
      </c>
      <c r="D6" s="20">
        <f>'DOE25'!L194+'DOE25'!L212+'DOE25'!L230-F6-G6</f>
        <v>329031.40999999997</v>
      </c>
      <c r="E6" s="244"/>
      <c r="F6" s="256">
        <f>'DOE25'!J194+'DOE25'!J212+'DOE25'!J230</f>
        <v>356.5</v>
      </c>
      <c r="G6" s="53">
        <f>'DOE25'!K194+'DOE25'!K212+'DOE25'!K230</f>
        <v>255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106540.09000000003</v>
      </c>
      <c r="D7" s="20">
        <f>'DOE25'!L195+'DOE25'!L213+'DOE25'!L231-F7-G7</f>
        <v>106540.09000000003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149385.06999999995</v>
      </c>
      <c r="D8" s="244"/>
      <c r="E8" s="20">
        <f>'DOE25'!L196+'DOE25'!L214+'DOE25'!L232-F8-G8-D9-D11</f>
        <v>144547.31999999995</v>
      </c>
      <c r="F8" s="256">
        <f>'DOE25'!J196+'DOE25'!J214+'DOE25'!J232</f>
        <v>0</v>
      </c>
      <c r="G8" s="53">
        <f>'DOE25'!K196+'DOE25'!K214+'DOE25'!K232</f>
        <v>4837.75</v>
      </c>
      <c r="H8" s="260"/>
    </row>
    <row r="9" spans="1:9" x14ac:dyDescent="0.2">
      <c r="A9" s="32">
        <v>2310</v>
      </c>
      <c r="B9" t="s">
        <v>849</v>
      </c>
      <c r="C9" s="246">
        <f t="shared" si="0"/>
        <v>36375.230000000003</v>
      </c>
      <c r="D9" s="245">
        <v>36375.230000000003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5500</v>
      </c>
      <c r="D10" s="244"/>
      <c r="E10" s="245">
        <v>5500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117342.41</v>
      </c>
      <c r="D11" s="245">
        <v>117342.41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529455.42000000004</v>
      </c>
      <c r="D12" s="20">
        <f>'DOE25'!L197+'DOE25'!L215+'DOE25'!L233-F12-G12</f>
        <v>526429.92000000004</v>
      </c>
      <c r="E12" s="244"/>
      <c r="F12" s="256">
        <f>'DOE25'!J197+'DOE25'!J215+'DOE25'!J233</f>
        <v>0</v>
      </c>
      <c r="G12" s="53">
        <f>'DOE25'!K197+'DOE25'!K215+'DOE25'!K233</f>
        <v>3025.5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534996.87</v>
      </c>
      <c r="D14" s="20">
        <f>'DOE25'!L199+'DOE25'!L217+'DOE25'!L235-F14-G14</f>
        <v>528028.41</v>
      </c>
      <c r="E14" s="244"/>
      <c r="F14" s="256">
        <f>'DOE25'!J199+'DOE25'!J217+'DOE25'!J235</f>
        <v>6968.46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174350.76</v>
      </c>
      <c r="D15" s="20">
        <f>'DOE25'!L200+'DOE25'!L218+'DOE25'!L236-F15-G15</f>
        <v>174350.76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161502.22</v>
      </c>
      <c r="D22" s="244"/>
      <c r="E22" s="244"/>
      <c r="F22" s="256">
        <f>'DOE25'!L247+'DOE25'!L328</f>
        <v>161502.22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35278.99</v>
      </c>
      <c r="D25" s="244"/>
      <c r="E25" s="244"/>
      <c r="F25" s="259"/>
      <c r="G25" s="257"/>
      <c r="H25" s="258">
        <f>'DOE25'!L252+'DOE25'!L253+'DOE25'!L333+'DOE25'!L334</f>
        <v>35278.99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121232.20999999999</v>
      </c>
      <c r="D29" s="20">
        <f>'DOE25'!L350+'DOE25'!L351+'DOE25'!L352-'DOE25'!I359-F29-G29</f>
        <v>115974.92</v>
      </c>
      <c r="E29" s="244"/>
      <c r="F29" s="256">
        <f>'DOE25'!J350+'DOE25'!J351+'DOE25'!J352</f>
        <v>4934.54</v>
      </c>
      <c r="G29" s="53">
        <f>'DOE25'!K350+'DOE25'!K351+'DOE25'!K352</f>
        <v>322.75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415369.75000000006</v>
      </c>
      <c r="D31" s="20">
        <f>'DOE25'!L282+'DOE25'!L301+'DOE25'!L320+'DOE25'!L325+'DOE25'!L326+'DOE25'!L327-F31-G31</f>
        <v>406980.51000000007</v>
      </c>
      <c r="E31" s="244"/>
      <c r="F31" s="256">
        <f>'DOE25'!J282+'DOE25'!J301+'DOE25'!J320+'DOE25'!J325+'DOE25'!J326+'DOE25'!J327</f>
        <v>7453.11</v>
      </c>
      <c r="G31" s="53">
        <f>'DOE25'!K282+'DOE25'!K301+'DOE25'!K320+'DOE25'!K325+'DOE25'!K326+'DOE25'!K327</f>
        <v>936.13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5619722.4100000001</v>
      </c>
      <c r="E33" s="247">
        <f>SUM(E5:E31)</f>
        <v>150047.31999999995</v>
      </c>
      <c r="F33" s="247">
        <f>SUM(F5:F31)</f>
        <v>201224.25</v>
      </c>
      <c r="G33" s="247">
        <f>SUM(G5:G31)</f>
        <v>14393.13</v>
      </c>
      <c r="H33" s="247">
        <f>SUM(H5:H31)</f>
        <v>35278.99</v>
      </c>
    </row>
    <row r="35" spans="2:8" ht="12" thickBot="1" x14ac:dyDescent="0.25">
      <c r="B35" s="254" t="s">
        <v>878</v>
      </c>
      <c r="D35" s="255">
        <f>E33</f>
        <v>150047.31999999995</v>
      </c>
      <c r="E35" s="250"/>
    </row>
    <row r="36" spans="2:8" ht="12" thickTop="1" x14ac:dyDescent="0.2">
      <c r="B36" t="s">
        <v>846</v>
      </c>
      <c r="D36" s="20">
        <f>D33</f>
        <v>5619722.4100000001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AC3E-EDC8-4974-9D61-FAB0F3A8915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-374183.39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308680.58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284944.56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117655.28</v>
      </c>
      <c r="D14" s="95">
        <f>'DOE25'!G14</f>
        <v>18884.900000000001</v>
      </c>
      <c r="E14" s="95">
        <f>'DOE25'!H14</f>
        <v>266059.65999999997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28416.449999999983</v>
      </c>
      <c r="D19" s="41">
        <f>SUM(D9:D18)</f>
        <v>18884.900000000001</v>
      </c>
      <c r="E19" s="41">
        <f>SUM(E9:E18)</f>
        <v>266059.65999999997</v>
      </c>
      <c r="F19" s="41">
        <f>SUM(F9:F18)</f>
        <v>0</v>
      </c>
      <c r="G19" s="41">
        <f>SUM(G9:G18)</f>
        <v>308680.58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18884.900000000001</v>
      </c>
      <c r="E22" s="95">
        <f>'DOE25'!H23</f>
        <v>266059.65999999997</v>
      </c>
      <c r="F22" s="95">
        <f>'DOE25'!I23</f>
        <v>0</v>
      </c>
      <c r="G22" s="95">
        <f>'DOE25'!J23</f>
        <v>111991.33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8284.74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20131.71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28416.449999999997</v>
      </c>
      <c r="D32" s="41">
        <f>SUM(D22:D31)</f>
        <v>18884.900000000001</v>
      </c>
      <c r="E32" s="41">
        <f>SUM(E22:E31)</f>
        <v>266059.65999999997</v>
      </c>
      <c r="F32" s="41">
        <f>SUM(F22:F31)</f>
        <v>0</v>
      </c>
      <c r="G32" s="41">
        <f>SUM(G22:G31)</f>
        <v>111991.33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196689.25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196689.25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28416.449999999997</v>
      </c>
      <c r="D43" s="41">
        <f>D42+D32</f>
        <v>18884.900000000001</v>
      </c>
      <c r="E43" s="41">
        <f>E42+E32</f>
        <v>266059.65999999997</v>
      </c>
      <c r="F43" s="41">
        <f>F42+F32</f>
        <v>0</v>
      </c>
      <c r="G43" s="41">
        <f>G42+G32</f>
        <v>308680.58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1533462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554615.01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373.69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520.16999999999996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58936.71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28786.589999999997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583775.28999999992</v>
      </c>
      <c r="D54" s="130">
        <f>SUM(D49:D53)</f>
        <v>58936.71</v>
      </c>
      <c r="E54" s="130">
        <f>SUM(E49:E53)</f>
        <v>0</v>
      </c>
      <c r="F54" s="130">
        <f>SUM(F49:F53)</f>
        <v>0</v>
      </c>
      <c r="G54" s="130">
        <f>SUM(G49:G53)</f>
        <v>520.16999999999996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2117237.29</v>
      </c>
      <c r="D55" s="22">
        <f>D48+D54</f>
        <v>58936.71</v>
      </c>
      <c r="E55" s="22">
        <f>E48+E54</f>
        <v>0</v>
      </c>
      <c r="F55" s="22">
        <f>F48+F54</f>
        <v>0</v>
      </c>
      <c r="G55" s="22">
        <f>G48+G54</f>
        <v>520.16999999999996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2572751.0499999998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254723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93312.95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2920787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18287.28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33268.44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2850</v>
      </c>
      <c r="D69" s="95">
        <f>SUM('DOE25'!G123:G127)</f>
        <v>1970.16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54405.72</v>
      </c>
      <c r="D70" s="130">
        <f>SUM(D64:D69)</f>
        <v>1970.16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2975192.72</v>
      </c>
      <c r="D73" s="130">
        <f>SUM(D71:D72)+D70+D62</f>
        <v>1970.16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126274.43999999999</v>
      </c>
      <c r="D80" s="95">
        <f>SUM('DOE25'!G145:G153)</f>
        <v>92774.45</v>
      </c>
      <c r="E80" s="95">
        <f>SUM('DOE25'!H145:H153)</f>
        <v>415369.75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5661.11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131935.54999999999</v>
      </c>
      <c r="D83" s="131">
        <f>SUM(D77:D82)</f>
        <v>92774.45</v>
      </c>
      <c r="E83" s="131">
        <f>SUM(E77:E82)</f>
        <v>415369.75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136154.12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43477.39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111991.33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248145.45</v>
      </c>
      <c r="D95" s="86">
        <f>SUM(D85:D94)</f>
        <v>43477.39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5472511.0099999998</v>
      </c>
      <c r="D96" s="86">
        <f>D55+D73+D83+D95</f>
        <v>197158.71000000002</v>
      </c>
      <c r="E96" s="86">
        <f>E55+E73+E83+E95</f>
        <v>415369.75</v>
      </c>
      <c r="F96" s="86">
        <f>F55+F73+F83+F95</f>
        <v>0</v>
      </c>
      <c r="G96" s="86">
        <f>G55+G73+G95</f>
        <v>520.16999999999996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2401854.1900000004</v>
      </c>
      <c r="D101" s="24" t="s">
        <v>312</v>
      </c>
      <c r="E101" s="95">
        <f>('DOE25'!L268)+('DOE25'!L287)+('DOE25'!L306)</f>
        <v>360532.39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766183.47</v>
      </c>
      <c r="D102" s="24" t="s">
        <v>312</v>
      </c>
      <c r="E102" s="95">
        <f>('DOE25'!L269)+('DOE25'!L288)+('DOE25'!L307)</f>
        <v>49853.19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29733.29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105923.22</v>
      </c>
      <c r="D104" s="24" t="s">
        <v>312</v>
      </c>
      <c r="E104" s="95">
        <f>+('DOE25'!L271)+('DOE25'!L290)+('DOE25'!L309)</f>
        <v>4984.17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3303694.1700000004</v>
      </c>
      <c r="D107" s="86">
        <f>SUM(D101:D106)</f>
        <v>0</v>
      </c>
      <c r="E107" s="86">
        <f>SUM(E101:E106)</f>
        <v>415369.75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329642.90999999997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106540.09000000003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303102.70999999996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529455.42000000004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534996.87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174350.76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197158.71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1978088.76</v>
      </c>
      <c r="D120" s="86">
        <f>SUM(D110:D119)</f>
        <v>197158.71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161502.22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28571.43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6707.56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111991.33</v>
      </c>
    </row>
    <row r="127" spans="1:7" x14ac:dyDescent="0.2">
      <c r="A127" t="s">
        <v>256</v>
      </c>
      <c r="B127" s="32" t="s">
        <v>257</v>
      </c>
      <c r="C127" s="95">
        <f>'DOE25'!L255</f>
        <v>43477.39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520.16999999999996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-520.16999999999996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240258.59999999998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111991.33</v>
      </c>
    </row>
    <row r="137" spans="1:9" ht="12.75" thickTop="1" thickBot="1" x14ac:dyDescent="0.25">
      <c r="A137" s="33" t="s">
        <v>267</v>
      </c>
      <c r="C137" s="86">
        <f>(C107+C120+C136)</f>
        <v>5522041.5300000003</v>
      </c>
      <c r="D137" s="86">
        <f>(D107+D120+D136)</f>
        <v>197158.71</v>
      </c>
      <c r="E137" s="86">
        <f>(E107+E120+E136)</f>
        <v>415369.75</v>
      </c>
      <c r="F137" s="86">
        <f>(F107+F120+F136)</f>
        <v>0</v>
      </c>
      <c r="G137" s="86">
        <f>(G107+G120+G136)</f>
        <v>111991.33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14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400000</v>
      </c>
      <c r="C146" s="137">
        <f>'DOE25'!G483</f>
        <v>2225501.31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5.39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142857.13</v>
      </c>
      <c r="C148" s="137">
        <f>'DOE25'!G485</f>
        <v>225501.31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368358.44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28571.43</v>
      </c>
      <c r="C150" s="137">
        <f>'DOE25'!G487</f>
        <v>6707.56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35278.99</v>
      </c>
    </row>
    <row r="151" spans="1:7" x14ac:dyDescent="0.2">
      <c r="A151" s="22" t="s">
        <v>35</v>
      </c>
      <c r="B151" s="137">
        <f>'DOE25'!F488</f>
        <v>114285.7</v>
      </c>
      <c r="C151" s="137">
        <f>'DOE25'!G488</f>
        <v>175000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289285.7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43793.75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43793.75</v>
      </c>
    </row>
    <row r="153" spans="1:7" x14ac:dyDescent="0.2">
      <c r="A153" s="22" t="s">
        <v>37</v>
      </c>
      <c r="B153" s="137">
        <f>'DOE25'!F490</f>
        <v>114285.7</v>
      </c>
      <c r="C153" s="137">
        <f>'DOE25'!G490</f>
        <v>218793.75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333079.45</v>
      </c>
    </row>
    <row r="154" spans="1:7" x14ac:dyDescent="0.2">
      <c r="A154" s="22" t="s">
        <v>38</v>
      </c>
      <c r="B154" s="137">
        <f>'DOE25'!F491</f>
        <v>28571.43</v>
      </c>
      <c r="C154" s="137">
        <f>'DOE25'!G491</f>
        <v>20000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48571.43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8893.5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8893.5</v>
      </c>
    </row>
    <row r="156" spans="1:7" x14ac:dyDescent="0.2">
      <c r="A156" s="22" t="s">
        <v>269</v>
      </c>
      <c r="B156" s="137">
        <f>'DOE25'!F493</f>
        <v>28571.43</v>
      </c>
      <c r="C156" s="137">
        <f>'DOE25'!G493</f>
        <v>28893.5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57464.93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1104-580C-4244-AA63-D96DAE9C3D08}">
  <sheetPr codeName="Sheet3">
    <tabColor indexed="43"/>
  </sheetPr>
  <dimension ref="A1:D42"/>
  <sheetViews>
    <sheetView workbookViewId="0">
      <selection activeCell="A34" sqref="A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Northumberland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14243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14768</v>
      </c>
    </row>
    <row r="7" spans="1:4" x14ac:dyDescent="0.2">
      <c r="B7" t="s">
        <v>736</v>
      </c>
      <c r="C7" s="179">
        <f>IF('DOE25'!I655+'DOE25'!I660=0,0,ROUND('DOE25'!I662,0))</f>
        <v>14425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2762387</v>
      </c>
      <c r="D10" s="182">
        <f>ROUND((C10/$C$28)*100,1)</f>
        <v>47.3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816037</v>
      </c>
      <c r="D11" s="182">
        <f>ROUND((C11/$C$28)*100,1)</f>
        <v>14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29733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110907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329643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106540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303103</v>
      </c>
      <c r="D17" s="182">
        <f t="shared" si="0"/>
        <v>5.2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529455</v>
      </c>
      <c r="D18" s="182">
        <f t="shared" si="0"/>
        <v>9.1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534997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174351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6708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138222.29</v>
      </c>
      <c r="D27" s="182">
        <f t="shared" si="0"/>
        <v>2.4</v>
      </c>
    </row>
    <row r="28" spans="1:4" x14ac:dyDescent="0.2">
      <c r="B28" s="187" t="s">
        <v>754</v>
      </c>
      <c r="C28" s="180">
        <f>SUM(C10:C27)</f>
        <v>5842083.29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161502</v>
      </c>
    </row>
    <row r="30" spans="1:4" x14ac:dyDescent="0.2">
      <c r="B30" s="187" t="s">
        <v>760</v>
      </c>
      <c r="C30" s="180">
        <f>SUM(C28:C29)</f>
        <v>6003585.29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28571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1533462</v>
      </c>
      <c r="D35" s="182">
        <f t="shared" ref="D35:D40" si="1">ROUND((C35/$C$41)*100,1)</f>
        <v>26.7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591003.45000000019</v>
      </c>
      <c r="D36" s="182">
        <f t="shared" si="1"/>
        <v>10.3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2920787</v>
      </c>
      <c r="D37" s="182">
        <f t="shared" si="1"/>
        <v>50.9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56376</v>
      </c>
      <c r="D38" s="182">
        <f t="shared" si="1"/>
        <v>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640080</v>
      </c>
      <c r="D39" s="182">
        <f t="shared" si="1"/>
        <v>11.1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5741708.4500000002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129446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B294-67D1-4CFE-8B54-9CF16B662D1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Northumberland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2011-11-01T14:53:31Z</cp:lastPrinted>
  <dcterms:created xsi:type="dcterms:W3CDTF">1997-12-04T19:04:30Z</dcterms:created>
  <dcterms:modified xsi:type="dcterms:W3CDTF">2025-01-10T20:13:58Z</dcterms:modified>
</cp:coreProperties>
</file>