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2139BC33-CB4F-4ED3-91E0-08AC005F57CB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64040BA-A5AE-4248-9F54-0B7D0EA587B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1" i="1" l="1"/>
  <c r="F2" i="11"/>
  <c r="B2" i="10"/>
  <c r="C5" i="10"/>
  <c r="C37" i="10"/>
  <c r="C40" i="10"/>
  <c r="C42" i="10"/>
  <c r="F19" i="1"/>
  <c r="G607" i="1" s="1"/>
  <c r="G19" i="1"/>
  <c r="G608" i="1" s="1"/>
  <c r="H19" i="1"/>
  <c r="G609" i="1" s="1"/>
  <c r="I19" i="1"/>
  <c r="G610" i="1"/>
  <c r="F33" i="1"/>
  <c r="F44" i="1" s="1"/>
  <c r="H607" i="1" s="1"/>
  <c r="G33" i="1"/>
  <c r="H33" i="1"/>
  <c r="I33" i="1"/>
  <c r="F43" i="1"/>
  <c r="G43" i="1"/>
  <c r="H43" i="1"/>
  <c r="H44" i="1" s="1"/>
  <c r="H609" i="1" s="1"/>
  <c r="I43" i="1"/>
  <c r="I44" i="1" s="1"/>
  <c r="H610" i="1" s="1"/>
  <c r="J610" i="1" s="1"/>
  <c r="F52" i="1"/>
  <c r="C48" i="2"/>
  <c r="G52" i="1"/>
  <c r="H52" i="1"/>
  <c r="E48" i="2" s="1"/>
  <c r="E55" i="2" s="1"/>
  <c r="E96" i="2" s="1"/>
  <c r="I52" i="1"/>
  <c r="J52" i="1"/>
  <c r="F71" i="1"/>
  <c r="C49" i="2"/>
  <c r="H71" i="1"/>
  <c r="E49" i="2" s="1"/>
  <c r="E54" i="2" s="1"/>
  <c r="F86" i="1"/>
  <c r="C50" i="2" s="1"/>
  <c r="H86" i="1"/>
  <c r="F103" i="1"/>
  <c r="G103" i="1"/>
  <c r="G104" i="1"/>
  <c r="H103" i="1"/>
  <c r="I103" i="1"/>
  <c r="I104" i="1" s="1"/>
  <c r="I185" i="1" s="1"/>
  <c r="G620" i="1" s="1"/>
  <c r="J620" i="1" s="1"/>
  <c r="J103" i="1"/>
  <c r="F113" i="1"/>
  <c r="G113" i="1"/>
  <c r="G132" i="1" s="1"/>
  <c r="H113" i="1"/>
  <c r="I113" i="1"/>
  <c r="I132" i="1" s="1"/>
  <c r="J113" i="1"/>
  <c r="J132" i="1" s="1"/>
  <c r="F128" i="1"/>
  <c r="G128" i="1"/>
  <c r="H128" i="1"/>
  <c r="H132" i="1" s="1"/>
  <c r="I128" i="1"/>
  <c r="J128" i="1"/>
  <c r="F139" i="1"/>
  <c r="G139" i="1"/>
  <c r="D77" i="2"/>
  <c r="D83" i="2" s="1"/>
  <c r="D80" i="2"/>
  <c r="D81" i="2"/>
  <c r="H139" i="1"/>
  <c r="I139" i="1"/>
  <c r="F154" i="1"/>
  <c r="F161" i="1" s="1"/>
  <c r="C39" i="10" s="1"/>
  <c r="G154" i="1"/>
  <c r="H154" i="1"/>
  <c r="I154" i="1"/>
  <c r="G161" i="1"/>
  <c r="H161" i="1"/>
  <c r="I161" i="1"/>
  <c r="F169" i="1"/>
  <c r="F184" i="1" s="1"/>
  <c r="I169" i="1"/>
  <c r="F175" i="1"/>
  <c r="G175" i="1"/>
  <c r="G184" i="1" s="1"/>
  <c r="H175" i="1"/>
  <c r="I175" i="1"/>
  <c r="J175" i="1"/>
  <c r="F180" i="1"/>
  <c r="G180" i="1"/>
  <c r="H180" i="1"/>
  <c r="H184" i="1" s="1"/>
  <c r="I180" i="1"/>
  <c r="H189" i="1"/>
  <c r="L191" i="1"/>
  <c r="F192" i="1"/>
  <c r="B36" i="12" s="1"/>
  <c r="A40" i="12" s="1"/>
  <c r="G192" i="1"/>
  <c r="G203" i="1" s="1"/>
  <c r="G249" i="1" s="1"/>
  <c r="G263" i="1" s="1"/>
  <c r="H192" i="1"/>
  <c r="I192" i="1"/>
  <c r="J192" i="1"/>
  <c r="F5" i="13" s="1"/>
  <c r="K192" i="1"/>
  <c r="K203" i="1" s="1"/>
  <c r="K249" i="1" s="1"/>
  <c r="K263" i="1" s="1"/>
  <c r="F194" i="1"/>
  <c r="G194" i="1"/>
  <c r="H194" i="1"/>
  <c r="I194" i="1"/>
  <c r="I203" i="1" s="1"/>
  <c r="I249" i="1" s="1"/>
  <c r="I263" i="1" s="1"/>
  <c r="F195" i="1"/>
  <c r="G195" i="1"/>
  <c r="H195" i="1"/>
  <c r="I195" i="1"/>
  <c r="L195" i="1" s="1"/>
  <c r="J195" i="1"/>
  <c r="F7" i="13" s="1"/>
  <c r="F197" i="1"/>
  <c r="L197" i="1" s="1"/>
  <c r="G197" i="1"/>
  <c r="H197" i="1"/>
  <c r="I197" i="1"/>
  <c r="K197" i="1"/>
  <c r="G12" i="13" s="1"/>
  <c r="G198" i="1"/>
  <c r="F13" i="13"/>
  <c r="G13" i="13"/>
  <c r="H198" i="1"/>
  <c r="L198" i="1" s="1"/>
  <c r="F199" i="1"/>
  <c r="G199" i="1"/>
  <c r="H199" i="1"/>
  <c r="I199" i="1"/>
  <c r="L199" i="1" s="1"/>
  <c r="F14" i="13"/>
  <c r="H200" i="1"/>
  <c r="L200" i="1"/>
  <c r="L201" i="1"/>
  <c r="C17" i="10" s="1"/>
  <c r="L207" i="1"/>
  <c r="L208" i="1"/>
  <c r="L209" i="1"/>
  <c r="C12" i="10" s="1"/>
  <c r="L210" i="1"/>
  <c r="L212" i="1"/>
  <c r="L213" i="1"/>
  <c r="L221" i="1" s="1"/>
  <c r="L214" i="1"/>
  <c r="L215" i="1"/>
  <c r="L216" i="1"/>
  <c r="L217" i="1"/>
  <c r="L218" i="1"/>
  <c r="G652" i="1" s="1"/>
  <c r="L219" i="1"/>
  <c r="F221" i="1"/>
  <c r="G221" i="1"/>
  <c r="H221" i="1"/>
  <c r="I221" i="1"/>
  <c r="J221" i="1"/>
  <c r="K221" i="1"/>
  <c r="L225" i="1"/>
  <c r="H226" i="1"/>
  <c r="L227" i="1"/>
  <c r="L228" i="1"/>
  <c r="L230" i="1"/>
  <c r="L231" i="1"/>
  <c r="L232" i="1"/>
  <c r="C112" i="2" s="1"/>
  <c r="L233" i="1"/>
  <c r="L234" i="1"/>
  <c r="L235" i="1"/>
  <c r="H236" i="1"/>
  <c r="L236" i="1"/>
  <c r="G641" i="1" s="1"/>
  <c r="J641" i="1" s="1"/>
  <c r="L237" i="1"/>
  <c r="F239" i="1"/>
  <c r="G239" i="1"/>
  <c r="I239" i="1"/>
  <c r="J239" i="1"/>
  <c r="K239" i="1"/>
  <c r="L242" i="1"/>
  <c r="C23" i="10" s="1"/>
  <c r="L243" i="1"/>
  <c r="D17" i="13" s="1"/>
  <c r="C17" i="13" s="1"/>
  <c r="L244" i="1"/>
  <c r="L245" i="1"/>
  <c r="L246" i="1"/>
  <c r="H247" i="1"/>
  <c r="L247" i="1" s="1"/>
  <c r="F248" i="1"/>
  <c r="G248" i="1"/>
  <c r="I248" i="1"/>
  <c r="J248" i="1"/>
  <c r="K248" i="1"/>
  <c r="L252" i="1"/>
  <c r="L253" i="1"/>
  <c r="L255" i="1"/>
  <c r="L256" i="1"/>
  <c r="C128" i="2" s="1"/>
  <c r="L257" i="1"/>
  <c r="L258" i="1"/>
  <c r="L260" i="1"/>
  <c r="C134" i="2"/>
  <c r="L261" i="1"/>
  <c r="C135" i="2" s="1"/>
  <c r="F262" i="1"/>
  <c r="L262" i="1" s="1"/>
  <c r="G262" i="1"/>
  <c r="H262" i="1"/>
  <c r="I262" i="1"/>
  <c r="J262" i="1"/>
  <c r="K262" i="1"/>
  <c r="L268" i="1"/>
  <c r="L269" i="1"/>
  <c r="E102" i="2" s="1"/>
  <c r="L270" i="1"/>
  <c r="E103" i="2" s="1"/>
  <c r="L271" i="1"/>
  <c r="L282" i="1" s="1"/>
  <c r="E104" i="2"/>
  <c r="L273" i="1"/>
  <c r="L274" i="1"/>
  <c r="L275" i="1"/>
  <c r="L276" i="1"/>
  <c r="E113" i="2" s="1"/>
  <c r="L277" i="1"/>
  <c r="E114" i="2" s="1"/>
  <c r="L278" i="1"/>
  <c r="L279" i="1"/>
  <c r="L280" i="1"/>
  <c r="F282" i="1"/>
  <c r="G282" i="1"/>
  <c r="G330" i="1" s="1"/>
  <c r="G344" i="1" s="1"/>
  <c r="H282" i="1"/>
  <c r="H330" i="1" s="1"/>
  <c r="H344" i="1" s="1"/>
  <c r="I282" i="1"/>
  <c r="I330" i="1" s="1"/>
  <c r="I344" i="1" s="1"/>
  <c r="J282" i="1"/>
  <c r="F31" i="13" s="1"/>
  <c r="K282" i="1"/>
  <c r="G31" i="13" s="1"/>
  <c r="K330" i="1"/>
  <c r="K344" i="1"/>
  <c r="L287" i="1"/>
  <c r="E101" i="2" s="1"/>
  <c r="L288" i="1"/>
  <c r="L289" i="1"/>
  <c r="L290" i="1"/>
  <c r="L292" i="1"/>
  <c r="L293" i="1"/>
  <c r="L294" i="1"/>
  <c r="L295" i="1"/>
  <c r="L301" i="1" s="1"/>
  <c r="L296" i="1"/>
  <c r="L297" i="1"/>
  <c r="L298" i="1"/>
  <c r="L299" i="1"/>
  <c r="E117" i="2" s="1"/>
  <c r="F301" i="1"/>
  <c r="G301" i="1"/>
  <c r="H301" i="1"/>
  <c r="I301" i="1"/>
  <c r="J301" i="1"/>
  <c r="K301" i="1"/>
  <c r="L306" i="1"/>
  <c r="L320" i="1" s="1"/>
  <c r="L307" i="1"/>
  <c r="L308" i="1"/>
  <c r="L309" i="1"/>
  <c r="L311" i="1"/>
  <c r="E110" i="2" s="1"/>
  <c r="E120" i="2" s="1"/>
  <c r="L312" i="1"/>
  <c r="L313" i="1"/>
  <c r="L314" i="1"/>
  <c r="L315" i="1"/>
  <c r="L316" i="1"/>
  <c r="E115" i="2" s="1"/>
  <c r="L317" i="1"/>
  <c r="L318" i="1"/>
  <c r="F320" i="1"/>
  <c r="G320" i="1"/>
  <c r="H320" i="1"/>
  <c r="I320" i="1"/>
  <c r="J320" i="1"/>
  <c r="K320" i="1"/>
  <c r="L324" i="1"/>
  <c r="E105" i="2"/>
  <c r="L325" i="1"/>
  <c r="L326" i="1"/>
  <c r="L327" i="1"/>
  <c r="L328" i="1"/>
  <c r="E122" i="2" s="1"/>
  <c r="F329" i="1"/>
  <c r="L329" i="1" s="1"/>
  <c r="G329" i="1"/>
  <c r="H329" i="1"/>
  <c r="I329" i="1"/>
  <c r="J329" i="1"/>
  <c r="K329" i="1"/>
  <c r="F330" i="1"/>
  <c r="F344" i="1" s="1"/>
  <c r="J330" i="1"/>
  <c r="J344" i="1"/>
  <c r="L333" i="1"/>
  <c r="L334" i="1"/>
  <c r="H25" i="13" s="1"/>
  <c r="E124" i="2"/>
  <c r="L336" i="1"/>
  <c r="E126" i="2" s="1"/>
  <c r="L337" i="1"/>
  <c r="L338" i="1"/>
  <c r="E129" i="2" s="1"/>
  <c r="L339" i="1"/>
  <c r="L341" i="1"/>
  <c r="C26" i="10" s="1"/>
  <c r="L342" i="1"/>
  <c r="E135" i="2" s="1"/>
  <c r="K343" i="1"/>
  <c r="F350" i="1"/>
  <c r="L350" i="1" s="1"/>
  <c r="G350" i="1"/>
  <c r="G354" i="1" s="1"/>
  <c r="H350" i="1"/>
  <c r="H354" i="1"/>
  <c r="I350" i="1"/>
  <c r="L351" i="1"/>
  <c r="L352" i="1"/>
  <c r="L353" i="1"/>
  <c r="I354" i="1"/>
  <c r="G624" i="1" s="1"/>
  <c r="J624" i="1" s="1"/>
  <c r="J354" i="1"/>
  <c r="K354" i="1"/>
  <c r="I359" i="1"/>
  <c r="I361" i="1" s="1"/>
  <c r="H624" i="1" s="1"/>
  <c r="F360" i="1"/>
  <c r="F361" i="1" s="1"/>
  <c r="G361" i="1"/>
  <c r="H361" i="1"/>
  <c r="L366" i="1"/>
  <c r="F122" i="2" s="1"/>
  <c r="F136" i="2" s="1"/>
  <c r="F137" i="2" s="1"/>
  <c r="L367" i="1"/>
  <c r="L368" i="1"/>
  <c r="L369" i="1"/>
  <c r="L370" i="1"/>
  <c r="L374" i="1" s="1"/>
  <c r="G626" i="1" s="1"/>
  <c r="J626" i="1" s="1"/>
  <c r="L371" i="1"/>
  <c r="L372" i="1"/>
  <c r="L373" i="1"/>
  <c r="F374" i="1"/>
  <c r="G374" i="1"/>
  <c r="H374" i="1"/>
  <c r="I374" i="1"/>
  <c r="J374" i="1"/>
  <c r="K374" i="1"/>
  <c r="L379" i="1"/>
  <c r="L380" i="1"/>
  <c r="L381" i="1"/>
  <c r="L385" i="1" s="1"/>
  <c r="L382" i="1"/>
  <c r="L383" i="1"/>
  <c r="L384" i="1"/>
  <c r="F385" i="1"/>
  <c r="F400" i="1" s="1"/>
  <c r="H633" i="1" s="1"/>
  <c r="G385" i="1"/>
  <c r="H385" i="1"/>
  <c r="H400" i="1" s="1"/>
  <c r="H634" i="1" s="1"/>
  <c r="J634" i="1" s="1"/>
  <c r="I385" i="1"/>
  <c r="I400" i="1" s="1"/>
  <c r="L387" i="1"/>
  <c r="L393" i="1" s="1"/>
  <c r="C131" i="2" s="1"/>
  <c r="L388" i="1"/>
  <c r="L389" i="1"/>
  <c r="L390" i="1"/>
  <c r="L391" i="1"/>
  <c r="L392" i="1"/>
  <c r="F393" i="1"/>
  <c r="G393" i="1"/>
  <c r="H393" i="1"/>
  <c r="I393" i="1"/>
  <c r="L395" i="1"/>
  <c r="L396" i="1"/>
  <c r="L397" i="1"/>
  <c r="L399" i="1"/>
  <c r="C132" i="2" s="1"/>
  <c r="L398" i="1"/>
  <c r="F399" i="1"/>
  <c r="G399" i="1"/>
  <c r="G400" i="1"/>
  <c r="H635" i="1"/>
  <c r="H399" i="1"/>
  <c r="I399" i="1"/>
  <c r="L405" i="1"/>
  <c r="L406" i="1"/>
  <c r="L407" i="1"/>
  <c r="L408" i="1"/>
  <c r="L411" i="1" s="1"/>
  <c r="L426" i="1" s="1"/>
  <c r="G628" i="1" s="1"/>
  <c r="J628" i="1" s="1"/>
  <c r="L409" i="1"/>
  <c r="L410" i="1"/>
  <c r="F411" i="1"/>
  <c r="F426" i="1" s="1"/>
  <c r="G411" i="1"/>
  <c r="G426" i="1" s="1"/>
  <c r="H411" i="1"/>
  <c r="I411" i="1"/>
  <c r="J411" i="1"/>
  <c r="K411" i="1"/>
  <c r="L413" i="1"/>
  <c r="L419" i="1" s="1"/>
  <c r="L414" i="1"/>
  <c r="L415" i="1"/>
  <c r="L416" i="1"/>
  <c r="L417" i="1"/>
  <c r="L418" i="1"/>
  <c r="F419" i="1"/>
  <c r="G419" i="1"/>
  <c r="H419" i="1"/>
  <c r="I419" i="1"/>
  <c r="I426" i="1" s="1"/>
  <c r="J419" i="1"/>
  <c r="J426" i="1" s="1"/>
  <c r="K419" i="1"/>
  <c r="K426" i="1" s="1"/>
  <c r="G126" i="2" s="1"/>
  <c r="G136" i="2" s="1"/>
  <c r="G137" i="2" s="1"/>
  <c r="L421" i="1"/>
  <c r="L425" i="1" s="1"/>
  <c r="L422" i="1"/>
  <c r="L423" i="1"/>
  <c r="L424" i="1"/>
  <c r="F425" i="1"/>
  <c r="G425" i="1"/>
  <c r="H425" i="1"/>
  <c r="I425" i="1"/>
  <c r="J425" i="1"/>
  <c r="K425" i="1"/>
  <c r="I431" i="1"/>
  <c r="J9" i="1" s="1"/>
  <c r="I432" i="1"/>
  <c r="J10" i="1" s="1"/>
  <c r="G10" i="2" s="1"/>
  <c r="I433" i="1"/>
  <c r="J12" i="1"/>
  <c r="G12" i="2"/>
  <c r="I434" i="1"/>
  <c r="J13" i="1"/>
  <c r="G13" i="2"/>
  <c r="I435" i="1"/>
  <c r="J14" i="1"/>
  <c r="G14" i="2"/>
  <c r="I436" i="1"/>
  <c r="J17" i="1" s="1"/>
  <c r="G17" i="2" s="1"/>
  <c r="I437" i="1"/>
  <c r="J18" i="1"/>
  <c r="G18" i="2"/>
  <c r="F438" i="1"/>
  <c r="G629" i="1" s="1"/>
  <c r="J629" i="1" s="1"/>
  <c r="G438" i="1"/>
  <c r="G630" i="1"/>
  <c r="J630" i="1" s="1"/>
  <c r="H438" i="1"/>
  <c r="G631" i="1" s="1"/>
  <c r="I440" i="1"/>
  <c r="I444" i="1" s="1"/>
  <c r="I441" i="1"/>
  <c r="J24" i="1" s="1"/>
  <c r="G23" i="2" s="1"/>
  <c r="I442" i="1"/>
  <c r="J25" i="1" s="1"/>
  <c r="G24" i="2" s="1"/>
  <c r="I443" i="1"/>
  <c r="J32" i="1"/>
  <c r="G31" i="2" s="1"/>
  <c r="F444" i="1"/>
  <c r="G444" i="1"/>
  <c r="H444" i="1"/>
  <c r="I446" i="1"/>
  <c r="I450" i="1" s="1"/>
  <c r="I447" i="1"/>
  <c r="J38" i="1"/>
  <c r="G37" i="2" s="1"/>
  <c r="I448" i="1"/>
  <c r="J40" i="1" s="1"/>
  <c r="I449" i="1"/>
  <c r="J41" i="1"/>
  <c r="F450" i="1"/>
  <c r="G450" i="1"/>
  <c r="H450" i="1"/>
  <c r="H451" i="1" s="1"/>
  <c r="H631" i="1" s="1"/>
  <c r="G451" i="1"/>
  <c r="H630" i="1" s="1"/>
  <c r="F460" i="1"/>
  <c r="G460" i="1"/>
  <c r="H460" i="1"/>
  <c r="H466" i="1" s="1"/>
  <c r="H614" i="1" s="1"/>
  <c r="I460" i="1"/>
  <c r="I466" i="1" s="1"/>
  <c r="H615" i="1" s="1"/>
  <c r="J460" i="1"/>
  <c r="J466" i="1"/>
  <c r="H616" i="1"/>
  <c r="F464" i="1"/>
  <c r="F466" i="1" s="1"/>
  <c r="H612" i="1" s="1"/>
  <c r="G464" i="1"/>
  <c r="G466" i="1" s="1"/>
  <c r="H613" i="1" s="1"/>
  <c r="J613" i="1" s="1"/>
  <c r="H464" i="1"/>
  <c r="I464" i="1"/>
  <c r="J464" i="1"/>
  <c r="K485" i="1"/>
  <c r="K486" i="1"/>
  <c r="K487" i="1"/>
  <c r="K488" i="1"/>
  <c r="K489" i="1"/>
  <c r="F490" i="1"/>
  <c r="G490" i="1"/>
  <c r="H490" i="1"/>
  <c r="I490" i="1"/>
  <c r="E153" i="2" s="1"/>
  <c r="J490" i="1"/>
  <c r="K491" i="1"/>
  <c r="K492" i="1"/>
  <c r="F493" i="1"/>
  <c r="B156" i="2"/>
  <c r="G493" i="1"/>
  <c r="K493" i="1" s="1"/>
  <c r="H493" i="1"/>
  <c r="I493" i="1"/>
  <c r="J493" i="1"/>
  <c r="F156" i="2"/>
  <c r="F507" i="1"/>
  <c r="G507" i="1"/>
  <c r="H507" i="1"/>
  <c r="I507" i="1"/>
  <c r="L511" i="1"/>
  <c r="F539" i="1"/>
  <c r="K539" i="1" s="1"/>
  <c r="L512" i="1"/>
  <c r="F540" i="1" s="1"/>
  <c r="L513" i="1"/>
  <c r="F514" i="1"/>
  <c r="F535" i="1" s="1"/>
  <c r="G514" i="1"/>
  <c r="H514" i="1"/>
  <c r="I514" i="1"/>
  <c r="I535" i="1" s="1"/>
  <c r="J514" i="1"/>
  <c r="K514" i="1"/>
  <c r="L516" i="1"/>
  <c r="G539" i="1"/>
  <c r="L519" i="1"/>
  <c r="L517" i="1"/>
  <c r="G540" i="1" s="1"/>
  <c r="G542" i="1" s="1"/>
  <c r="L518" i="1"/>
  <c r="F519" i="1"/>
  <c r="G519" i="1"/>
  <c r="H519" i="1"/>
  <c r="H535" i="1" s="1"/>
  <c r="I519" i="1"/>
  <c r="J519" i="1"/>
  <c r="K519" i="1"/>
  <c r="K535" i="1"/>
  <c r="L521" i="1"/>
  <c r="L524" i="1" s="1"/>
  <c r="H539" i="1"/>
  <c r="H542" i="1" s="1"/>
  <c r="L522" i="1"/>
  <c r="H540" i="1" s="1"/>
  <c r="L523" i="1"/>
  <c r="H541" i="1" s="1"/>
  <c r="F524" i="1"/>
  <c r="G524" i="1"/>
  <c r="H524" i="1"/>
  <c r="I524" i="1"/>
  <c r="J524" i="1"/>
  <c r="K524" i="1"/>
  <c r="L526" i="1"/>
  <c r="L527" i="1"/>
  <c r="I540" i="1"/>
  <c r="L528" i="1"/>
  <c r="L529" i="1" s="1"/>
  <c r="F529" i="1"/>
  <c r="G529" i="1"/>
  <c r="H529" i="1"/>
  <c r="I529" i="1"/>
  <c r="J529" i="1"/>
  <c r="J535" i="1" s="1"/>
  <c r="K529" i="1"/>
  <c r="L531" i="1"/>
  <c r="J539" i="1"/>
  <c r="L532" i="1"/>
  <c r="J540" i="1"/>
  <c r="J542" i="1" s="1"/>
  <c r="L533" i="1"/>
  <c r="L534" i="1" s="1"/>
  <c r="F534" i="1"/>
  <c r="G534" i="1"/>
  <c r="H534" i="1"/>
  <c r="I534" i="1"/>
  <c r="J534" i="1"/>
  <c r="K534" i="1"/>
  <c r="G541" i="1"/>
  <c r="L547" i="1"/>
  <c r="L550" i="1"/>
  <c r="L548" i="1"/>
  <c r="L549" i="1"/>
  <c r="F550" i="1"/>
  <c r="F561" i="1" s="1"/>
  <c r="G550" i="1"/>
  <c r="G561" i="1"/>
  <c r="H550" i="1"/>
  <c r="H561" i="1" s="1"/>
  <c r="I550" i="1"/>
  <c r="I561" i="1" s="1"/>
  <c r="J550" i="1"/>
  <c r="J561" i="1" s="1"/>
  <c r="K550" i="1"/>
  <c r="L552" i="1"/>
  <c r="L555" i="1" s="1"/>
  <c r="L561" i="1" s="1"/>
  <c r="L553" i="1"/>
  <c r="L554" i="1"/>
  <c r="F555" i="1"/>
  <c r="G555" i="1"/>
  <c r="H555" i="1"/>
  <c r="I555" i="1"/>
  <c r="J555" i="1"/>
  <c r="K555" i="1"/>
  <c r="L557" i="1"/>
  <c r="L558" i="1"/>
  <c r="L560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I588" i="1"/>
  <c r="J588" i="1"/>
  <c r="H641" i="1"/>
  <c r="K592" i="1"/>
  <c r="K593" i="1"/>
  <c r="K594" i="1"/>
  <c r="H595" i="1"/>
  <c r="I595" i="1"/>
  <c r="J595" i="1"/>
  <c r="L601" i="1"/>
  <c r="L604" i="1" s="1"/>
  <c r="L602" i="1"/>
  <c r="L603" i="1"/>
  <c r="H653" i="1"/>
  <c r="F604" i="1"/>
  <c r="G604" i="1"/>
  <c r="H604" i="1"/>
  <c r="I604" i="1"/>
  <c r="J604" i="1"/>
  <c r="K604" i="1"/>
  <c r="G612" i="1"/>
  <c r="G613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J633" i="1" s="1"/>
  <c r="G634" i="1"/>
  <c r="G639" i="1"/>
  <c r="H640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 s="1"/>
  <c r="F652" i="1"/>
  <c r="G653" i="1"/>
  <c r="I655" i="1"/>
  <c r="I659" i="1"/>
  <c r="I660" i="1"/>
  <c r="B2" i="13"/>
  <c r="F6" i="13"/>
  <c r="G6" i="13"/>
  <c r="G7" i="13"/>
  <c r="F8" i="13"/>
  <c r="G8" i="13"/>
  <c r="C9" i="13"/>
  <c r="C10" i="13"/>
  <c r="C11" i="13"/>
  <c r="F12" i="13"/>
  <c r="G14" i="13"/>
  <c r="F15" i="13"/>
  <c r="G15" i="13"/>
  <c r="F16" i="13"/>
  <c r="G16" i="13"/>
  <c r="F17" i="13"/>
  <c r="G17" i="13"/>
  <c r="F18" i="13"/>
  <c r="D18" i="13" s="1"/>
  <c r="C18" i="13" s="1"/>
  <c r="G18" i="13"/>
  <c r="F19" i="13"/>
  <c r="G19" i="13"/>
  <c r="D19" i="13"/>
  <c r="C19" i="13" s="1"/>
  <c r="F29" i="13"/>
  <c r="G29" i="13"/>
  <c r="D39" i="13"/>
  <c r="A1" i="2"/>
  <c r="A2" i="2"/>
  <c r="C9" i="2"/>
  <c r="D9" i="2"/>
  <c r="E9" i="2"/>
  <c r="F9" i="2"/>
  <c r="C10" i="2"/>
  <c r="C19" i="2" s="1"/>
  <c r="D10" i="2"/>
  <c r="D19" i="2" s="1"/>
  <c r="E10" i="2"/>
  <c r="F10" i="2"/>
  <c r="C11" i="2"/>
  <c r="C12" i="2"/>
  <c r="D12" i="2"/>
  <c r="E12" i="2"/>
  <c r="F12" i="2"/>
  <c r="C13" i="2"/>
  <c r="D13" i="2"/>
  <c r="E13" i="2"/>
  <c r="F13" i="2"/>
  <c r="C14" i="2"/>
  <c r="D14" i="2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D22" i="2"/>
  <c r="D32" i="2" s="1"/>
  <c r="E22" i="2"/>
  <c r="E32" i="2" s="1"/>
  <c r="E23" i="2"/>
  <c r="E24" i="2"/>
  <c r="E25" i="2"/>
  <c r="E28" i="2"/>
  <c r="E29" i="2"/>
  <c r="E30" i="2"/>
  <c r="E31" i="2"/>
  <c r="F22" i="2"/>
  <c r="F23" i="2"/>
  <c r="F24" i="2"/>
  <c r="F25" i="2"/>
  <c r="F26" i="2"/>
  <c r="F27" i="2"/>
  <c r="F28" i="2"/>
  <c r="F29" i="2"/>
  <c r="F30" i="2"/>
  <c r="F31" i="2"/>
  <c r="F32" i="2"/>
  <c r="C23" i="2"/>
  <c r="D23" i="2"/>
  <c r="C24" i="2"/>
  <c r="D24" i="2"/>
  <c r="C25" i="2"/>
  <c r="D25" i="2"/>
  <c r="D28" i="2"/>
  <c r="D29" i="2"/>
  <c r="D30" i="2"/>
  <c r="D31" i="2"/>
  <c r="C26" i="2"/>
  <c r="C32" i="2" s="1"/>
  <c r="C27" i="2"/>
  <c r="C28" i="2"/>
  <c r="C29" i="2"/>
  <c r="C30" i="2"/>
  <c r="C31" i="2"/>
  <c r="C34" i="2"/>
  <c r="D34" i="2"/>
  <c r="D42" i="2" s="1"/>
  <c r="E34" i="2"/>
  <c r="F34" i="2"/>
  <c r="C35" i="2"/>
  <c r="D35" i="2"/>
  <c r="E35" i="2"/>
  <c r="E42" i="2" s="1"/>
  <c r="E43" i="2" s="1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G40" i="2"/>
  <c r="C41" i="2"/>
  <c r="D41" i="2"/>
  <c r="E41" i="2"/>
  <c r="F41" i="2"/>
  <c r="F42" i="2"/>
  <c r="F43" i="2" s="1"/>
  <c r="D48" i="2"/>
  <c r="F48" i="2"/>
  <c r="E50" i="2"/>
  <c r="C51" i="2"/>
  <c r="D51" i="2"/>
  <c r="E51" i="2"/>
  <c r="F51" i="2"/>
  <c r="G51" i="2"/>
  <c r="D52" i="2"/>
  <c r="C53" i="2"/>
  <c r="D53" i="2"/>
  <c r="E53" i="2"/>
  <c r="F53" i="2"/>
  <c r="G53" i="2"/>
  <c r="C58" i="2"/>
  <c r="C59" i="2"/>
  <c r="C60" i="2"/>
  <c r="C61" i="2"/>
  <c r="D61" i="2"/>
  <c r="D62" i="2"/>
  <c r="E61" i="2"/>
  <c r="E62" i="2"/>
  <c r="F61" i="2"/>
  <c r="F62" i="2"/>
  <c r="G61" i="2"/>
  <c r="G62" i="2"/>
  <c r="C64" i="2"/>
  <c r="F64" i="2"/>
  <c r="F70" i="2" s="1"/>
  <c r="F73" i="2" s="1"/>
  <c r="C65" i="2"/>
  <c r="F65" i="2"/>
  <c r="F68" i="2"/>
  <c r="F69" i="2"/>
  <c r="C66" i="2"/>
  <c r="C67" i="2"/>
  <c r="C68" i="2"/>
  <c r="E68" i="2"/>
  <c r="E70" i="2" s="1"/>
  <c r="E73" i="2" s="1"/>
  <c r="C69" i="2"/>
  <c r="D69" i="2"/>
  <c r="D70" i="2" s="1"/>
  <c r="D73" i="2" s="1"/>
  <c r="D71" i="2"/>
  <c r="E69" i="2"/>
  <c r="G69" i="2"/>
  <c r="G70" i="2"/>
  <c r="G73" i="2" s="1"/>
  <c r="C71" i="2"/>
  <c r="E71" i="2"/>
  <c r="C72" i="2"/>
  <c r="E72" i="2"/>
  <c r="C77" i="2"/>
  <c r="C83" i="2" s="1"/>
  <c r="E77" i="2"/>
  <c r="E83" i="2" s="1"/>
  <c r="F77" i="2"/>
  <c r="C79" i="2"/>
  <c r="E79" i="2"/>
  <c r="F79" i="2"/>
  <c r="C80" i="2"/>
  <c r="E80" i="2"/>
  <c r="E81" i="2"/>
  <c r="F80" i="2"/>
  <c r="C81" i="2"/>
  <c r="F81" i="2"/>
  <c r="F83" i="2" s="1"/>
  <c r="C82" i="2"/>
  <c r="C85" i="2"/>
  <c r="F85" i="2"/>
  <c r="C86" i="2"/>
  <c r="F86" i="2"/>
  <c r="F95" i="2" s="1"/>
  <c r="D88" i="2"/>
  <c r="E88" i="2"/>
  <c r="E95" i="2" s="1"/>
  <c r="E89" i="2"/>
  <c r="E90" i="2"/>
  <c r="E91" i="2"/>
  <c r="E92" i="2"/>
  <c r="E93" i="2"/>
  <c r="E94" i="2"/>
  <c r="F88" i="2"/>
  <c r="G88" i="2"/>
  <c r="C89" i="2"/>
  <c r="C95" i="2" s="1"/>
  <c r="D89" i="2"/>
  <c r="D90" i="2"/>
  <c r="D91" i="2"/>
  <c r="D92" i="2"/>
  <c r="D93" i="2"/>
  <c r="D95" i="2" s="1"/>
  <c r="D94" i="2"/>
  <c r="F89" i="2"/>
  <c r="G89" i="2"/>
  <c r="C90" i="2"/>
  <c r="G90" i="2"/>
  <c r="C91" i="2"/>
  <c r="F91" i="2"/>
  <c r="C92" i="2"/>
  <c r="F92" i="2"/>
  <c r="C93" i="2"/>
  <c r="F93" i="2"/>
  <c r="C94" i="2"/>
  <c r="F94" i="2"/>
  <c r="G95" i="2"/>
  <c r="C106" i="2"/>
  <c r="E106" i="2"/>
  <c r="D107" i="2"/>
  <c r="F107" i="2"/>
  <c r="G107" i="2"/>
  <c r="E111" i="2"/>
  <c r="E116" i="2"/>
  <c r="F120" i="2"/>
  <c r="G120" i="2"/>
  <c r="C124" i="2"/>
  <c r="D126" i="2"/>
  <c r="D136" i="2"/>
  <c r="F126" i="2"/>
  <c r="C127" i="2"/>
  <c r="E127" i="2"/>
  <c r="C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B153" i="2"/>
  <c r="C153" i="2"/>
  <c r="D153" i="2"/>
  <c r="F153" i="2"/>
  <c r="B154" i="2"/>
  <c r="C154" i="2"/>
  <c r="D154" i="2"/>
  <c r="E154" i="2"/>
  <c r="G154" i="2" s="1"/>
  <c r="F154" i="2"/>
  <c r="B155" i="2"/>
  <c r="C155" i="2"/>
  <c r="D155" i="2"/>
  <c r="E155" i="2"/>
  <c r="F155" i="2"/>
  <c r="D156" i="2"/>
  <c r="E156" i="2"/>
  <c r="B1" i="12"/>
  <c r="B4" i="12"/>
  <c r="B9" i="12"/>
  <c r="C9" i="12"/>
  <c r="B13" i="12"/>
  <c r="A13" i="12" s="1"/>
  <c r="C13" i="12"/>
  <c r="B18" i="12"/>
  <c r="A22" i="12" s="1"/>
  <c r="C18" i="12"/>
  <c r="B22" i="12"/>
  <c r="C22" i="12"/>
  <c r="B27" i="12"/>
  <c r="A31" i="12" s="1"/>
  <c r="C27" i="12"/>
  <c r="B31" i="12"/>
  <c r="C31" i="12"/>
  <c r="C36" i="12"/>
  <c r="B40" i="12"/>
  <c r="C40" i="12"/>
  <c r="J541" i="1"/>
  <c r="F541" i="1"/>
  <c r="J23" i="1"/>
  <c r="L189" i="1"/>
  <c r="C101" i="2" s="1"/>
  <c r="J37" i="1"/>
  <c r="G36" i="2" s="1"/>
  <c r="C25" i="10"/>
  <c r="L190" i="1"/>
  <c r="C11" i="10" s="1"/>
  <c r="G614" i="1"/>
  <c r="I539" i="1"/>
  <c r="C24" i="10"/>
  <c r="G22" i="2"/>
  <c r="G32" i="2" s="1"/>
  <c r="L514" i="1"/>
  <c r="G535" i="1"/>
  <c r="F132" i="1"/>
  <c r="G44" i="1"/>
  <c r="H608" i="1" s="1"/>
  <c r="E123" i="2"/>
  <c r="F19" i="2"/>
  <c r="L226" i="1"/>
  <c r="C102" i="2" s="1"/>
  <c r="H239" i="1"/>
  <c r="I360" i="1"/>
  <c r="L196" i="1"/>
  <c r="I184" i="1"/>
  <c r="K561" i="1"/>
  <c r="G155" i="2"/>
  <c r="D54" i="2"/>
  <c r="D55" i="2" s="1"/>
  <c r="C70" i="2"/>
  <c r="C73" i="2" s="1"/>
  <c r="G54" i="2"/>
  <c r="G55" i="2" s="1"/>
  <c r="C42" i="2"/>
  <c r="C43" i="2" s="1"/>
  <c r="E19" i="2"/>
  <c r="H426" i="1"/>
  <c r="E112" i="2"/>
  <c r="J104" i="1"/>
  <c r="G48" i="2"/>
  <c r="K595" i="1"/>
  <c r="G638" i="1" s="1"/>
  <c r="F54" i="2"/>
  <c r="F55" i="2" s="1"/>
  <c r="F96" i="2" s="1"/>
  <c r="F451" i="1"/>
  <c r="H629" i="1" s="1"/>
  <c r="C32" i="10"/>
  <c r="C123" i="2"/>
  <c r="J184" i="1"/>
  <c r="G635" i="1"/>
  <c r="J635" i="1" s="1"/>
  <c r="C62" i="2"/>
  <c r="E8" i="13"/>
  <c r="C8" i="13" s="1"/>
  <c r="C6" i="10"/>
  <c r="H588" i="1"/>
  <c r="H639" i="1" s="1"/>
  <c r="J639" i="1" s="1"/>
  <c r="K582" i="1"/>
  <c r="K588" i="1"/>
  <c r="G637" i="1" s="1"/>
  <c r="J612" i="1" l="1"/>
  <c r="F542" i="1"/>
  <c r="K540" i="1"/>
  <c r="F651" i="1"/>
  <c r="I651" i="1" s="1"/>
  <c r="D119" i="2"/>
  <c r="D120" i="2" s="1"/>
  <c r="D137" i="2" s="1"/>
  <c r="D29" i="13"/>
  <c r="C29" i="13" s="1"/>
  <c r="L354" i="1"/>
  <c r="G651" i="1"/>
  <c r="H651" i="1"/>
  <c r="E107" i="2"/>
  <c r="J609" i="1"/>
  <c r="J185" i="1"/>
  <c r="J614" i="1"/>
  <c r="D43" i="2"/>
  <c r="J19" i="1"/>
  <c r="G611" i="1" s="1"/>
  <c r="G9" i="2"/>
  <c r="G19" i="2" s="1"/>
  <c r="J608" i="1"/>
  <c r="J607" i="1"/>
  <c r="L535" i="1"/>
  <c r="F33" i="13"/>
  <c r="L400" i="1"/>
  <c r="C130" i="2"/>
  <c r="C133" i="2" s="1"/>
  <c r="D14" i="13"/>
  <c r="C14" i="13" s="1"/>
  <c r="C115" i="2"/>
  <c r="C20" i="10"/>
  <c r="D12" i="13"/>
  <c r="C12" i="13" s="1"/>
  <c r="C113" i="2"/>
  <c r="C18" i="10"/>
  <c r="G153" i="2"/>
  <c r="G96" i="2"/>
  <c r="J33" i="1"/>
  <c r="I451" i="1"/>
  <c r="H632" i="1" s="1"/>
  <c r="D31" i="13"/>
  <c r="C31" i="13" s="1"/>
  <c r="L330" i="1"/>
  <c r="L344" i="1" s="1"/>
  <c r="G623" i="1" s="1"/>
  <c r="J623" i="1" s="1"/>
  <c r="C122" i="2"/>
  <c r="F22" i="13"/>
  <c r="C22" i="13" s="1"/>
  <c r="C29" i="10"/>
  <c r="G650" i="1"/>
  <c r="D7" i="13"/>
  <c r="C7" i="13" s="1"/>
  <c r="C111" i="2"/>
  <c r="C16" i="10"/>
  <c r="C54" i="2"/>
  <c r="C55" i="2" s="1"/>
  <c r="C96" i="2" s="1"/>
  <c r="G39" i="2"/>
  <c r="G42" i="2" s="1"/>
  <c r="G43" i="2" s="1"/>
  <c r="J43" i="1"/>
  <c r="J631" i="1"/>
  <c r="G185" i="1"/>
  <c r="G618" i="1" s="1"/>
  <c r="J618" i="1" s="1"/>
  <c r="C38" i="10"/>
  <c r="D96" i="2"/>
  <c r="H33" i="13"/>
  <c r="C25" i="13"/>
  <c r="C114" i="2"/>
  <c r="E13" i="13"/>
  <c r="C13" i="13" s="1"/>
  <c r="C19" i="10"/>
  <c r="I652" i="1"/>
  <c r="F104" i="1"/>
  <c r="F185" i="1" s="1"/>
  <c r="G617" i="1" s="1"/>
  <c r="J617" i="1" s="1"/>
  <c r="C35" i="10"/>
  <c r="C117" i="2"/>
  <c r="F354" i="1"/>
  <c r="C10" i="10"/>
  <c r="L194" i="1"/>
  <c r="K490" i="1"/>
  <c r="C103" i="2"/>
  <c r="L192" i="1"/>
  <c r="E16" i="13"/>
  <c r="C16" i="13" s="1"/>
  <c r="G615" i="1"/>
  <c r="J615" i="1" s="1"/>
  <c r="F653" i="1"/>
  <c r="I653" i="1" s="1"/>
  <c r="H652" i="1"/>
  <c r="L343" i="1"/>
  <c r="E134" i="2"/>
  <c r="E136" i="2" s="1"/>
  <c r="H637" i="1"/>
  <c r="J637" i="1" s="1"/>
  <c r="I541" i="1"/>
  <c r="I542" i="1" s="1"/>
  <c r="C156" i="2"/>
  <c r="G156" i="2" s="1"/>
  <c r="C116" i="2"/>
  <c r="H104" i="1"/>
  <c r="H185" i="1" s="1"/>
  <c r="G619" i="1" s="1"/>
  <c r="J619" i="1" s="1"/>
  <c r="L239" i="1"/>
  <c r="H650" i="1" s="1"/>
  <c r="C21" i="10"/>
  <c r="J203" i="1"/>
  <c r="J249" i="1" s="1"/>
  <c r="C105" i="2"/>
  <c r="H203" i="1"/>
  <c r="D15" i="13"/>
  <c r="C15" i="13" s="1"/>
  <c r="G640" i="1"/>
  <c r="J640" i="1" s="1"/>
  <c r="H248" i="1"/>
  <c r="L248" i="1" s="1"/>
  <c r="I438" i="1"/>
  <c r="G632" i="1" s="1"/>
  <c r="J632" i="1" s="1"/>
  <c r="F203" i="1"/>
  <c r="F249" i="1" s="1"/>
  <c r="F263" i="1" s="1"/>
  <c r="G5" i="13"/>
  <c r="G33" i="13" s="1"/>
  <c r="J263" i="1" l="1"/>
  <c r="H638" i="1"/>
  <c r="J638" i="1" s="1"/>
  <c r="G616" i="1"/>
  <c r="J616" i="1" s="1"/>
  <c r="J44" i="1"/>
  <c r="H611" i="1" s="1"/>
  <c r="H636" i="1"/>
  <c r="G627" i="1"/>
  <c r="J627" i="1" s="1"/>
  <c r="G625" i="1"/>
  <c r="J625" i="1" s="1"/>
  <c r="C27" i="10"/>
  <c r="D5" i="13"/>
  <c r="H654" i="1"/>
  <c r="L203" i="1"/>
  <c r="C13" i="10"/>
  <c r="C28" i="10" s="1"/>
  <c r="C104" i="2"/>
  <c r="C107" i="2" s="1"/>
  <c r="C137" i="2" s="1"/>
  <c r="K541" i="1"/>
  <c r="K542" i="1" s="1"/>
  <c r="J611" i="1"/>
  <c r="D6" i="13"/>
  <c r="C6" i="13" s="1"/>
  <c r="C110" i="2"/>
  <c r="C120" i="2" s="1"/>
  <c r="C15" i="10"/>
  <c r="E33" i="13"/>
  <c r="D35" i="13" s="1"/>
  <c r="G654" i="1"/>
  <c r="E137" i="2"/>
  <c r="G636" i="1"/>
  <c r="G621" i="1"/>
  <c r="J621" i="1" s="1"/>
  <c r="H249" i="1"/>
  <c r="H263" i="1" s="1"/>
  <c r="C36" i="10"/>
  <c r="C136" i="2"/>
  <c r="D25" i="10" l="1"/>
  <c r="C30" i="10"/>
  <c r="D22" i="10"/>
  <c r="D23" i="10"/>
  <c r="D26" i="10"/>
  <c r="D24" i="10"/>
  <c r="D17" i="10"/>
  <c r="D12" i="10"/>
  <c r="D11" i="10"/>
  <c r="D20" i="10"/>
  <c r="D19" i="10"/>
  <c r="D18" i="10"/>
  <c r="D10" i="10"/>
  <c r="D21" i="10"/>
  <c r="D16" i="10"/>
  <c r="D36" i="10"/>
  <c r="D15" i="10"/>
  <c r="D27" i="10"/>
  <c r="J636" i="1"/>
  <c r="D33" i="13"/>
  <c r="D36" i="13" s="1"/>
  <c r="C5" i="13"/>
  <c r="F650" i="1"/>
  <c r="L249" i="1"/>
  <c r="L263" i="1" s="1"/>
  <c r="G622" i="1" s="1"/>
  <c r="J622" i="1" s="1"/>
  <c r="D13" i="10"/>
  <c r="C41" i="10"/>
  <c r="G662" i="1"/>
  <c r="G657" i="1"/>
  <c r="H657" i="1"/>
  <c r="H662" i="1"/>
  <c r="F654" i="1" l="1"/>
  <c r="I650" i="1"/>
  <c r="I654" i="1" s="1"/>
  <c r="H646" i="1"/>
  <c r="D37" i="10"/>
  <c r="D40" i="10"/>
  <c r="D39" i="10"/>
  <c r="D38" i="10"/>
  <c r="D35" i="10"/>
  <c r="D41" i="10" s="1"/>
  <c r="D28" i="10"/>
  <c r="I657" i="1" l="1"/>
  <c r="I662" i="1"/>
  <c r="C7" i="10" s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FB9EE0A-A9D5-4E45-9D48-A7636F53DA1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E666CB7-45BB-4D03-8B04-104189A6894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9D47755-749B-4AFC-B665-B04D7EEF95F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AFFCA28-D938-4919-957C-1E304F9BC21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112D4BB-5485-4442-82E6-50EE94FCA3E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19A14C8-5E7F-4F62-99C9-23742A7C065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57CCF04-7B1D-47ED-9472-9514CF93555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9279EDF-5C55-4247-88CF-EA58AE64D39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5F489DD-1A06-45D5-9984-8860C34ABA4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0AAAA76-5A1D-42B5-9F3C-8F733D77852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AE2653A-09AE-4C1C-BC70-98FA11B7B7F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84E54CD-AD1B-4C23-915A-D035C8B0CC0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<sst xmlns="http://schemas.openxmlformats.org/spreadsheetml/2006/main" count="3863" uniqueCount="900">
  <si>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</si>
  <si>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</si>
  <si>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</si>
  <si>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</si>
  <si>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</si>
  <si>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</si>
  <si>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</si>
  <si>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</si>
  <si>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</si>
  <si>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</si>
  <si>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</si>
  <si>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</si>
  <si>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</si>
  <si>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</si>
  <si>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</si>
  <si>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</si>
  <si>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</si>
  <si>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</si>
  <si>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</si>
  <si>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</si>
  <si>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</si>
  <si>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</si>
  <si>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</si>
  <si>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</si>
  <si>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</si>
  <si>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</si>
  <si>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</si>
  <si>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</si>
  <si>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</si>
  <si>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</si>
  <si>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</si>
  <si>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</si>
  <si>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</si>
  <si>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</si>
  <si>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</si>
  <si>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</si>
  <si>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</si>
  <si>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</si>
  <si>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</si>
  <si>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</si>
  <si>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</si>
  <si>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</si>
  <si>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</si>
  <si>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</si>
  <si>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</si>
  <si>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</si>
  <si>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</si>
  <si>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</si>
  <si>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</si>
  <si>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</si>
  <si>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</si>
  <si>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</si>
  <si>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</si>
  <si>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</si>
  <si>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</si>
  <si>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</si>
  <si>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</si>
  <si>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</si>
  <si>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</si>
  <si>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</si>
  <si>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</si>
  <si>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</si>
  <si>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</si>
  <si>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</si>
  <si>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</si>
  <si>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</si>
  <si>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</si>
  <si>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</si>
  <si>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</si>
  <si>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</si>
  <si>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</si>
  <si>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</si>
  <si>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</si>
  <si>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</si>
  <si>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</si>
  <si>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</si>
  <si>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</si>
  <si>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</si>
  <si>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</si>
  <si>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</si>
  <si>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</si>
  <si>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</si>
  <si>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</si>
  <si>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</si>
  <si>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</si>
  <si>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</si>
  <si>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</si>
  <si>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</si>
  <si>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</si>
  <si>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</si>
  <si>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</si>
  <si>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</si>
  <si>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</si>
  <si>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</si>
  <si>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</si>
  <si>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</si>
  <si>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</si>
  <si>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</si>
  <si>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</si>
  <si>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</si>
  <si>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</si>
  <si>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</si>
  <si>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</si>
  <si>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</si>
  <si>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</si>
  <si>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</si>
  <si>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</si>
  <si>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</si>
  <si>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</si>
  <si>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</si>
  <si>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</si>
  <si>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</si>
  <si>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</si>
  <si>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</si>
  <si>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</si>
  <si>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</si>
  <si>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</si>
  <si>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</si>
  <si>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</si>
  <si>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</si>
  <si>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</si>
  <si>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</si>
  <si>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</si>
  <si>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</si>
  <si>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</si>
  <si>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</si>
  <si>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</si>
  <si>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</si>
  <si>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</si>
  <si>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</si>
  <si>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</si>
  <si>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</si>
  <si>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</si>
  <si>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</si>
  <si>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</si>
  <si>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</si>
  <si>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</si>
  <si>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</si>
  <si>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</si>
  <si>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</si>
  <si>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</si>
  <si>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</si>
  <si>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</si>
  <si>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</si>
  <si>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</si>
  <si>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</si>
  <si>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</si>
  <si>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</si>
  <si>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</si>
  <si>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</si>
  <si>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</si>
  <si>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</si>
  <si>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</si>
  <si>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</si>
  <si>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</si>
  <si>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</si>
  <si>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</si>
  <si>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</si>
  <si>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</si>
  <si>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</si>
  <si>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</si>
  <si>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</si>
  <si>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</si>
  <si>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</si>
  <si>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</si>
  <si>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</si>
  <si>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</si>
  <si>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</si>
  <si>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</si>
  <si>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</si>
  <si>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</si>
  <si>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</si>
  <si>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</si>
  <si>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</si>
  <si>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</si>
  <si>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</si>
  <si>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</si>
  <si>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</si>
  <si>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</si>
  <si>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</si>
  <si>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</si>
  <si>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</si>
  <si>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</si>
  <si>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</si>
  <si>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</si>
  <si>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</si>
  <si>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</si>
  <si>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</si>
  <si>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</si>
  <si>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</si>
  <si>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</si>
  <si>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</si>
  <si>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</si>
  <si>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</si>
  <si>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</si>
  <si>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</si>
  <si>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</si>
  <si>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</si>
  <si>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</si>
  <si>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</si>
  <si>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</si>
  <si>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</si>
  <si>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</si>
  <si>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</si>
  <si>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</si>
  <si>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</si>
  <si>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</si>
  <si>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</si>
  <si>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</si>
  <si>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</si>
  <si>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</si>
  <si>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</si>
  <si>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</si>
  <si>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</si>
  <si>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</si>
  <si>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</si>
  <si>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</si>
  <si>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</si>
  <si>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</si>
  <si>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</si>
  <si>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</si>
  <si>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</si>
  <si>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</si>
  <si>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</si>
  <si>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</si>
  <si>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</si>
  <si>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</si>
  <si>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</si>
  <si>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</si>
  <si>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</si>
  <si>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</si>
  <si>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</si>
  <si>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</si>
  <si>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</si>
  <si>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</si>
  <si>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</si>
  <si>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</si>
  <si>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</si>
  <si>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</si>
  <si>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</si>
  <si>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</si>
  <si>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</si>
  <si>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</si>
  <si>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</si>
  <si>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</si>
  <si>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</si>
  <si>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</si>
  <si>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</si>
  <si>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</si>
  <si>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</si>
  <si>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</si>
  <si>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</si>
  <si>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</si>
  <si>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</si>
  <si>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</si>
  <si>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</si>
  <si>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</si>
  <si>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</si>
  <si>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</si>
  <si>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</si>
  <si>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</si>
  <si>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</si>
  <si>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</si>
  <si>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</si>
  <si>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</si>
  <si>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</si>
  <si>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</si>
  <si>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</si>
  <si>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</si>
  <si>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</si>
  <si>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</si>
  <si>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</si>
  <si>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</si>
  <si>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</si>
  <si>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</si>
  <si>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</si>
  <si>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</si>
  <si>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</si>
  <si>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</si>
  <si>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</si>
  <si>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</si>
  <si>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</si>
  <si>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</si>
  <si>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</si>
  <si>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</si>
  <si>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</si>
  <si>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</si>
  <si>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</si>
  <si>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</si>
  <si>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</si>
  <si>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</si>
  <si>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</si>
  <si>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</si>
  <si>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</si>
  <si>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</si>
  <si>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</si>
  <si>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</si>
  <si>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</si>
  <si>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</si>
  <si>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</si>
  <si>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</si>
  <si>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</si>
  <si>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</si>
  <si>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</si>
  <si>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</si>
  <si>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</si>
  <si>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</si>
  <si>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</si>
  <si>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</si>
  <si>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</si>
  <si>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</si>
  <si>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</si>
  <si>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</si>
  <si>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</si>
  <si>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</si>
  <si>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</si>
  <si>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</si>
  <si>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</si>
  <si>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</si>
  <si>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</si>
  <si>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</si>
  <si>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</si>
  <si>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</si>
  <si>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</si>
  <si>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</si>
  <si>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</si>
  <si>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</si>
  <si>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</si>
  <si>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</si>
  <si>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</si>
  <si>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</si>
  <si>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</si>
  <si>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</si>
  <si>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</si>
  <si>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</si>
  <si>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</si>
  <si>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</si>
  <si>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</si>
  <si>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</si>
  <si>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</si>
  <si>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</si>
  <si>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</si>
  <si>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</si>
  <si>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</si>
  <si>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</si>
  <si>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</si>
  <si>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</si>
  <si>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</si>
  <si>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</si>
  <si>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</si>
  <si>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</si>
  <si>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</si>
  <si>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</si>
  <si>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</si>
  <si>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</si>
  <si>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</si>
  <si>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</si>
  <si>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</si>
  <si>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</si>
  <si>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</si>
  <si>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</si>
  <si>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</si>
  <si>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</si>
  <si>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</si>
  <si>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</si>
  <si>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</si>
  <si>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</si>
  <si>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</si>
  <si>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</si>
  <si>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</si>
  <si>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</si>
  <si>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</si>
  <si>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</si>
  <si>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</si>
  <si>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</si>
  <si>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</si>
  <si>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</si>
  <si>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</si>
  <si>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</si>
  <si>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</si>
  <si>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</si>
  <si>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</si>
  <si>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</si>
  <si>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</si>
  <si>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</si>
  <si>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</si>
  <si>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</si>
  <si>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</si>
  <si>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</si>
  <si>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</si>
  <si>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</si>
  <si>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</si>
  <si>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</si>
  <si>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</si>
  <si>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</si>
  <si>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</si>
  <si>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</si>
  <si>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</si>
  <si>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</si>
  <si>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</si>
  <si>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</si>
  <si>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</si>
  <si>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</si>
  <si>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</si>
  <si>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</si>
  <si>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</si>
  <si>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</si>
  <si>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</si>
  <si>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</si>
  <si>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</si>
  <si>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</si>
  <si>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</si>
  <si>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</si>
  <si>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</si>
  <si>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</si>
  <si>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</si>
  <si>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</si>
  <si>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</si>
  <si>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</si>
  <si>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</si>
  <si>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</si>
  <si>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</si>
  <si>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</si>
  <si>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</si>
  <si>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</si>
  <si>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</si>
  <si>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</si>
  <si>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</si>
  <si>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</si>
  <si>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</si>
  <si>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</si>
  <si>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</si>
  <si>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</si>
  <si>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</si>
  <si>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</si>
  <si>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</si>
  <si>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</si>
  <si>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</si>
  <si>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</si>
  <si>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</si>
  <si>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</si>
  <si>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</si>
  <si>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</si>
  <si>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</si>
  <si>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</si>
  <si>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</si>
  <si>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</si>
  <si>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</si>
  <si>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</si>
  <si>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</si>
  <si>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</si>
  <si>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</si>
  <si>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</si>
  <si>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</si>
  <si>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</si>
  <si>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</si>
  <si>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</si>
  <si>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</si>
  <si>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</si>
  <si>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</si>
  <si>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</si>
  <si>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</si>
  <si>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</si>
  <si>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</si>
  <si>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</si>
  <si>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</si>
  <si>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</si>
  <si>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</si>
  <si>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</si>
  <si>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</si>
  <si>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</si>
  <si>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</si>
  <si>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</si>
  <si>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</si>
  <si>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</si>
  <si>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</si>
  <si>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</si>
  <si>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</si>
  <si>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</si>
  <si>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</si>
  <si>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</si>
  <si>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</si>
  <si>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</si>
  <si>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</si>
  <si>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</si>
  <si>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</si>
  <si>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</si>
  <si>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</si>
  <si>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</si>
  <si>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</si>
  <si>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</si>
  <si>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</si>
  <si>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</si>
  <si>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</si>
  <si>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</si>
  <si>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</si>
  <si>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</si>
  <si>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</si>
  <si>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</si>
  <si>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</si>
  <si>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</si>
  <si>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</si>
  <si>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</si>
  <si>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</si>
  <si>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</si>
  <si>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</si>
  <si>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</si>
  <si>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</si>
  <si>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</si>
  <si>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</si>
  <si>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</si>
  <si>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</si>
  <si>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</si>
  <si>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</si>
  <si>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</si>
  <si>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</si>
  <si>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</si>
  <si>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</si>
  <si>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</si>
  <si>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</si>
  <si>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</si>
  <si>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</si>
  <si>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</si>
  <si>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</si>
  <si>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</si>
  <si>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</si>
  <si>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</si>
  <si>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</si>
  <si>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</si>
  <si>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</si>
  <si>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</si>
  <si>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</si>
  <si>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</si>
  <si>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</si>
  <si>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</si>
  <si>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</si>
  <si>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</si>
  <si>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</si>
  <si>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</si>
  <si>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</si>
  <si>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</si>
  <si>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</si>
  <si>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</si>
  <si>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</si>
  <si>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</si>
  <si>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</si>
  <si>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</si>
  <si>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</si>
  <si>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</si>
  <si>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</si>
  <si>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</si>
  <si>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</si>
  <si>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</si>
  <si>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</si>
  <si>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</si>
  <si>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</si>
  <si>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</si>
  <si>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</si>
  <si>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</si>
  <si>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</si>
  <si>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</si>
  <si>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</si>
  <si>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</si>
  <si>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</si>
  <si>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</si>
  <si>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</si>
  <si>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</si>
  <si>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</si>
  <si>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</si>
  <si>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</si>
  <si>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</si>
  <si>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</si>
  <si>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</si>
  <si>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</si>
  <si>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</si>
  <si>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</si>
  <si>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</si>
  <si>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</si>
  <si>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</si>
  <si>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</si>
  <si>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</si>
  <si>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</si>
  <si>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</si>
  <si>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</si>
  <si>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</si>
  <si>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</si>
  <si>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</si>
  <si>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</si>
  <si>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</si>
  <si>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</si>
  <si>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</si>
  <si>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</si>
  <si>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</si>
  <si>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</si>
  <si>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</si>
  <si>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</si>
  <si>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</si>
  <si>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</si>
  <si>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</si>
  <si>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</si>
  <si>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</si>
  <si>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</si>
  <si>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</si>
  <si>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</si>
  <si>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</si>
  <si>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</si>
  <si>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</si>
  <si>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</si>
  <si>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</si>
  <si>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</si>
  <si>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</si>
  <si>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</si>
  <si>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</si>
  <si>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</si>
  <si>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</si>
  <si>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</si>
  <si>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</si>
  <si>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</si>
  <si>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</si>
  <si>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</si>
  <si>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</si>
  <si>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</si>
  <si>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</si>
  <si>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</si>
  <si>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</si>
  <si>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</si>
  <si>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</si>
  <si>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</si>
  <si>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</si>
  <si>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</si>
  <si>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</si>
  <si>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</si>
  <si>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</si>
  <si>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</si>
  <si>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</si>
  <si>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</si>
  <si>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</si>
  <si>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</si>
  <si>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</si>
  <si>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</si>
  <si>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</si>
  <si>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</si>
  <si>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</si>
  <si>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</si>
  <si>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</si>
  <si>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</si>
  <si>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</si>
  <si>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</si>
  <si>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</si>
  <si>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</si>
  <si>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</si>
  <si>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</si>
  <si>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</si>
  <si>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</si>
  <si>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</si>
  <si>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</si>
  <si>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</si>
  <si>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</si>
  <si>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</si>
  <si>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</si>
  <si>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</si>
  <si>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</si>
  <si>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</si>
  <si>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</si>
  <si>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</si>
  <si>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</si>
  <si>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</si>
  <si>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</si>
  <si>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</si>
  <si>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</si>
  <si>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</si>
  <si>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</si>
  <si>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</si>
  <si>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</si>
  <si>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</si>
  <si>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</si>
  <si>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</si>
  <si>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</si>
  <si>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</si>
  <si>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</si>
  <si>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</si>
  <si>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</si>
  <si>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</si>
  <si>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</si>
  <si>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</si>
  <si>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</si>
  <si>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</si>
  <si>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</si>
  <si>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</si>
  <si>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</si>
  <si>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</si>
  <si>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</si>
  <si>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</si>
  <si>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</si>
  <si>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</si>
  <si>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</si>
  <si>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</si>
  <si>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</si>
  <si>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</si>
  <si>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</si>
  <si>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</si>
  <si>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</si>
  <si>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</si>
  <si>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</si>
  <si>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</si>
  <si>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</si>
  <si>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</si>
  <si>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</si>
  <si>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</si>
  <si>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</si>
  <si>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</si>
  <si>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</si>
  <si>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</si>
  <si>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</si>
  <si>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</si>
  <si>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</si>
  <si>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</si>
  <si>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</si>
  <si>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</si>
  <si>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</si>
  <si>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</si>
  <si>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</si>
  <si>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</si>
  <si>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</si>
  <si>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</si>
  <si>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</si>
  <si>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</si>
  <si>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</si>
  <si>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</si>
  <si>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</si>
  <si>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</si>
  <si>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</si>
  <si>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</si>
  <si>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</si>
  <si>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</si>
  <si>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</si>
  <si>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</si>
  <si>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</si>
  <si>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</si>
  <si>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</si>
  <si>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</si>
  <si>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</si>
  <si>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</si>
  <si>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</si>
  <si>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</si>
  <si>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</si>
  <si>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</si>
  <si>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</si>
  <si>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</si>
  <si>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</si>
  <si>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</si>
  <si>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</si>
  <si>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</si>
  <si>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</si>
  <si>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</si>
  <si>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</si>
  <si>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</si>
  <si>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</si>
  <si>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</si>
  <si>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</si>
  <si>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</si>
  <si>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</si>
  <si>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</si>
  <si>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</si>
  <si>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</si>
  <si>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</si>
  <si>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</si>
  <si>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</si>
  <si>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</si>
  <si>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</si>
  <si>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</si>
  <si>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</si>
  <si>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</si>
  <si>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</si>
  <si>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</si>
  <si>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</si>
  <si>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</si>
  <si>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</si>
  <si>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</si>
  <si>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</si>
  <si>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</si>
  <si>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</si>
  <si>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</si>
  <si>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</si>
  <si>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</si>
  <si>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</si>
  <si>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</si>
  <si>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</si>
  <si>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</si>
  <si>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</si>
  <si>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</si>
  <si>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</si>
  <si>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</si>
  <si>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</si>
  <si>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</si>
  <si>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</si>
  <si>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</si>
  <si>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</si>
  <si>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</si>
  <si>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</si>
  <si>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</si>
  <si>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</si>
  <si>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</si>
  <si>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</si>
  <si>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</si>
  <si>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</si>
  <si>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</si>
  <si>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</si>
  <si>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</si>
  <si>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</si>
  <si>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</si>
  <si>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</si>
  <si>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</si>
  <si>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</si>
  <si>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</si>
  <si>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</si>
  <si>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</si>
  <si>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</si>
  <si>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</si>
  <si>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</si>
  <si>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</si>
  <si>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</si>
  <si>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</si>
  <si>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</si>
  <si>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</si>
  <si>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</si>
  <si>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</si>
  <si>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</si>
  <si>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</si>
  <si>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</si>
  <si>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</si>
  <si>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</si>
  <si>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</si>
  <si>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</si>
  <si>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</si>
  <si>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</si>
  <si>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</si>
  <si>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</si>
  <si>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</si>
  <si>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</si>
  <si>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</si>
  <si>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</si>
  <si>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</si>
  <si>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</si>
  <si>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</si>
  <si>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</si>
  <si>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</si>
  <si>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</si>
  <si>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</si>
  <si>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</si>
  <si>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</si>
  <si>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</si>
  <si>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</si>
  <si>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</si>
  <si>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</si>
  <si>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</si>
  <si>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</si>
  <si>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</si>
  <si>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</si>
  <si>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</si>
  <si>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</si>
  <si>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</si>
  <si>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</si>
  <si>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</si>
  <si>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</si>
  <si>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</si>
  <si>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</si>
  <si>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</si>
  <si>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</si>
  <si>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</si>
  <si>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</si>
  <si>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</si>
  <si>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</si>
  <si>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</si>
  <si>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</si>
  <si>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</si>
  <si>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</si>
  <si>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</si>
  <si>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</si>
  <si>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</si>
  <si>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</si>
  <si>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</si>
  <si>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</si>
  <si>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</si>
  <si>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</si>
  <si>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</si>
  <si>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</si>
  <si>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</si>
  <si>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</si>
  <si>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</si>
  <si>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</si>
  <si>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</si>
  <si>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</si>
  <si>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</si>
  <si>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NOTTINGHAM SCHOOL DISTRICT</t>
  </si>
  <si>
    <t xml:space="preserve">Dover High School is the school of record for Nottingham school district grade 9-12 students.  Parents are given an option </t>
  </si>
  <si>
    <t>to send their child to Coe Brown Northwood Academy.  With this options comes the obligation for the parent to pay the</t>
  </si>
  <si>
    <t>tuition rate differential between Dover High School and CBNA.  Up until FY2011, the tuition paid by parents for their child to</t>
  </si>
  <si>
    <t>attend CBNA was offset against the tuition expense paid to CBNA by the district.  Last year, the accounting for CBNA</t>
  </si>
  <si>
    <t>parent paid tuition was changed  to recongnize the revenue and set up the parent obligation as a receivable.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</si>
</sst>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DBE8-27B9-479B-811F-2EEEDEA57DF1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413</v>
      </c>
      <c r="C2" s="21">
        <v>413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413585.07</v>
      </c>
      <c r="G9" s="18"/>
      <c r="H9" s="18"/>
      <c r="I9" s="18"/>
      <c r="J9" s="67">
        <f>SUM(I431)</f>
        <v>89283.22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9451.69</v>
      </c>
      <c r="G13" s="18">
        <v>5367.83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77903.83</v>
      </c>
      <c r="G14" s="18">
        <v>5120.87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917.74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500940.59</v>
      </c>
      <c r="G19" s="41">
        <f>SUM(G9:G18)</f>
        <v>11406.44</v>
      </c>
      <c r="H19" s="41">
        <f>SUM(H9:H18)</f>
        <v>0</v>
      </c>
      <c r="I19" s="41">
        <f>SUM(I9:I18)</f>
        <v>0</v>
      </c>
      <c r="J19" s="41">
        <f>SUM(J9:J18)</f>
        <v>89283.22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>
        <v>7218.44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63159.27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63159.27</v>
      </c>
      <c r="G33" s="41">
        <f>SUM(G23:G32)</f>
        <v>7218.44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4188</v>
      </c>
      <c r="H41" s="18"/>
      <c r="I41" s="18"/>
      <c r="J41" s="13">
        <f>SUM(I449)</f>
        <v>89283.22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437781.32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437781.32</v>
      </c>
      <c r="G43" s="41">
        <f>SUM(G35:G42)</f>
        <v>4188</v>
      </c>
      <c r="H43" s="41">
        <f>SUM(H35:H42)</f>
        <v>0</v>
      </c>
      <c r="I43" s="41">
        <f>SUM(I35:I42)</f>
        <v>0</v>
      </c>
      <c r="J43" s="41">
        <f>SUM(J35:J42)</f>
        <v>89283.22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500940.59</v>
      </c>
      <c r="G44" s="41">
        <f>G43+G33</f>
        <v>11406.439999999999</v>
      </c>
      <c r="H44" s="41">
        <f>H43+H33</f>
        <v>0</v>
      </c>
      <c r="I44" s="41">
        <f>I43+I33</f>
        <v>0</v>
      </c>
      <c r="J44" s="41">
        <f>J43+J33</f>
        <v>89283.22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6711662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6711662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157419.32999999999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157419.32999999999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185.17</v>
      </c>
      <c r="G88" s="18"/>
      <c r="H88" s="18"/>
      <c r="I88" s="18"/>
      <c r="J88" s="18">
        <v>196.22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107514.67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712.5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897.67</v>
      </c>
      <c r="G103" s="41">
        <f>SUM(G88:G102)</f>
        <v>107514.67</v>
      </c>
      <c r="H103" s="41">
        <f>SUM(H88:H102)</f>
        <v>0</v>
      </c>
      <c r="I103" s="41">
        <f>SUM(I88:I102)</f>
        <v>0</v>
      </c>
      <c r="J103" s="41">
        <f>SUM(J88:J102)</f>
        <v>196.22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6869979</v>
      </c>
      <c r="G104" s="41">
        <f>G52+G103</f>
        <v>107514.67</v>
      </c>
      <c r="H104" s="41">
        <f>H52+H71+H86+H103</f>
        <v>0</v>
      </c>
      <c r="I104" s="41">
        <f>I52+I103</f>
        <v>0</v>
      </c>
      <c r="J104" s="41">
        <f>J52+J103</f>
        <v>196.22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1126854.31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1307958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40870.69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4157.4399999999996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2479840.44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1880.29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101060.8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2330.04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102941.09</v>
      </c>
      <c r="G128" s="41">
        <f>SUM(G115:G127)</f>
        <v>2330.04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2582781.5299999998</v>
      </c>
      <c r="G132" s="41">
        <f>G113+SUM(G128:G129)</f>
        <v>2330.04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46380.14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18471.689999999999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18471.689999999999</v>
      </c>
      <c r="G154" s="41">
        <f>SUM(G142:G153)</f>
        <v>46380.14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18471.689999999999</v>
      </c>
      <c r="G161" s="41">
        <f>G139+G154+SUM(G155:G160)</f>
        <v>46380.14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6000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9477232.2199999988</v>
      </c>
      <c r="G185" s="47">
        <f>G104+G132+G161+G184</f>
        <v>156224.84999999998</v>
      </c>
      <c r="H185" s="47">
        <f>H104+H132+H161+H184</f>
        <v>0</v>
      </c>
      <c r="I185" s="47">
        <f>I104+I132+I161+I184</f>
        <v>0</v>
      </c>
      <c r="J185" s="47">
        <f>J104+J132+J184</f>
        <v>196.22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1765217.91</v>
      </c>
      <c r="G189" s="18">
        <v>671528.1</v>
      </c>
      <c r="H189" s="18">
        <f>221+293.1+21317.85</f>
        <v>21831.949999999997</v>
      </c>
      <c r="I189" s="18">
        <v>85675.73</v>
      </c>
      <c r="J189" s="18"/>
      <c r="K189" s="18">
        <v>142</v>
      </c>
      <c r="L189" s="19">
        <f>SUM(F189:K189)</f>
        <v>2544395.69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615423.96</v>
      </c>
      <c r="G190" s="18">
        <v>210325.53</v>
      </c>
      <c r="H190" s="18">
        <v>328148.76</v>
      </c>
      <c r="I190" s="18">
        <v>3602.99</v>
      </c>
      <c r="J190" s="18">
        <v>3169.14</v>
      </c>
      <c r="K190" s="18"/>
      <c r="L190" s="19">
        <f>SUM(F190:K190)</f>
        <v>1160670.3799999999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10950+3000+9668.75</f>
        <v>23618.75</v>
      </c>
      <c r="G192" s="18">
        <f>1067.25+888.23+739.71+136.34</f>
        <v>2831.53</v>
      </c>
      <c r="H192" s="18">
        <f>2880+190</f>
        <v>3070</v>
      </c>
      <c r="I192" s="18">
        <f>1914.27</f>
        <v>1914.27</v>
      </c>
      <c r="J192" s="18">
        <f>264.76+166+2000</f>
        <v>2430.7600000000002</v>
      </c>
      <c r="K192" s="18">
        <f>1041.2</f>
        <v>1041.2</v>
      </c>
      <c r="L192" s="19">
        <f>SUM(F192:K192)</f>
        <v>34906.509999999995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67392+57599.38+1400+73154</f>
        <v>199545.38</v>
      </c>
      <c r="G194" s="18">
        <f>94.27+5155.28+4664.14+273.32+8391.16+561.12+94.27+4239.85+4127.05+42.4+273.32+20271.26+561.12+350+142.27+5596.29+4552.08+84.8+322.81+20271.26+750+561.12</f>
        <v>81379.189999999988</v>
      </c>
      <c r="H194" s="18">
        <f>114+2484.76+2984.37+4894.4+44107.33+17413.9+53650</f>
        <v>125648.76000000001</v>
      </c>
      <c r="I194" s="18">
        <f>34.5+360.25+730.38+259+643.6</f>
        <v>2027.73</v>
      </c>
      <c r="J194" s="18"/>
      <c r="K194" s="18"/>
      <c r="L194" s="19">
        <f t="shared" ref="L194:L200" si="0">SUM(F194:K194)</f>
        <v>408601.06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2500+55257+19721.61+105</f>
        <v>77583.61</v>
      </c>
      <c r="G195" s="18">
        <f>168.32+136.34+20983.51+151.67+5744.01+4431.7+84.8+322.81+20271.26+561.12+750</f>
        <v>53605.54</v>
      </c>
      <c r="H195" s="18">
        <f>2200+3550.99+11436+265+1413.24</f>
        <v>18865.23</v>
      </c>
      <c r="I195" s="18">
        <f>589.28+7274.67+318.07+558.27+1962.37+507.5+250+839.7+2568.55</f>
        <v>14868.41</v>
      </c>
      <c r="J195" s="18">
        <f>307.92+282.44+400+18556.97+20071.14+3343+4750</f>
        <v>47711.47</v>
      </c>
      <c r="K195" s="18"/>
      <c r="L195" s="19">
        <f t="shared" si="0"/>
        <v>212634.26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5829.04</v>
      </c>
      <c r="G196" s="18">
        <v>464.14</v>
      </c>
      <c r="H196" s="18">
        <v>170618.51</v>
      </c>
      <c r="I196" s="18"/>
      <c r="J196" s="18"/>
      <c r="K196" s="18">
        <v>1747.74</v>
      </c>
      <c r="L196" s="19">
        <f t="shared" si="0"/>
        <v>178659.43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87724.07+69010+67937.44</f>
        <v>224671.51</v>
      </c>
      <c r="G197" s="18">
        <f>234+339.6+17199.88+6200.35+12570.03+279+691.94+169.6+606.6+68772.98+1683.36</f>
        <v>108747.34</v>
      </c>
      <c r="H197" s="18">
        <f>952.44+140.3+2503.01+3540.18+2473+61</f>
        <v>9669.93</v>
      </c>
      <c r="I197" s="18">
        <f>334.75+1800</f>
        <v>2134.75</v>
      </c>
      <c r="J197" s="18"/>
      <c r="K197" s="18">
        <f>1370</f>
        <v>1370</v>
      </c>
      <c r="L197" s="19">
        <f t="shared" si="0"/>
        <v>346593.52999999997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42363.56</v>
      </c>
      <c r="G198" s="18">
        <f>90.48+3240.62+3880.42+42.4+190.14+8423.26+561.12</f>
        <v>16428.439999999999</v>
      </c>
      <c r="H198" s="18">
        <f>560.78+110+542.6</f>
        <v>1213.3800000000001</v>
      </c>
      <c r="I198" s="18">
        <v>2152.96</v>
      </c>
      <c r="J198" s="18"/>
      <c r="K198" s="18"/>
      <c r="L198" s="19">
        <f t="shared" si="0"/>
        <v>62158.34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47399.33+69784.58+8756.75</f>
        <v>125940.66</v>
      </c>
      <c r="G199" s="18">
        <f>264.72+9340.7+9530.57+212+3300.89+37258.46+375+1726.74</f>
        <v>62009.079999999994</v>
      </c>
      <c r="H199" s="18">
        <f>7621.13+8879+17396.12+30814.62+23261.69+500+2382.79+18535+23</f>
        <v>109413.34999999999</v>
      </c>
      <c r="I199" s="18">
        <f>26156.94+50415.14+66895.06</f>
        <v>143467.14000000001</v>
      </c>
      <c r="J199" s="18">
        <v>15655.9</v>
      </c>
      <c r="K199" s="18"/>
      <c r="L199" s="19">
        <f t="shared" si="0"/>
        <v>456486.13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336694.5+5338.15+3075.44+114546.3</f>
        <v>459654.39</v>
      </c>
      <c r="I200" s="18"/>
      <c r="J200" s="18"/>
      <c r="K200" s="18"/>
      <c r="L200" s="19">
        <f t="shared" si="0"/>
        <v>459654.39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3080194.3800000004</v>
      </c>
      <c r="G203" s="41">
        <f t="shared" si="1"/>
        <v>1207318.8900000001</v>
      </c>
      <c r="H203" s="41">
        <f t="shared" si="1"/>
        <v>1248134.26</v>
      </c>
      <c r="I203" s="41">
        <f t="shared" si="1"/>
        <v>255843.98000000004</v>
      </c>
      <c r="J203" s="41">
        <f t="shared" si="1"/>
        <v>68967.27</v>
      </c>
      <c r="K203" s="41">
        <f t="shared" si="1"/>
        <v>4300.9400000000005</v>
      </c>
      <c r="L203" s="41">
        <f t="shared" si="1"/>
        <v>5864759.7199999988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2570691.21</v>
      </c>
      <c r="I225" s="18"/>
      <c r="J225" s="18"/>
      <c r="K225" s="18"/>
      <c r="L225" s="19">
        <f>SUM(F225:K225)</f>
        <v>2570691.21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46160.6+37263.26+427009.1</f>
        <v>510432.95999999996</v>
      </c>
      <c r="I226" s="18"/>
      <c r="J226" s="18"/>
      <c r="K226" s="18"/>
      <c r="L226" s="19">
        <f>SUM(F226:K226)</f>
        <v>510432.95999999996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6066.96</v>
      </c>
      <c r="G232" s="18">
        <v>483.09</v>
      </c>
      <c r="H232" s="18">
        <v>177582.54</v>
      </c>
      <c r="I232" s="18"/>
      <c r="J232" s="18"/>
      <c r="K232" s="18">
        <v>1819.08</v>
      </c>
      <c r="L232" s="19">
        <f t="shared" si="4"/>
        <v>185951.66999999998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114798+178+29361.34</f>
        <v>144337.34</v>
      </c>
      <c r="I236" s="18"/>
      <c r="J236" s="18"/>
      <c r="K236" s="18"/>
      <c r="L236" s="19">
        <f t="shared" si="4"/>
        <v>144337.34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6066.96</v>
      </c>
      <c r="G239" s="41">
        <f t="shared" si="5"/>
        <v>483.09</v>
      </c>
      <c r="H239" s="41">
        <f t="shared" si="5"/>
        <v>3403044.05</v>
      </c>
      <c r="I239" s="41">
        <f t="shared" si="5"/>
        <v>0</v>
      </c>
      <c r="J239" s="41">
        <f t="shared" si="5"/>
        <v>0</v>
      </c>
      <c r="K239" s="41">
        <f t="shared" si="5"/>
        <v>1819.08</v>
      </c>
      <c r="L239" s="41">
        <f t="shared" si="5"/>
        <v>3411413.1799999997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18000</f>
        <v>18000</v>
      </c>
      <c r="I247" s="18"/>
      <c r="J247" s="18">
        <v>11699</v>
      </c>
      <c r="K247" s="18"/>
      <c r="L247" s="19">
        <f t="shared" si="6"/>
        <v>29699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18000</v>
      </c>
      <c r="I248" s="41">
        <f t="shared" si="7"/>
        <v>0</v>
      </c>
      <c r="J248" s="41">
        <f t="shared" si="7"/>
        <v>11699</v>
      </c>
      <c r="K248" s="41">
        <f t="shared" si="7"/>
        <v>0</v>
      </c>
      <c r="L248" s="41">
        <f>SUM(F248:K248)</f>
        <v>29699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3086261.3400000003</v>
      </c>
      <c r="G249" s="41">
        <f t="shared" si="8"/>
        <v>1207801.9800000002</v>
      </c>
      <c r="H249" s="41">
        <f t="shared" si="8"/>
        <v>4669178.3099999996</v>
      </c>
      <c r="I249" s="41">
        <f t="shared" si="8"/>
        <v>255843.98000000004</v>
      </c>
      <c r="J249" s="41">
        <f t="shared" si="8"/>
        <v>80666.27</v>
      </c>
      <c r="K249" s="41">
        <f t="shared" si="8"/>
        <v>6120.02</v>
      </c>
      <c r="L249" s="41">
        <f t="shared" si="8"/>
        <v>9305871.8999999985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3086261.3400000003</v>
      </c>
      <c r="G263" s="42">
        <f t="shared" si="11"/>
        <v>1207801.9800000002</v>
      </c>
      <c r="H263" s="42">
        <f t="shared" si="11"/>
        <v>4669178.3099999996</v>
      </c>
      <c r="I263" s="42">
        <f t="shared" si="11"/>
        <v>255843.98000000004</v>
      </c>
      <c r="J263" s="42">
        <f t="shared" si="11"/>
        <v>80666.27</v>
      </c>
      <c r="K263" s="42">
        <f t="shared" si="11"/>
        <v>6120.02</v>
      </c>
      <c r="L263" s="42">
        <f t="shared" si="11"/>
        <v>9305871.8999999985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67237.5+845.64</f>
        <v>68083.14</v>
      </c>
      <c r="G350" s="18">
        <f>24731.84+557.96+169.82+5170.21+3345.97+169.6+469.76</f>
        <v>34615.159999999996</v>
      </c>
      <c r="H350" s="18">
        <f>2205.04+346.69</f>
        <v>2551.73</v>
      </c>
      <c r="I350" s="18">
        <f>3267.56+59287.33</f>
        <v>62554.89</v>
      </c>
      <c r="J350" s="18"/>
      <c r="K350" s="18"/>
      <c r="L350" s="13">
        <f>SUM(F350:K350)</f>
        <v>167804.91999999998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68083.14</v>
      </c>
      <c r="G354" s="47">
        <f t="shared" si="22"/>
        <v>34615.159999999996</v>
      </c>
      <c r="H354" s="47">
        <f t="shared" si="22"/>
        <v>2551.73</v>
      </c>
      <c r="I354" s="47">
        <f t="shared" si="22"/>
        <v>62554.89</v>
      </c>
      <c r="J354" s="47">
        <f t="shared" si="22"/>
        <v>0</v>
      </c>
      <c r="K354" s="47">
        <f t="shared" si="22"/>
        <v>0</v>
      </c>
      <c r="L354" s="47">
        <f t="shared" si="22"/>
        <v>167804.91999999998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59287.33</v>
      </c>
      <c r="G359" s="18"/>
      <c r="H359" s="18"/>
      <c r="I359" s="56">
        <f>SUM(F359:H359)</f>
        <v>59287.33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3267.56</f>
        <v>3267.56</v>
      </c>
      <c r="G360" s="63"/>
      <c r="H360" s="63"/>
      <c r="I360" s="56">
        <f>SUM(F360:H360)</f>
        <v>3267.56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62554.89</v>
      </c>
      <c r="G361" s="47">
        <f>SUM(G359:G360)</f>
        <v>0</v>
      </c>
      <c r="H361" s="47">
        <f>SUM(H359:H360)</f>
        <v>0</v>
      </c>
      <c r="I361" s="47">
        <f>SUM(I359:I360)</f>
        <v>62554.89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88.3</v>
      </c>
      <c r="I381" s="18"/>
      <c r="J381" s="24" t="s">
        <v>312</v>
      </c>
      <c r="K381" s="24" t="s">
        <v>312</v>
      </c>
      <c r="L381" s="56">
        <f t="shared" si="25"/>
        <v>88.3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88.3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88.3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107.92</v>
      </c>
      <c r="I389" s="18"/>
      <c r="J389" s="24" t="s">
        <v>312</v>
      </c>
      <c r="K389" s="24" t="s">
        <v>312</v>
      </c>
      <c r="L389" s="56">
        <f t="shared" si="26"/>
        <v>107.92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107.92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107.92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196.22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196.22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6000</v>
      </c>
      <c r="L407" s="56">
        <f t="shared" si="27"/>
        <v>6000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6000</v>
      </c>
      <c r="L411" s="47">
        <f t="shared" si="28"/>
        <v>6000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6000</v>
      </c>
      <c r="L426" s="47">
        <f t="shared" si="32"/>
        <v>6000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89283.22</v>
      </c>
      <c r="G431" s="18"/>
      <c r="H431" s="18"/>
      <c r="I431" s="56">
        <f t="shared" ref="I431:I437" si="33">SUM(F431:H431)</f>
        <v>89283.22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89283.22</v>
      </c>
      <c r="G438" s="13">
        <f>SUM(G431:G437)</f>
        <v>0</v>
      </c>
      <c r="H438" s="13">
        <f>SUM(H431:H437)</f>
        <v>0</v>
      </c>
      <c r="I438" s="13">
        <f>SUM(I431:I437)</f>
        <v>89283.22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89283.22</v>
      </c>
      <c r="G449" s="18"/>
      <c r="H449" s="18"/>
      <c r="I449" s="56">
        <f>SUM(F449:H449)</f>
        <v>89283.22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89283.22</v>
      </c>
      <c r="G450" s="83">
        <f>SUM(G446:G449)</f>
        <v>0</v>
      </c>
      <c r="H450" s="83">
        <f>SUM(H446:H449)</f>
        <v>0</v>
      </c>
      <c r="I450" s="83">
        <f>SUM(I446:I449)</f>
        <v>89283.22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89283.22</v>
      </c>
      <c r="G451" s="42">
        <f>G444+G450</f>
        <v>0</v>
      </c>
      <c r="H451" s="42">
        <f>H444+H450</f>
        <v>0</v>
      </c>
      <c r="I451" s="42">
        <f>I444+I450</f>
        <v>89283.22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266421</v>
      </c>
      <c r="G455" s="18">
        <v>15768.07</v>
      </c>
      <c r="H455" s="18"/>
      <c r="I455" s="18"/>
      <c r="J455" s="18">
        <v>95087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9477232.2200000007</v>
      </c>
      <c r="G458" s="18">
        <v>156224.85</v>
      </c>
      <c r="H458" s="18"/>
      <c r="I458" s="18"/>
      <c r="J458" s="18">
        <v>196.22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9477232.2200000007</v>
      </c>
      <c r="G460" s="53">
        <f>SUM(G458:G459)</f>
        <v>156224.85</v>
      </c>
      <c r="H460" s="53">
        <f>SUM(H458:H459)</f>
        <v>0</v>
      </c>
      <c r="I460" s="53">
        <f>SUM(I458:I459)</f>
        <v>0</v>
      </c>
      <c r="J460" s="53">
        <f>SUM(J458:J459)</f>
        <v>196.22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9305871.9000000004</v>
      </c>
      <c r="G462" s="18">
        <v>167804.92</v>
      </c>
      <c r="H462" s="18"/>
      <c r="I462" s="18"/>
      <c r="J462" s="18">
        <v>6000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9305871.9000000004</v>
      </c>
      <c r="G464" s="53">
        <f>SUM(G462:G463)</f>
        <v>167804.92</v>
      </c>
      <c r="H464" s="53">
        <f>SUM(H462:H463)</f>
        <v>0</v>
      </c>
      <c r="I464" s="53">
        <f>SUM(I462:I463)</f>
        <v>0</v>
      </c>
      <c r="J464" s="53">
        <f>SUM(J462:J463)</f>
        <v>6000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437781.3200000003</v>
      </c>
      <c r="G466" s="53">
        <f>(G455+G460)- G464</f>
        <v>4188</v>
      </c>
      <c r="H466" s="53">
        <f>(H455+H460)- H464</f>
        <v>0</v>
      </c>
      <c r="I466" s="53">
        <f>(I455+I460)- I464</f>
        <v>0</v>
      </c>
      <c r="J466" s="53">
        <f>(J455+J460)- J464</f>
        <v>89283.22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615423.96</v>
      </c>
      <c r="G511" s="18">
        <v>211163.57</v>
      </c>
      <c r="H511" s="18">
        <v>328148.76</v>
      </c>
      <c r="I511" s="18">
        <v>3602.99</v>
      </c>
      <c r="J511" s="18">
        <v>2966.11</v>
      </c>
      <c r="K511" s="18"/>
      <c r="L511" s="88">
        <f>SUM(F511:K511)</f>
        <v>1161305.3900000001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510432.96</v>
      </c>
      <c r="I513" s="18"/>
      <c r="J513" s="18"/>
      <c r="K513" s="18"/>
      <c r="L513" s="88">
        <f>SUM(F513:K513)</f>
        <v>510432.96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615423.96</v>
      </c>
      <c r="G514" s="108">
        <f t="shared" ref="G514:L514" si="35">SUM(G511:G513)</f>
        <v>211163.57</v>
      </c>
      <c r="H514" s="108">
        <f t="shared" si="35"/>
        <v>838581.72</v>
      </c>
      <c r="I514" s="108">
        <f t="shared" si="35"/>
        <v>3602.99</v>
      </c>
      <c r="J514" s="108">
        <f t="shared" si="35"/>
        <v>2966.11</v>
      </c>
      <c r="K514" s="108">
        <f t="shared" si="35"/>
        <v>0</v>
      </c>
      <c r="L514" s="89">
        <f t="shared" si="35"/>
        <v>1671738.35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73154</v>
      </c>
      <c r="G516" s="18">
        <v>10698.25</v>
      </c>
      <c r="H516" s="18">
        <v>125284.76</v>
      </c>
      <c r="I516" s="18">
        <v>643.6</v>
      </c>
      <c r="J516" s="18"/>
      <c r="K516" s="18"/>
      <c r="L516" s="88">
        <f>SUM(F516:K516)</f>
        <v>209780.61000000002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73154</v>
      </c>
      <c r="G519" s="89">
        <f t="shared" ref="G519:L519" si="36">SUM(G516:G518)</f>
        <v>10698.25</v>
      </c>
      <c r="H519" s="89">
        <f t="shared" si="36"/>
        <v>125284.76</v>
      </c>
      <c r="I519" s="89">
        <f t="shared" si="36"/>
        <v>643.6</v>
      </c>
      <c r="J519" s="89">
        <f t="shared" si="36"/>
        <v>0</v>
      </c>
      <c r="K519" s="89">
        <f t="shared" si="36"/>
        <v>0</v>
      </c>
      <c r="L519" s="89">
        <f t="shared" si="36"/>
        <v>209780.61000000002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38835.71</v>
      </c>
      <c r="G521" s="18">
        <v>19000.689999999999</v>
      </c>
      <c r="H521" s="18">
        <v>1466.2</v>
      </c>
      <c r="I521" s="18">
        <v>545.12</v>
      </c>
      <c r="J521" s="18"/>
      <c r="K521" s="18"/>
      <c r="L521" s="88">
        <f>SUM(F521:K521)</f>
        <v>59847.719999999994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16586.080000000002</v>
      </c>
      <c r="G523" s="18">
        <v>8114.88</v>
      </c>
      <c r="H523" s="18">
        <v>626.19000000000005</v>
      </c>
      <c r="I523" s="18">
        <v>232.81</v>
      </c>
      <c r="J523" s="18"/>
      <c r="K523" s="18"/>
      <c r="L523" s="88">
        <f>SUM(F523:K523)</f>
        <v>25559.960000000003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55421.79</v>
      </c>
      <c r="G524" s="89">
        <f t="shared" ref="G524:L524" si="37">SUM(G521:G523)</f>
        <v>27115.57</v>
      </c>
      <c r="H524" s="89">
        <f t="shared" si="37"/>
        <v>2092.3900000000003</v>
      </c>
      <c r="I524" s="89">
        <f t="shared" si="37"/>
        <v>777.93000000000006</v>
      </c>
      <c r="J524" s="89">
        <f t="shared" si="37"/>
        <v>0</v>
      </c>
      <c r="K524" s="89">
        <f t="shared" si="37"/>
        <v>0</v>
      </c>
      <c r="L524" s="89">
        <f t="shared" si="37"/>
        <v>85407.679999999993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114368.3</v>
      </c>
      <c r="I531" s="18"/>
      <c r="J531" s="18"/>
      <c r="K531" s="18"/>
      <c r="L531" s="88">
        <f>SUM(F531:K531)</f>
        <v>114368.3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29539.34</v>
      </c>
      <c r="I533" s="18"/>
      <c r="J533" s="18"/>
      <c r="K533" s="18"/>
      <c r="L533" s="88">
        <f>SUM(F533:K533)</f>
        <v>29539.34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143907.64000000001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143907.64000000001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743999.75</v>
      </c>
      <c r="G535" s="89">
        <f t="shared" ref="G535:L535" si="40">G514+G519+G524+G529+G534</f>
        <v>248977.39</v>
      </c>
      <c r="H535" s="89">
        <f t="shared" si="40"/>
        <v>1109866.51</v>
      </c>
      <c r="I535" s="89">
        <f t="shared" si="40"/>
        <v>5024.5200000000004</v>
      </c>
      <c r="J535" s="89">
        <f t="shared" si="40"/>
        <v>2966.11</v>
      </c>
      <c r="K535" s="89">
        <f t="shared" si="40"/>
        <v>0</v>
      </c>
      <c r="L535" s="89">
        <f t="shared" si="40"/>
        <v>2110834.2800000003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1161305.3900000001</v>
      </c>
      <c r="G539" s="87">
        <f>L516</f>
        <v>209780.61000000002</v>
      </c>
      <c r="H539" s="87">
        <f>L521</f>
        <v>59847.719999999994</v>
      </c>
      <c r="I539" s="87">
        <f>L526</f>
        <v>0</v>
      </c>
      <c r="J539" s="87">
        <f>L531</f>
        <v>114368.3</v>
      </c>
      <c r="K539" s="87">
        <f>SUM(F539:J539)</f>
        <v>1545302.0200000003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510432.96</v>
      </c>
      <c r="G541" s="87">
        <f>L518</f>
        <v>0</v>
      </c>
      <c r="H541" s="87">
        <f>L523</f>
        <v>25559.960000000003</v>
      </c>
      <c r="I541" s="87">
        <f>L528</f>
        <v>0</v>
      </c>
      <c r="J541" s="87">
        <f>L533</f>
        <v>29539.34</v>
      </c>
      <c r="K541" s="87">
        <f>SUM(F541:J541)</f>
        <v>565532.26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1671738.35</v>
      </c>
      <c r="G542" s="89">
        <f t="shared" si="41"/>
        <v>209780.61000000002</v>
      </c>
      <c r="H542" s="89">
        <f t="shared" si="41"/>
        <v>85407.679999999993</v>
      </c>
      <c r="I542" s="89">
        <f t="shared" si="41"/>
        <v>0</v>
      </c>
      <c r="J542" s="89">
        <f t="shared" si="41"/>
        <v>143907.64000000001</v>
      </c>
      <c r="K542" s="89">
        <f t="shared" si="41"/>
        <v>2110834.2800000003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1397280.42</v>
      </c>
      <c r="I565" s="87">
        <f>SUM(F565:H565)</f>
        <v>1397280.42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1173410.79</v>
      </c>
      <c r="I567" s="87">
        <f t="shared" si="46"/>
        <v>1173410.79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46160.6</v>
      </c>
      <c r="I569" s="87">
        <f t="shared" si="46"/>
        <v>46160.6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37263.26</v>
      </c>
      <c r="I571" s="87">
        <f t="shared" si="46"/>
        <v>37263.26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129963.27</v>
      </c>
      <c r="G572" s="18"/>
      <c r="H572" s="18">
        <v>623877.09</v>
      </c>
      <c r="I572" s="87">
        <f t="shared" si="46"/>
        <v>753840.36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336694.5+5516.15</f>
        <v>342210.65</v>
      </c>
      <c r="I581" s="18"/>
      <c r="J581" s="18">
        <v>114798</v>
      </c>
      <c r="K581" s="104">
        <f t="shared" ref="K581:K587" si="47">SUM(H581:J581)</f>
        <v>457008.65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114368.3</v>
      </c>
      <c r="I582" s="18"/>
      <c r="J582" s="18">
        <v>29539.34</v>
      </c>
      <c r="K582" s="104">
        <f t="shared" si="47"/>
        <v>143907.64000000001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3075.44</v>
      </c>
      <c r="I584" s="18"/>
      <c r="J584" s="18"/>
      <c r="K584" s="104">
        <f t="shared" si="47"/>
        <v>3075.44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459654.39</v>
      </c>
      <c r="I588" s="108">
        <f>SUM(I581:I587)</f>
        <v>0</v>
      </c>
      <c r="J588" s="108">
        <f>SUM(J581:J587)</f>
        <v>144337.34</v>
      </c>
      <c r="K588" s="108">
        <f>SUM(K581:K587)</f>
        <v>603991.73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68967.27</v>
      </c>
      <c r="I594" s="18"/>
      <c r="J594" s="18"/>
      <c r="K594" s="104">
        <f>SUM(H594:J594)</f>
        <v>68967.27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68967.27</v>
      </c>
      <c r="I595" s="108">
        <f>SUM(I592:I594)</f>
        <v>0</v>
      </c>
      <c r="J595" s="108">
        <f>SUM(J592:J594)</f>
        <v>0</v>
      </c>
      <c r="K595" s="108">
        <f>SUM(K592:K594)</f>
        <v>68967.27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500940.59</v>
      </c>
      <c r="H607" s="109">
        <f>SUM(F44)</f>
        <v>500940.59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11406.44</v>
      </c>
      <c r="H608" s="109">
        <f>SUM(G44)</f>
        <v>11406.439999999999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89283.22</v>
      </c>
      <c r="H611" s="109">
        <f>SUM(J44)</f>
        <v>89283.22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437781.32</v>
      </c>
      <c r="H612" s="109">
        <f>F466</f>
        <v>437781.3200000003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4188</v>
      </c>
      <c r="H613" s="109">
        <f>G466</f>
        <v>4188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89283.22</v>
      </c>
      <c r="H616" s="109">
        <f>J466</f>
        <v>89283.22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9477232.2199999988</v>
      </c>
      <c r="H617" s="104">
        <f>SUM(F458)</f>
        <v>9477232.2200000007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156224.84999999998</v>
      </c>
      <c r="H618" s="104">
        <f>SUM(G458)</f>
        <v>156224.85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196.22</v>
      </c>
      <c r="H621" s="104">
        <f>SUM(J458)</f>
        <v>196.22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9305871.8999999985</v>
      </c>
      <c r="H622" s="104">
        <f>SUM(F462)</f>
        <v>9305871.9000000004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62554.89</v>
      </c>
      <c r="H624" s="104">
        <f>I361</f>
        <v>62554.89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167804.91999999998</v>
      </c>
      <c r="H625" s="104">
        <f>SUM(G462)</f>
        <v>167804.92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196.22</v>
      </c>
      <c r="H627" s="164">
        <f>SUM(J458)</f>
        <v>196.22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6000</v>
      </c>
      <c r="H628" s="164">
        <f>SUM(J462)</f>
        <v>6000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89283.22</v>
      </c>
      <c r="H629" s="104">
        <f>SUM(F451)</f>
        <v>89283.22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89283.22</v>
      </c>
      <c r="H632" s="104">
        <f>SUM(I451)</f>
        <v>89283.22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196.22</v>
      </c>
      <c r="H634" s="104">
        <f>H400</f>
        <v>196.22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196.22</v>
      </c>
      <c r="H636" s="104">
        <f>L400</f>
        <v>196.22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603991.73</v>
      </c>
      <c r="H637" s="104">
        <f>L200+L218+L236</f>
        <v>603991.73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68967.27</v>
      </c>
      <c r="H638" s="104">
        <f>(J249+J330)-(J247+J328)</f>
        <v>68967.27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459654.39</v>
      </c>
      <c r="H639" s="104">
        <f>H588</f>
        <v>459654.39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144337.34</v>
      </c>
      <c r="H641" s="104">
        <f>J588</f>
        <v>144337.34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6032564.6399999987</v>
      </c>
      <c r="G650" s="19">
        <f>(L221+L301+L351)</f>
        <v>0</v>
      </c>
      <c r="H650" s="19">
        <f>(L239+L320+L352)</f>
        <v>3411413.1799999997</v>
      </c>
      <c r="I650" s="19">
        <f>SUM(F650:H650)</f>
        <v>9443977.8199999984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107514.67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107514.67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459654.39</v>
      </c>
      <c r="G652" s="19">
        <f>(L218+L298)-(J218+J298)</f>
        <v>0</v>
      </c>
      <c r="H652" s="19">
        <f>(L236+L317)-(J236+J317)</f>
        <v>144337.34</v>
      </c>
      <c r="I652" s="19">
        <f>SUM(F652:H652)</f>
        <v>603991.73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198930.54</v>
      </c>
      <c r="G653" s="200">
        <f>SUM(G565:G577)+SUM(I592:I594)+L602</f>
        <v>0</v>
      </c>
      <c r="H653" s="200">
        <f>SUM(H565:H577)+SUM(J592:J594)+L603</f>
        <v>3277992.1599999997</v>
      </c>
      <c r="I653" s="19">
        <f>SUM(F653:H653)</f>
        <v>3476922.6999999997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5266465.0399999991</v>
      </c>
      <c r="G654" s="19">
        <f>G650-SUM(G651:G653)</f>
        <v>0</v>
      </c>
      <c r="H654" s="19">
        <f>H650-SUM(H651:H653)</f>
        <v>-10916.319999999832</v>
      </c>
      <c r="I654" s="19">
        <f>I650-SUM(I651:I653)</f>
        <v>5255548.7199999988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468.66</v>
      </c>
      <c r="G655" s="249"/>
      <c r="H655" s="249"/>
      <c r="I655" s="19">
        <f>SUM(F655:H655)</f>
        <v>468.66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11237.28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11213.99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10916.32</v>
      </c>
      <c r="I659" s="19">
        <f>SUM(F659:H659)</f>
        <v>10916.32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11237.28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11237.28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E318-8818-4BF9-AE08-0AA93C819020}">
  <sheetPr>
    <tabColor indexed="20"/>
  </sheetPr>
  <dimension ref="A1:C52"/>
  <sheetViews>
    <sheetView zoomScaleNormal="200" workbookViewId="0">
      <selection activeCell="E47" sqref="E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NOTTINGHAM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1765217.91</v>
      </c>
      <c r="C9" s="230">
        <f>'DOE25'!G189+'DOE25'!G207+'DOE25'!G225+'DOE25'!G268+'DOE25'!G287+'DOE25'!G306</f>
        <v>671528.1</v>
      </c>
    </row>
    <row r="10" spans="1:3" x14ac:dyDescent="0.2">
      <c r="A10" t="s">
        <v>810</v>
      </c>
      <c r="B10" s="241">
        <v>1675037.67</v>
      </c>
      <c r="C10" s="241">
        <v>663879.31000000006</v>
      </c>
    </row>
    <row r="11" spans="1:3" x14ac:dyDescent="0.2">
      <c r="A11" t="s">
        <v>811</v>
      </c>
      <c r="B11" s="241">
        <v>12393.63</v>
      </c>
      <c r="C11" s="241">
        <v>1698.11</v>
      </c>
    </row>
    <row r="12" spans="1:3" x14ac:dyDescent="0.2">
      <c r="A12" t="s">
        <v>812</v>
      </c>
      <c r="B12" s="241">
        <v>77786.61</v>
      </c>
      <c r="C12" s="241">
        <v>5950.68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1765217.91</v>
      </c>
      <c r="C13" s="232">
        <f>SUM(C10:C12)</f>
        <v>671528.10000000009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615423.96</v>
      </c>
      <c r="C18" s="230">
        <f>'DOE25'!G190+'DOE25'!G208+'DOE25'!G226+'DOE25'!G269+'DOE25'!G288+'DOE25'!G307</f>
        <v>210325.53</v>
      </c>
    </row>
    <row r="19" spans="1:3" x14ac:dyDescent="0.2">
      <c r="A19" t="s">
        <v>810</v>
      </c>
      <c r="B19" s="241">
        <v>236883.46</v>
      </c>
      <c r="C19" s="241">
        <v>85494.26</v>
      </c>
    </row>
    <row r="20" spans="1:3" x14ac:dyDescent="0.2">
      <c r="A20" t="s">
        <v>811</v>
      </c>
      <c r="B20" s="241">
        <v>341342.16</v>
      </c>
      <c r="C20" s="241">
        <v>122785.47</v>
      </c>
    </row>
    <row r="21" spans="1:3" x14ac:dyDescent="0.2">
      <c r="A21" t="s">
        <v>812</v>
      </c>
      <c r="B21" s="241">
        <v>37198.339999999997</v>
      </c>
      <c r="C21" s="241">
        <v>2045.8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615423.96</v>
      </c>
      <c r="C22" s="232">
        <f>SUM(C19:C21)</f>
        <v>210325.52999999997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23618.75</v>
      </c>
      <c r="C36" s="236">
        <f>'DOE25'!G192+'DOE25'!G210+'DOE25'!G228+'DOE25'!G271+'DOE25'!G290+'DOE25'!G309</f>
        <v>2831.53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23618.75</v>
      </c>
      <c r="C39" s="241">
        <v>2831.53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23618.75</v>
      </c>
      <c r="C40" s="232">
        <f>SUM(C37:C39)</f>
        <v>2831.53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1D31-76AE-4E72-B496-A686DD787731}">
  <sheetPr>
    <tabColor indexed="11"/>
  </sheetPr>
  <dimension ref="A1:I51"/>
  <sheetViews>
    <sheetView workbookViewId="0">
      <pane ySplit="4" topLeftCell="A8" activePane="bottomLeft" state="frozen"/>
      <selection pane="bottomLeft" activeCell="I21" sqref="I2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NOTTINGHAM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6821096.75</v>
      </c>
      <c r="D5" s="20">
        <f>SUM('DOE25'!L189:L192)+SUM('DOE25'!L207:L210)+SUM('DOE25'!L225:L228)-F5-G5</f>
        <v>6814313.6499999994</v>
      </c>
      <c r="E5" s="244"/>
      <c r="F5" s="256">
        <f>SUM('DOE25'!J189:J192)+SUM('DOE25'!J207:J210)+SUM('DOE25'!J225:J228)</f>
        <v>5599.9</v>
      </c>
      <c r="G5" s="53">
        <f>SUM('DOE25'!K189:K192)+SUM('DOE25'!K207:K210)+SUM('DOE25'!K225:K228)</f>
        <v>1183.2</v>
      </c>
      <c r="H5" s="260"/>
    </row>
    <row r="6" spans="1:9" x14ac:dyDescent="0.2">
      <c r="A6" s="32">
        <v>2100</v>
      </c>
      <c r="B6" t="s">
        <v>832</v>
      </c>
      <c r="C6" s="246">
        <f t="shared" si="0"/>
        <v>408601.06</v>
      </c>
      <c r="D6" s="20">
        <f>'DOE25'!L194+'DOE25'!L212+'DOE25'!L230-F6-G6</f>
        <v>408601.06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212634.26</v>
      </c>
      <c r="D7" s="20">
        <f>'DOE25'!L195+'DOE25'!L213+'DOE25'!L231-F7-G7</f>
        <v>164922.79</v>
      </c>
      <c r="E7" s="244"/>
      <c r="F7" s="256">
        <f>'DOE25'!J195+'DOE25'!J213+'DOE25'!J231</f>
        <v>47711.47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231929.53999999998</v>
      </c>
      <c r="D8" s="244"/>
      <c r="E8" s="20">
        <f>'DOE25'!L196+'DOE25'!L214+'DOE25'!L232-F8-G8-D9-D11</f>
        <v>228362.71999999997</v>
      </c>
      <c r="F8" s="256">
        <f>'DOE25'!J196+'DOE25'!J214+'DOE25'!J232</f>
        <v>0</v>
      </c>
      <c r="G8" s="53">
        <f>'DOE25'!K196+'DOE25'!K214+'DOE25'!K232</f>
        <v>3566.8199999999997</v>
      </c>
      <c r="H8" s="260"/>
    </row>
    <row r="9" spans="1:9" x14ac:dyDescent="0.2">
      <c r="A9" s="32">
        <v>2310</v>
      </c>
      <c r="B9" t="s">
        <v>849</v>
      </c>
      <c r="C9" s="246">
        <f t="shared" si="0"/>
        <v>44070.1</v>
      </c>
      <c r="D9" s="245">
        <v>44070.1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88611.46</v>
      </c>
      <c r="D11" s="245">
        <v>88611.46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346593.52999999997</v>
      </c>
      <c r="D12" s="20">
        <f>'DOE25'!L197+'DOE25'!L215+'DOE25'!L233-F12-G12</f>
        <v>345223.52999999997</v>
      </c>
      <c r="E12" s="244"/>
      <c r="F12" s="256">
        <f>'DOE25'!J197+'DOE25'!J215+'DOE25'!J233</f>
        <v>0</v>
      </c>
      <c r="G12" s="53">
        <f>'DOE25'!K197+'DOE25'!K215+'DOE25'!K233</f>
        <v>1370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62158.34</v>
      </c>
      <c r="D13" s="244"/>
      <c r="E13" s="20">
        <f>'DOE25'!L198+'DOE25'!L216+'DOE25'!L234-F13-G13</f>
        <v>62158.34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456486.13</v>
      </c>
      <c r="D14" s="20">
        <f>'DOE25'!L199+'DOE25'!L217+'DOE25'!L235-F14-G14</f>
        <v>440830.23</v>
      </c>
      <c r="E14" s="244"/>
      <c r="F14" s="256">
        <f>'DOE25'!J199+'DOE25'!J217+'DOE25'!J235</f>
        <v>15655.9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603991.73</v>
      </c>
      <c r="D15" s="20">
        <f>'DOE25'!L200+'DOE25'!L218+'DOE25'!L236-F15-G15</f>
        <v>603991.73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29699</v>
      </c>
      <c r="D22" s="244"/>
      <c r="E22" s="244"/>
      <c r="F22" s="256">
        <f>'DOE25'!L247+'DOE25'!L328</f>
        <v>29699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108517.58999999998</v>
      </c>
      <c r="D29" s="20">
        <f>'DOE25'!L350+'DOE25'!L351+'DOE25'!L352-'DOE25'!I359-F29-G29</f>
        <v>108517.58999999998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9019082.1399999987</v>
      </c>
      <c r="E33" s="247">
        <f>SUM(E5:E31)</f>
        <v>304521.05999999994</v>
      </c>
      <c r="F33" s="247">
        <f>SUM(F5:F31)</f>
        <v>98666.27</v>
      </c>
      <c r="G33" s="247">
        <f>SUM(G5:G31)</f>
        <v>6120.0199999999995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304521.05999999994</v>
      </c>
      <c r="E35" s="250"/>
    </row>
    <row r="36" spans="2:8" ht="12" thickTop="1" x14ac:dyDescent="0.2">
      <c r="B36" t="s">
        <v>846</v>
      </c>
      <c r="D36" s="20">
        <f>D33</f>
        <v>9019082.1399999987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AC93-B3F6-4A7F-9C60-01CD9CE115E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O20" sqref="O19:O2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413585.07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89283.22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9451.69</v>
      </c>
      <c r="D13" s="95">
        <f>'DOE25'!G13</f>
        <v>5367.83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77903.83</v>
      </c>
      <c r="D14" s="95">
        <f>'DOE25'!G14</f>
        <v>5120.87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917.74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500940.59</v>
      </c>
      <c r="D19" s="41">
        <f>SUM(D9:D18)</f>
        <v>11406.44</v>
      </c>
      <c r="E19" s="41">
        <f>SUM(E9:E18)</f>
        <v>0</v>
      </c>
      <c r="F19" s="41">
        <f>SUM(F9:F18)</f>
        <v>0</v>
      </c>
      <c r="G19" s="41">
        <f>SUM(G9:G18)</f>
        <v>89283.22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7218.44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63159.27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63159.27</v>
      </c>
      <c r="D32" s="41">
        <f>SUM(D22:D31)</f>
        <v>7218.44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4188</v>
      </c>
      <c r="E40" s="95">
        <f>'DOE25'!H41</f>
        <v>0</v>
      </c>
      <c r="F40" s="95">
        <f>'DOE25'!I41</f>
        <v>0</v>
      </c>
      <c r="G40" s="95">
        <f>'DOE25'!J41</f>
        <v>89283.22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437781.32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437781.32</v>
      </c>
      <c r="D42" s="41">
        <f>SUM(D34:D41)</f>
        <v>4188</v>
      </c>
      <c r="E42" s="41">
        <f>SUM(E34:E41)</f>
        <v>0</v>
      </c>
      <c r="F42" s="41">
        <f>SUM(F34:F41)</f>
        <v>0</v>
      </c>
      <c r="G42" s="41">
        <f>SUM(G34:G41)</f>
        <v>89283.22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500940.59</v>
      </c>
      <c r="D43" s="41">
        <f>D42+D32</f>
        <v>11406.439999999999</v>
      </c>
      <c r="E43" s="41">
        <f>E42+E32</f>
        <v>0</v>
      </c>
      <c r="F43" s="41">
        <f>F42+F32</f>
        <v>0</v>
      </c>
      <c r="G43" s="41">
        <f>G42+G32</f>
        <v>89283.22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6711662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157419.32999999999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185.17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196.22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107514.67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712.5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158317</v>
      </c>
      <c r="D54" s="130">
        <f>SUM(D49:D53)</f>
        <v>107514.67</v>
      </c>
      <c r="E54" s="130">
        <f>SUM(E49:E53)</f>
        <v>0</v>
      </c>
      <c r="F54" s="130">
        <f>SUM(F49:F53)</f>
        <v>0</v>
      </c>
      <c r="G54" s="130">
        <f>SUM(G49:G53)</f>
        <v>196.22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6869979</v>
      </c>
      <c r="D55" s="22">
        <f>D48+D54</f>
        <v>107514.67</v>
      </c>
      <c r="E55" s="22">
        <f>E48+E54</f>
        <v>0</v>
      </c>
      <c r="F55" s="22">
        <f>F48+F54</f>
        <v>0</v>
      </c>
      <c r="G55" s="22">
        <f>G48+G54</f>
        <v>196.22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1126854.31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1307958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40870.69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4157.4399999999996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2479840.44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1880.29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101060.8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2330.04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102941.09</v>
      </c>
      <c r="D70" s="130">
        <f>SUM(D64:D69)</f>
        <v>2330.04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2582781.5299999998</v>
      </c>
      <c r="D73" s="130">
        <f>SUM(D71:D72)+D70+D62</f>
        <v>2330.04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18471.689999999999</v>
      </c>
      <c r="D80" s="95">
        <f>SUM('DOE25'!G145:G153)</f>
        <v>46380.14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18471.689999999999</v>
      </c>
      <c r="D83" s="131">
        <f>SUM(D77:D82)</f>
        <v>46380.14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6000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6000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9477232.2199999988</v>
      </c>
      <c r="D96" s="86">
        <f>D55+D73+D83+D95</f>
        <v>156224.84999999998</v>
      </c>
      <c r="E96" s="86">
        <f>E55+E73+E83+E95</f>
        <v>0</v>
      </c>
      <c r="F96" s="86">
        <f>F55+F73+F83+F95</f>
        <v>0</v>
      </c>
      <c r="G96" s="86">
        <f>G55+G73+G95</f>
        <v>196.22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5115086.9000000004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1671103.3399999999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34906.509999999995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6821096.75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408601.06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212634.26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364611.1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346593.52999999997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62158.34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456486.13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603991.73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167804.91999999998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2455076.15</v>
      </c>
      <c r="D120" s="86">
        <f>SUM(D110:D119)</f>
        <v>167804.91999999998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29699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6000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88.3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107.92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-196.22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29698.999999999996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6000</v>
      </c>
    </row>
    <row r="137" spans="1:9" ht="12.75" thickTop="1" thickBot="1" x14ac:dyDescent="0.25">
      <c r="A137" s="33" t="s">
        <v>267</v>
      </c>
      <c r="C137" s="86">
        <f>(C107+C120+C136)</f>
        <v>9305871.9000000004</v>
      </c>
      <c r="D137" s="86">
        <f>(D107+D120+D136)</f>
        <v>167804.91999999998</v>
      </c>
      <c r="E137" s="86">
        <f>(E107+E120+E136)</f>
        <v>0</v>
      </c>
      <c r="F137" s="86">
        <f>(F107+F120+F136)</f>
        <v>0</v>
      </c>
      <c r="G137" s="86">
        <f>(G107+G120+G136)</f>
        <v>6000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2724-4AAE-49F6-99F5-766CB29B0420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NOTTINGHAM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11237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11237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5115087</v>
      </c>
      <c r="D10" s="182">
        <f>ROUND((C10/$C$28)*100,1)</f>
        <v>54.8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1671103</v>
      </c>
      <c r="D11" s="182">
        <f>ROUND((C11/$C$28)*100,1)</f>
        <v>17.899999999999999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34907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408601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212634</v>
      </c>
      <c r="D16" s="182">
        <f t="shared" si="0"/>
        <v>2.2999999999999998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364611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346594</v>
      </c>
      <c r="D18" s="182">
        <f t="shared" si="0"/>
        <v>3.7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62158</v>
      </c>
      <c r="D19" s="182">
        <f t="shared" si="0"/>
        <v>0.7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456486</v>
      </c>
      <c r="D20" s="182">
        <f t="shared" si="0"/>
        <v>4.9000000000000004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603992</v>
      </c>
      <c r="D21" s="182">
        <f t="shared" si="0"/>
        <v>6.5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60290.33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9336463.3300000001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29699</v>
      </c>
    </row>
    <row r="30" spans="1:4" x14ac:dyDescent="0.2">
      <c r="B30" s="187" t="s">
        <v>760</v>
      </c>
      <c r="C30" s="180">
        <f>SUM(C28:C29)</f>
        <v>9366162.3300000001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6711662</v>
      </c>
      <c r="D35" s="182">
        <f t="shared" ref="D35:D40" si="1">ROUND((C35/$C$41)*100,1)</f>
        <v>70.5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158513.21999999974</v>
      </c>
      <c r="D36" s="182">
        <f t="shared" si="1"/>
        <v>1.7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2475683</v>
      </c>
      <c r="D37" s="182">
        <f t="shared" si="1"/>
        <v>26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109429</v>
      </c>
      <c r="D38" s="182">
        <f t="shared" si="1"/>
        <v>1.1000000000000001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64852</v>
      </c>
      <c r="D39" s="182">
        <f t="shared" si="1"/>
        <v>0.7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9520139.2199999988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9E5C-B5CE-47B0-96A7-D5ECC355353B}">
  <sheetPr>
    <tabColor indexed="17"/>
  </sheetPr>
  <dimension ref="A1:IV90"/>
  <sheetViews>
    <sheetView workbookViewId="0">
      <pane ySplit="3" topLeftCell="A4" activePane="bottomLeft" state="frozen"/>
      <selection pane="bottomLeft" activeCell="C20" sqref="C20:M2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801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3" t="s">
        <v>798</v>
      </c>
      <c r="B2" s="294"/>
      <c r="C2" s="294"/>
      <c r="D2" s="294"/>
      <c r="E2" s="294"/>
      <c r="F2" s="291" t="str">
        <f>'DOE25'!A2</f>
        <v>NOTTINGHAM SCHOOL DISTRICT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9" t="s">
        <v>802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>
        <v>2</v>
      </c>
      <c r="B4" s="220">
        <v>5</v>
      </c>
      <c r="C4" s="280" t="s">
        <v>895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896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 t="s">
        <v>897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 t="s">
        <v>898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 t="s">
        <v>899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2" t="s">
        <v>879</v>
      </c>
      <c r="B72" s="282"/>
      <c r="C72" s="282"/>
      <c r="D72" s="282"/>
      <c r="E72" s="28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BC40:BM40"/>
    <mergeCell ref="BP40:BZ40"/>
    <mergeCell ref="FC40:FM40"/>
    <mergeCell ref="IP40:IV40"/>
    <mergeCell ref="GC40:GM40"/>
    <mergeCell ref="GP40:GZ40"/>
    <mergeCell ref="HC40:HM40"/>
    <mergeCell ref="HP40:HZ40"/>
    <mergeCell ref="CC40:CM40"/>
    <mergeCell ref="CP40:CZ40"/>
    <mergeCell ref="FC38:FM38"/>
    <mergeCell ref="FP38:FZ38"/>
    <mergeCell ref="GC38:GM38"/>
    <mergeCell ref="FP40:FZ40"/>
    <mergeCell ref="DC40:DM40"/>
    <mergeCell ref="IC40:IM40"/>
    <mergeCell ref="EC40:EM40"/>
    <mergeCell ref="EP40:EZ40"/>
    <mergeCell ref="DP40:D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IP38:IV38"/>
    <mergeCell ref="CC39:CM39"/>
    <mergeCell ref="CP39:CZ39"/>
    <mergeCell ref="IP39:IV39"/>
    <mergeCell ref="EP39:EZ39"/>
    <mergeCell ref="FC39:FM39"/>
    <mergeCell ref="FP39:FZ39"/>
    <mergeCell ref="IC39:IM39"/>
    <mergeCell ref="EC38:EM38"/>
    <mergeCell ref="EP38:EZ38"/>
    <mergeCell ref="P38:Z38"/>
    <mergeCell ref="AC38:AM38"/>
    <mergeCell ref="AP38:AZ38"/>
    <mergeCell ref="GP32:GZ32"/>
    <mergeCell ref="DC32:DM32"/>
    <mergeCell ref="DP32:DZ32"/>
    <mergeCell ref="EC32:EM32"/>
    <mergeCell ref="EP32:EZ32"/>
    <mergeCell ref="FP32:FZ32"/>
    <mergeCell ref="GC32:GM32"/>
    <mergeCell ref="IP32:IV32"/>
    <mergeCell ref="FC32:FM32"/>
    <mergeCell ref="P32:Z32"/>
    <mergeCell ref="AC32:AM32"/>
    <mergeCell ref="AP32:AZ32"/>
    <mergeCell ref="HC32:HM32"/>
    <mergeCell ref="BC32:BM32"/>
    <mergeCell ref="GP31:GZ31"/>
    <mergeCell ref="HC31:HM31"/>
    <mergeCell ref="GP38:GZ38"/>
    <mergeCell ref="HC38:HM38"/>
    <mergeCell ref="HP38:HZ38"/>
    <mergeCell ref="IC38:IM38"/>
    <mergeCell ref="HP32:HZ32"/>
    <mergeCell ref="IC32:IM32"/>
    <mergeCell ref="IC30:IM30"/>
    <mergeCell ref="IP30:IV30"/>
    <mergeCell ref="BC39:BM39"/>
    <mergeCell ref="BP31:BZ31"/>
    <mergeCell ref="CC31:CM31"/>
    <mergeCell ref="BP38:BZ38"/>
    <mergeCell ref="CC38:CM38"/>
    <mergeCell ref="BP39:BZ39"/>
    <mergeCell ref="CC32:CM32"/>
    <mergeCell ref="EC31:EM31"/>
    <mergeCell ref="CP38:CZ38"/>
    <mergeCell ref="DC38:DM38"/>
    <mergeCell ref="DP38:DZ38"/>
    <mergeCell ref="CP32:CZ32"/>
    <mergeCell ref="HC30:HM30"/>
    <mergeCell ref="HP30:HZ30"/>
    <mergeCell ref="EP31:EZ31"/>
    <mergeCell ref="FC31:FM31"/>
    <mergeCell ref="FP31:FZ31"/>
    <mergeCell ref="GC31:GM31"/>
    <mergeCell ref="CP30:CZ30"/>
    <mergeCell ref="DC30:DM30"/>
    <mergeCell ref="DP30:DZ30"/>
    <mergeCell ref="CP31:CZ31"/>
    <mergeCell ref="DC31:DM31"/>
    <mergeCell ref="DP31:DZ31"/>
    <mergeCell ref="CC30:CM30"/>
    <mergeCell ref="HP31:HZ31"/>
    <mergeCell ref="IC31:IM31"/>
    <mergeCell ref="IP31:IV31"/>
    <mergeCell ref="EC30:EM30"/>
    <mergeCell ref="EP30:EZ30"/>
    <mergeCell ref="FC30:FM30"/>
    <mergeCell ref="FP30:FZ30"/>
    <mergeCell ref="GC30:GM30"/>
    <mergeCell ref="GP30:GZ30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AP40:AZ40"/>
    <mergeCell ref="BC31:BM31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FC29:FM29"/>
    <mergeCell ref="FP29:FZ29"/>
    <mergeCell ref="GC29:GM29"/>
    <mergeCell ref="GP29:GZ29"/>
    <mergeCell ref="HC29:HM29"/>
    <mergeCell ref="HP29:HZ29"/>
    <mergeCell ref="CC29:CM29"/>
    <mergeCell ref="CP29:CZ29"/>
    <mergeCell ref="DC29:DM29"/>
    <mergeCell ref="DP29:DZ29"/>
    <mergeCell ref="EC29:EM29"/>
    <mergeCell ref="EP29:EZ29"/>
    <mergeCell ref="BC29:BM29"/>
    <mergeCell ref="BP29:BZ29"/>
    <mergeCell ref="P29:Z29"/>
    <mergeCell ref="AC29:AM29"/>
    <mergeCell ref="AP29:AZ29"/>
    <mergeCell ref="C24:M24"/>
    <mergeCell ref="C25:M25"/>
    <mergeCell ref="C26:M26"/>
    <mergeCell ref="C5:M5"/>
    <mergeCell ref="C6:M6"/>
    <mergeCell ref="C7:M7"/>
    <mergeCell ref="C8:M8"/>
    <mergeCell ref="C20:M20"/>
    <mergeCell ref="C29:M29"/>
    <mergeCell ref="C32:M32"/>
    <mergeCell ref="C30:M30"/>
    <mergeCell ref="C31:M31"/>
    <mergeCell ref="P31:Z31"/>
    <mergeCell ref="C9:M9"/>
    <mergeCell ref="C10:M10"/>
    <mergeCell ref="C11:M11"/>
    <mergeCell ref="C12:M12"/>
    <mergeCell ref="AC31:AM31"/>
    <mergeCell ref="AP31:AZ31"/>
    <mergeCell ref="A1:I1"/>
    <mergeCell ref="C3:M3"/>
    <mergeCell ref="C4:M4"/>
    <mergeCell ref="F2:I2"/>
    <mergeCell ref="A2:E2"/>
    <mergeCell ref="C13:M13"/>
    <mergeCell ref="C22:M22"/>
    <mergeCell ref="C23:M23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45:M45"/>
    <mergeCell ref="C46:M46"/>
    <mergeCell ref="C44:M44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65:M65"/>
    <mergeCell ref="C66:M66"/>
    <mergeCell ref="C74:M74"/>
    <mergeCell ref="C87:M87"/>
    <mergeCell ref="C89:M89"/>
    <mergeCell ref="C90:M90"/>
    <mergeCell ref="C83:M83"/>
    <mergeCell ref="C84:M84"/>
    <mergeCell ref="C85:M85"/>
    <mergeCell ref="C86:M86"/>
    <mergeCell ref="C75:M75"/>
    <mergeCell ref="C76:M76"/>
    <mergeCell ref="C77:M77"/>
    <mergeCell ref="C78:M78"/>
    <mergeCell ref="C64:M64"/>
    <mergeCell ref="C88:M88"/>
    <mergeCell ref="C79:M79"/>
    <mergeCell ref="C80:M80"/>
    <mergeCell ref="C81:M81"/>
    <mergeCell ref="C82:M82"/>
    <mergeCell ref="C27:M27"/>
    <mergeCell ref="C28:M28"/>
    <mergeCell ref="A72:E72"/>
    <mergeCell ref="C73:M73"/>
    <mergeCell ref="C67:M67"/>
    <mergeCell ref="C68:M68"/>
    <mergeCell ref="C69:M69"/>
    <mergeCell ref="C70:M70"/>
    <mergeCell ref="C62:M62"/>
    <mergeCell ref="C63:M63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2011-11-07T17:58:23Z</cp:lastPrinted>
  <dcterms:created xsi:type="dcterms:W3CDTF">1997-12-04T19:04:30Z</dcterms:created>
  <dcterms:modified xsi:type="dcterms:W3CDTF">2025-01-10T20:13:45Z</dcterms:modified>
</cp:coreProperties>
</file>