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2A8F879E-E819-4D90-B0CB-B1842B3E5B47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350FE736-584A-459F-886E-1B3E379A185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J230" i="1"/>
  <c r="I230" i="1"/>
  <c r="H230" i="1"/>
  <c r="G230" i="1"/>
  <c r="F230" i="1"/>
  <c r="I237" i="1"/>
  <c r="H237" i="1"/>
  <c r="I212" i="1"/>
  <c r="H212" i="1"/>
  <c r="G212" i="1"/>
  <c r="G221" i="1" s="1"/>
  <c r="F212" i="1"/>
  <c r="L212" i="1" s="1"/>
  <c r="I219" i="1"/>
  <c r="H219" i="1"/>
  <c r="J189" i="1"/>
  <c r="I189" i="1"/>
  <c r="H189" i="1"/>
  <c r="G189" i="1"/>
  <c r="F189" i="1"/>
  <c r="I201" i="1"/>
  <c r="H201" i="1"/>
  <c r="H511" i="1"/>
  <c r="H533" i="1"/>
  <c r="L533" i="1" s="1"/>
  <c r="H523" i="1"/>
  <c r="L523" i="1" s="1"/>
  <c r="H541" i="1" s="1"/>
  <c r="H522" i="1"/>
  <c r="G523" i="1"/>
  <c r="G522" i="1"/>
  <c r="G521" i="1"/>
  <c r="F523" i="1"/>
  <c r="F522" i="1"/>
  <c r="F521" i="1"/>
  <c r="H518" i="1"/>
  <c r="H517" i="1"/>
  <c r="H516" i="1"/>
  <c r="L516" i="1" s="1"/>
  <c r="I513" i="1"/>
  <c r="I512" i="1"/>
  <c r="I514" i="1" s="1"/>
  <c r="I535" i="1" s="1"/>
  <c r="I511" i="1"/>
  <c r="H513" i="1"/>
  <c r="H512" i="1"/>
  <c r="G512" i="1"/>
  <c r="G513" i="1"/>
  <c r="G511" i="1"/>
  <c r="F513" i="1"/>
  <c r="F512" i="1"/>
  <c r="F516" i="1"/>
  <c r="F511" i="1"/>
  <c r="L511" i="1" s="1"/>
  <c r="F572" i="1"/>
  <c r="F653" i="1" s="1"/>
  <c r="I653" i="1" s="1"/>
  <c r="J489" i="1"/>
  <c r="K489" i="1" s="1"/>
  <c r="J485" i="1"/>
  <c r="J488" i="1" s="1"/>
  <c r="I489" i="1"/>
  <c r="I485" i="1"/>
  <c r="I488" i="1" s="1"/>
  <c r="H488" i="1"/>
  <c r="G488" i="1"/>
  <c r="H360" i="1"/>
  <c r="G360" i="1"/>
  <c r="F360" i="1"/>
  <c r="H392" i="1"/>
  <c r="L392" i="1" s="1"/>
  <c r="H41" i="1"/>
  <c r="H43" i="1" s="1"/>
  <c r="G41" i="1"/>
  <c r="I41" i="1"/>
  <c r="G307" i="1"/>
  <c r="G352" i="1"/>
  <c r="G351" i="1"/>
  <c r="G350" i="1"/>
  <c r="F113" i="1"/>
  <c r="F132" i="1" s="1"/>
  <c r="F128" i="1"/>
  <c r="G128" i="1"/>
  <c r="G113" i="1"/>
  <c r="G132" i="1"/>
  <c r="H128" i="1"/>
  <c r="H132" i="1" s="1"/>
  <c r="H113" i="1"/>
  <c r="I113" i="1"/>
  <c r="I128" i="1"/>
  <c r="I132" i="1"/>
  <c r="J113" i="1"/>
  <c r="J132" i="1" s="1"/>
  <c r="J128" i="1"/>
  <c r="C37" i="10"/>
  <c r="C60" i="2"/>
  <c r="C62" i="2" s="1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L219" i="1"/>
  <c r="E16" i="13" s="1"/>
  <c r="C16" i="13" s="1"/>
  <c r="L237" i="1"/>
  <c r="F5" i="13"/>
  <c r="D5" i="13" s="1"/>
  <c r="G5" i="13"/>
  <c r="G33" i="13" s="1"/>
  <c r="L189" i="1"/>
  <c r="L190" i="1"/>
  <c r="L191" i="1"/>
  <c r="L192" i="1"/>
  <c r="L207" i="1"/>
  <c r="L208" i="1"/>
  <c r="L209" i="1"/>
  <c r="L210" i="1"/>
  <c r="L225" i="1"/>
  <c r="L226" i="1"/>
  <c r="C102" i="2" s="1"/>
  <c r="L227" i="1"/>
  <c r="C103" i="2" s="1"/>
  <c r="L228" i="1"/>
  <c r="C104" i="2" s="1"/>
  <c r="F6" i="13"/>
  <c r="G6" i="13"/>
  <c r="L194" i="1"/>
  <c r="L230" i="1"/>
  <c r="F7" i="13"/>
  <c r="G7" i="13"/>
  <c r="L195" i="1"/>
  <c r="D7" i="13" s="1"/>
  <c r="C7" i="13" s="1"/>
  <c r="L213" i="1"/>
  <c r="C111" i="2" s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D15" i="13" s="1"/>
  <c r="C15" i="13" s="1"/>
  <c r="L218" i="1"/>
  <c r="L236" i="1"/>
  <c r="F17" i="13"/>
  <c r="G17" i="13"/>
  <c r="L243" i="1"/>
  <c r="C106" i="2" s="1"/>
  <c r="D17" i="13"/>
  <c r="C17" i="13" s="1"/>
  <c r="F18" i="13"/>
  <c r="D18" i="13" s="1"/>
  <c r="C18" i="13" s="1"/>
  <c r="G18" i="13"/>
  <c r="L244" i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F651" i="1" s="1"/>
  <c r="L352" i="1"/>
  <c r="G651" i="1" s="1"/>
  <c r="I359" i="1"/>
  <c r="J282" i="1"/>
  <c r="J301" i="1"/>
  <c r="J320" i="1"/>
  <c r="F31" i="13"/>
  <c r="K282" i="1"/>
  <c r="K301" i="1"/>
  <c r="K320" i="1"/>
  <c r="G31" i="13"/>
  <c r="L268" i="1"/>
  <c r="E101" i="2" s="1"/>
  <c r="E107" i="2" s="1"/>
  <c r="L269" i="1"/>
  <c r="E102" i="2" s="1"/>
  <c r="L270" i="1"/>
  <c r="L271" i="1"/>
  <c r="L273" i="1"/>
  <c r="L274" i="1"/>
  <c r="L275" i="1"/>
  <c r="L276" i="1"/>
  <c r="L277" i="1"/>
  <c r="L278" i="1"/>
  <c r="L279" i="1"/>
  <c r="L280" i="1"/>
  <c r="C17" i="10" s="1"/>
  <c r="L287" i="1"/>
  <c r="L301" i="1" s="1"/>
  <c r="L288" i="1"/>
  <c r="L289" i="1"/>
  <c r="L290" i="1"/>
  <c r="L292" i="1"/>
  <c r="L293" i="1"/>
  <c r="L294" i="1"/>
  <c r="L295" i="1"/>
  <c r="L296" i="1"/>
  <c r="L297" i="1"/>
  <c r="L298" i="1"/>
  <c r="G652" i="1" s="1"/>
  <c r="L299" i="1"/>
  <c r="L306" i="1"/>
  <c r="L307" i="1"/>
  <c r="L308" i="1"/>
  <c r="L309" i="1"/>
  <c r="L311" i="1"/>
  <c r="L312" i="1"/>
  <c r="L313" i="1"/>
  <c r="L314" i="1"/>
  <c r="L315" i="1"/>
  <c r="L316" i="1"/>
  <c r="L320" i="1" s="1"/>
  <c r="L317" i="1"/>
  <c r="H652" i="1" s="1"/>
  <c r="L318" i="1"/>
  <c r="E117" i="2" s="1"/>
  <c r="L325" i="1"/>
  <c r="L326" i="1"/>
  <c r="L327" i="1"/>
  <c r="L252" i="1"/>
  <c r="L253" i="1"/>
  <c r="H25" i="13" s="1"/>
  <c r="L333" i="1"/>
  <c r="L343" i="1" s="1"/>
  <c r="L334" i="1"/>
  <c r="E124" i="2" s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A22" i="12"/>
  <c r="B1" i="12"/>
  <c r="L379" i="1"/>
  <c r="L380" i="1"/>
  <c r="L381" i="1"/>
  <c r="L382" i="1"/>
  <c r="L383" i="1"/>
  <c r="L384" i="1"/>
  <c r="L385" i="1"/>
  <c r="C130" i="2"/>
  <c r="L387" i="1"/>
  <c r="L393" i="1" s="1"/>
  <c r="L388" i="1"/>
  <c r="L389" i="1"/>
  <c r="L390" i="1"/>
  <c r="L391" i="1"/>
  <c r="L395" i="1"/>
  <c r="L396" i="1"/>
  <c r="L397" i="1"/>
  <c r="L398" i="1"/>
  <c r="L399" i="1"/>
  <c r="C132" i="2"/>
  <c r="L258" i="1"/>
  <c r="J52" i="1"/>
  <c r="G48" i="2"/>
  <c r="G51" i="2"/>
  <c r="G53" i="2"/>
  <c r="G54" i="2"/>
  <c r="G55" i="2" s="1"/>
  <c r="F2" i="11"/>
  <c r="L603" i="1"/>
  <c r="H653" i="1"/>
  <c r="L602" i="1"/>
  <c r="L604" i="1" s="1"/>
  <c r="G653" i="1"/>
  <c r="L601" i="1"/>
  <c r="C40" i="10"/>
  <c r="F52" i="1"/>
  <c r="G52" i="1"/>
  <c r="G104" i="1" s="1"/>
  <c r="H52" i="1"/>
  <c r="I52" i="1"/>
  <c r="C35" i="10"/>
  <c r="F71" i="1"/>
  <c r="F86" i="1"/>
  <c r="F103" i="1"/>
  <c r="F104" i="1"/>
  <c r="G103" i="1"/>
  <c r="H71" i="1"/>
  <c r="H86" i="1"/>
  <c r="H103" i="1"/>
  <c r="H104" i="1" s="1"/>
  <c r="I103" i="1"/>
  <c r="I104" i="1"/>
  <c r="J103" i="1"/>
  <c r="J104" i="1"/>
  <c r="F139" i="1"/>
  <c r="F161" i="1" s="1"/>
  <c r="C39" i="10" s="1"/>
  <c r="F154" i="1"/>
  <c r="G139" i="1"/>
  <c r="G154" i="1"/>
  <c r="G161" i="1"/>
  <c r="H139" i="1"/>
  <c r="H154" i="1"/>
  <c r="H161" i="1"/>
  <c r="I139" i="1"/>
  <c r="F77" i="2" s="1"/>
  <c r="F83" i="2" s="1"/>
  <c r="I154" i="1"/>
  <c r="I161" i="1"/>
  <c r="C13" i="10"/>
  <c r="C18" i="10"/>
  <c r="L242" i="1"/>
  <c r="L324" i="1"/>
  <c r="C23" i="10"/>
  <c r="L246" i="1"/>
  <c r="C116" i="2" s="1"/>
  <c r="C24" i="10"/>
  <c r="L260" i="1"/>
  <c r="L261" i="1"/>
  <c r="C26" i="10" s="1"/>
  <c r="L341" i="1"/>
  <c r="L342" i="1"/>
  <c r="I655" i="1"/>
  <c r="I660" i="1"/>
  <c r="H651" i="1"/>
  <c r="F652" i="1"/>
  <c r="I659" i="1"/>
  <c r="C42" i="10"/>
  <c r="C32" i="10"/>
  <c r="L366" i="1"/>
  <c r="C29" i="10" s="1"/>
  <c r="L367" i="1"/>
  <c r="L368" i="1"/>
  <c r="L369" i="1"/>
  <c r="L370" i="1"/>
  <c r="L371" i="1"/>
  <c r="L372" i="1"/>
  <c r="B2" i="10"/>
  <c r="L336" i="1"/>
  <c r="L337" i="1"/>
  <c r="E127" i="2" s="1"/>
  <c r="L338" i="1"/>
  <c r="L339" i="1"/>
  <c r="K343" i="1"/>
  <c r="L513" i="1"/>
  <c r="F541" i="1" s="1"/>
  <c r="L517" i="1"/>
  <c r="G540" i="1" s="1"/>
  <c r="L518" i="1"/>
  <c r="G541" i="1"/>
  <c r="L521" i="1"/>
  <c r="H539" i="1"/>
  <c r="L522" i="1"/>
  <c r="H540" i="1" s="1"/>
  <c r="L526" i="1"/>
  <c r="I539" i="1" s="1"/>
  <c r="I542" i="1" s="1"/>
  <c r="L527" i="1"/>
  <c r="I540" i="1"/>
  <c r="L528" i="1"/>
  <c r="I541" i="1"/>
  <c r="L531" i="1"/>
  <c r="J539" i="1" s="1"/>
  <c r="L532" i="1"/>
  <c r="J540" i="1" s="1"/>
  <c r="E123" i="2"/>
  <c r="K262" i="1"/>
  <c r="J262" i="1"/>
  <c r="I262" i="1"/>
  <c r="H262" i="1"/>
  <c r="G262" i="1"/>
  <c r="F262" i="1"/>
  <c r="C123" i="2"/>
  <c r="A1" i="2"/>
  <c r="A2" i="2"/>
  <c r="C9" i="2"/>
  <c r="C19" i="2" s="1"/>
  <c r="D9" i="2"/>
  <c r="D19" i="2" s="1"/>
  <c r="E9" i="2"/>
  <c r="F9" i="2"/>
  <c r="I431" i="1"/>
  <c r="J9" i="1"/>
  <c r="G9" i="2"/>
  <c r="C10" i="2"/>
  <c r="D10" i="2"/>
  <c r="E10" i="2"/>
  <c r="F10" i="2"/>
  <c r="I432" i="1"/>
  <c r="I438" i="1" s="1"/>
  <c r="G632" i="1" s="1"/>
  <c r="J10" i="1"/>
  <c r="G10" i="2"/>
  <c r="C11" i="2"/>
  <c r="C12" i="2"/>
  <c r="D12" i="2"/>
  <c r="E12" i="2"/>
  <c r="F12" i="2"/>
  <c r="I433" i="1"/>
  <c r="J12" i="1"/>
  <c r="G12" i="2" s="1"/>
  <c r="C13" i="2"/>
  <c r="D13" i="2"/>
  <c r="E13" i="2"/>
  <c r="E19" i="2" s="1"/>
  <c r="F13" i="2"/>
  <c r="F19" i="2" s="1"/>
  <c r="I434" i="1"/>
  <c r="J13" i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 s="1"/>
  <c r="C22" i="2"/>
  <c r="D22" i="2"/>
  <c r="E22" i="2"/>
  <c r="F22" i="2"/>
  <c r="I440" i="1"/>
  <c r="J23" i="1"/>
  <c r="G22" i="2"/>
  <c r="C23" i="2"/>
  <c r="D23" i="2"/>
  <c r="E23" i="2"/>
  <c r="E32" i="2" s="1"/>
  <c r="F23" i="2"/>
  <c r="F32" i="2" s="1"/>
  <c r="I441" i="1"/>
  <c r="I444" i="1" s="1"/>
  <c r="J24" i="1"/>
  <c r="J33" i="1" s="1"/>
  <c r="G23" i="2"/>
  <c r="G32" i="2" s="1"/>
  <c r="C24" i="2"/>
  <c r="D24" i="2"/>
  <c r="E24" i="2"/>
  <c r="F24" i="2"/>
  <c r="I442" i="1"/>
  <c r="J25" i="1"/>
  <c r="G24" i="2"/>
  <c r="C25" i="2"/>
  <c r="D25" i="2"/>
  <c r="E25" i="2"/>
  <c r="F25" i="2"/>
  <c r="C26" i="2"/>
  <c r="C32" i="2" s="1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D32" i="2"/>
  <c r="C34" i="2"/>
  <c r="D34" i="2"/>
  <c r="E34" i="2"/>
  <c r="F34" i="2"/>
  <c r="C35" i="2"/>
  <c r="D35" i="2"/>
  <c r="E35" i="2"/>
  <c r="F35" i="2"/>
  <c r="C36" i="2"/>
  <c r="C42" i="2" s="1"/>
  <c r="D36" i="2"/>
  <c r="E36" i="2"/>
  <c r="F36" i="2"/>
  <c r="I446" i="1"/>
  <c r="J37" i="1"/>
  <c r="G36" i="2" s="1"/>
  <c r="C37" i="2"/>
  <c r="D37" i="2"/>
  <c r="E37" i="2"/>
  <c r="F37" i="2"/>
  <c r="I447" i="1"/>
  <c r="I450" i="1" s="1"/>
  <c r="J38" i="1"/>
  <c r="G37" i="2" s="1"/>
  <c r="C38" i="2"/>
  <c r="D38" i="2"/>
  <c r="E38" i="2"/>
  <c r="F38" i="2"/>
  <c r="I448" i="1"/>
  <c r="J40" i="1"/>
  <c r="G39" i="2" s="1"/>
  <c r="C40" i="2"/>
  <c r="D40" i="2"/>
  <c r="D42" i="2" s="1"/>
  <c r="D43" i="2" s="1"/>
  <c r="F40" i="2"/>
  <c r="F42" i="2" s="1"/>
  <c r="I449" i="1"/>
  <c r="J41" i="1"/>
  <c r="G40" i="2" s="1"/>
  <c r="C41" i="2"/>
  <c r="D41" i="2"/>
  <c r="E41" i="2"/>
  <c r="F41" i="2"/>
  <c r="C48" i="2"/>
  <c r="C55" i="2" s="1"/>
  <c r="D48" i="2"/>
  <c r="D55" i="2" s="1"/>
  <c r="D96" i="2" s="1"/>
  <c r="E48" i="2"/>
  <c r="E55" i="2" s="1"/>
  <c r="E96" i="2" s="1"/>
  <c r="F48" i="2"/>
  <c r="F55" i="2" s="1"/>
  <c r="C49" i="2"/>
  <c r="E49" i="2"/>
  <c r="E54" i="2" s="1"/>
  <c r="C50" i="2"/>
  <c r="C54" i="2" s="1"/>
  <c r="E50" i="2"/>
  <c r="C51" i="2"/>
  <c r="D51" i="2"/>
  <c r="E51" i="2"/>
  <c r="F51" i="2"/>
  <c r="D52" i="2"/>
  <c r="C53" i="2"/>
  <c r="D53" i="2"/>
  <c r="E53" i="2"/>
  <c r="F53" i="2"/>
  <c r="F54" i="2" s="1"/>
  <c r="D54" i="2"/>
  <c r="C58" i="2"/>
  <c r="C59" i="2"/>
  <c r="C61" i="2"/>
  <c r="D61" i="2"/>
  <c r="D62" i="2" s="1"/>
  <c r="E61" i="2"/>
  <c r="E62" i="2" s="1"/>
  <c r="F61" i="2"/>
  <c r="F62" i="2" s="1"/>
  <c r="G61" i="2"/>
  <c r="G62" i="2" s="1"/>
  <c r="C64" i="2"/>
  <c r="F64" i="2"/>
  <c r="C65" i="2"/>
  <c r="F65" i="2"/>
  <c r="C66" i="2"/>
  <c r="C70" i="2" s="1"/>
  <c r="C67" i="2"/>
  <c r="C68" i="2"/>
  <c r="E68" i="2"/>
  <c r="F68" i="2"/>
  <c r="C69" i="2"/>
  <c r="D69" i="2"/>
  <c r="E69" i="2"/>
  <c r="F69" i="2"/>
  <c r="G69" i="2"/>
  <c r="G70" i="2" s="1"/>
  <c r="G73" i="2" s="1"/>
  <c r="D70" i="2"/>
  <c r="D73" i="2" s="1"/>
  <c r="E70" i="2"/>
  <c r="E73" i="2" s="1"/>
  <c r="F70" i="2"/>
  <c r="C71" i="2"/>
  <c r="D71" i="2"/>
  <c r="E71" i="2"/>
  <c r="C72" i="2"/>
  <c r="E72" i="2"/>
  <c r="C77" i="2"/>
  <c r="C83" i="2" s="1"/>
  <c r="D77" i="2"/>
  <c r="D83" i="2" s="1"/>
  <c r="E77" i="2"/>
  <c r="E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D95" i="2" s="1"/>
  <c r="E88" i="2"/>
  <c r="F88" i="2"/>
  <c r="G88" i="2"/>
  <c r="C89" i="2"/>
  <c r="D89" i="2"/>
  <c r="E89" i="2"/>
  <c r="F89" i="2"/>
  <c r="G89" i="2"/>
  <c r="C90" i="2"/>
  <c r="D90" i="2"/>
  <c r="E90" i="2"/>
  <c r="E95" i="2" s="1"/>
  <c r="G90" i="2"/>
  <c r="G95" i="2" s="1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101" i="2"/>
  <c r="E103" i="2"/>
  <c r="E104" i="2"/>
  <c r="C105" i="2"/>
  <c r="E105" i="2"/>
  <c r="E106" i="2"/>
  <c r="D107" i="2"/>
  <c r="F107" i="2"/>
  <c r="G107" i="2"/>
  <c r="E110" i="2"/>
  <c r="E111" i="2"/>
  <c r="C112" i="2"/>
  <c r="E112" i="2"/>
  <c r="C113" i="2"/>
  <c r="E113" i="2"/>
  <c r="E114" i="2"/>
  <c r="C117" i="2"/>
  <c r="D119" i="2"/>
  <c r="D120" i="2" s="1"/>
  <c r="D137" i="2" s="1"/>
  <c r="F120" i="2"/>
  <c r="G120" i="2"/>
  <c r="C122" i="2"/>
  <c r="E122" i="2"/>
  <c r="D126" i="2"/>
  <c r="D136" i="2" s="1"/>
  <c r="E126" i="2"/>
  <c r="F126" i="2"/>
  <c r="K411" i="1"/>
  <c r="K426" i="1" s="1"/>
  <c r="G126" i="2" s="1"/>
  <c r="G136" i="2" s="1"/>
  <c r="G137" i="2" s="1"/>
  <c r="K419" i="1"/>
  <c r="K425" i="1"/>
  <c r="L255" i="1"/>
  <c r="C127" i="2" s="1"/>
  <c r="L256" i="1"/>
  <c r="C128" i="2"/>
  <c r="L257" i="1"/>
  <c r="C129" i="2"/>
  <c r="E129" i="2"/>
  <c r="C134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C151" i="2"/>
  <c r="D151" i="2"/>
  <c r="B152" i="2"/>
  <c r="C152" i="2"/>
  <c r="D152" i="2"/>
  <c r="E152" i="2"/>
  <c r="F490" i="1"/>
  <c r="B153" i="2"/>
  <c r="G490" i="1"/>
  <c r="C153" i="2" s="1"/>
  <c r="H490" i="1"/>
  <c r="D153" i="2" s="1"/>
  <c r="B154" i="2"/>
  <c r="C154" i="2"/>
  <c r="G154" i="2" s="1"/>
  <c r="D154" i="2"/>
  <c r="E154" i="2"/>
  <c r="F154" i="2"/>
  <c r="B155" i="2"/>
  <c r="C155" i="2"/>
  <c r="D155" i="2"/>
  <c r="E155" i="2"/>
  <c r="F155" i="2"/>
  <c r="G155" i="2"/>
  <c r="F493" i="1"/>
  <c r="B156" i="2"/>
  <c r="G493" i="1"/>
  <c r="K493" i="1" s="1"/>
  <c r="C156" i="2"/>
  <c r="H493" i="1"/>
  <c r="D156" i="2"/>
  <c r="I493" i="1"/>
  <c r="E156" i="2"/>
  <c r="J493" i="1"/>
  <c r="F156" i="2" s="1"/>
  <c r="F19" i="1"/>
  <c r="G19" i="1"/>
  <c r="H19" i="1"/>
  <c r="G609" i="1" s="1"/>
  <c r="I19" i="1"/>
  <c r="G610" i="1" s="1"/>
  <c r="J610" i="1" s="1"/>
  <c r="J19" i="1"/>
  <c r="G611" i="1" s="1"/>
  <c r="F33" i="1"/>
  <c r="G33" i="1"/>
  <c r="H33" i="1"/>
  <c r="I33" i="1"/>
  <c r="F43" i="1"/>
  <c r="G43" i="1"/>
  <c r="G613" i="1" s="1"/>
  <c r="I43" i="1"/>
  <c r="F44" i="1"/>
  <c r="G44" i="1"/>
  <c r="H608" i="1" s="1"/>
  <c r="I44" i="1"/>
  <c r="F169" i="1"/>
  <c r="F184" i="1" s="1"/>
  <c r="I169" i="1"/>
  <c r="I184" i="1" s="1"/>
  <c r="I185" i="1" s="1"/>
  <c r="G620" i="1" s="1"/>
  <c r="J620" i="1" s="1"/>
  <c r="F175" i="1"/>
  <c r="G175" i="1"/>
  <c r="G184" i="1" s="1"/>
  <c r="H175" i="1"/>
  <c r="H184" i="1" s="1"/>
  <c r="I175" i="1"/>
  <c r="J175" i="1"/>
  <c r="J184" i="1" s="1"/>
  <c r="F180" i="1"/>
  <c r="G180" i="1"/>
  <c r="H180" i="1"/>
  <c r="I180" i="1"/>
  <c r="F203" i="1"/>
  <c r="G203" i="1"/>
  <c r="H203" i="1"/>
  <c r="I203" i="1"/>
  <c r="J203" i="1"/>
  <c r="J249" i="1" s="1"/>
  <c r="K203" i="1"/>
  <c r="H221" i="1"/>
  <c r="H249" i="1" s="1"/>
  <c r="H263" i="1" s="1"/>
  <c r="I221" i="1"/>
  <c r="I249" i="1" s="1"/>
  <c r="I263" i="1" s="1"/>
  <c r="J221" i="1"/>
  <c r="K221" i="1"/>
  <c r="K249" i="1" s="1"/>
  <c r="K263" i="1" s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L262" i="1"/>
  <c r="F282" i="1"/>
  <c r="G282" i="1"/>
  <c r="G330" i="1" s="1"/>
  <c r="G344" i="1" s="1"/>
  <c r="H282" i="1"/>
  <c r="I282" i="1"/>
  <c r="I330" i="1" s="1"/>
  <c r="I344" i="1" s="1"/>
  <c r="F301" i="1"/>
  <c r="G301" i="1"/>
  <c r="H301" i="1"/>
  <c r="H330" i="1" s="1"/>
  <c r="H344" i="1" s="1"/>
  <c r="I301" i="1"/>
  <c r="F320" i="1"/>
  <c r="G320" i="1"/>
  <c r="H320" i="1"/>
  <c r="I320" i="1"/>
  <c r="F329" i="1"/>
  <c r="G329" i="1"/>
  <c r="H329" i="1"/>
  <c r="I329" i="1"/>
  <c r="J329" i="1"/>
  <c r="J330" i="1" s="1"/>
  <c r="J344" i="1" s="1"/>
  <c r="K329" i="1"/>
  <c r="K330" i="1" s="1"/>
  <c r="K344" i="1" s="1"/>
  <c r="L329" i="1"/>
  <c r="F330" i="1"/>
  <c r="F344" i="1" s="1"/>
  <c r="F354" i="1"/>
  <c r="G354" i="1"/>
  <c r="H354" i="1"/>
  <c r="I354" i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I393" i="1"/>
  <c r="F399" i="1"/>
  <c r="G399" i="1"/>
  <c r="H399" i="1"/>
  <c r="I399" i="1"/>
  <c r="F400" i="1"/>
  <c r="H633" i="1" s="1"/>
  <c r="J633" i="1" s="1"/>
  <c r="G400" i="1"/>
  <c r="I400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G426" i="1" s="1"/>
  <c r="H411" i="1"/>
  <c r="H426" i="1" s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L425" i="1"/>
  <c r="F426" i="1"/>
  <c r="F438" i="1"/>
  <c r="G438" i="1"/>
  <c r="H438" i="1"/>
  <c r="F444" i="1"/>
  <c r="F451" i="1" s="1"/>
  <c r="H629" i="1" s="1"/>
  <c r="J629" i="1" s="1"/>
  <c r="G444" i="1"/>
  <c r="G451" i="1" s="1"/>
  <c r="H630" i="1" s="1"/>
  <c r="J630" i="1" s="1"/>
  <c r="H444" i="1"/>
  <c r="H451" i="1" s="1"/>
  <c r="H631" i="1" s="1"/>
  <c r="F450" i="1"/>
  <c r="G450" i="1"/>
  <c r="H450" i="1"/>
  <c r="F460" i="1"/>
  <c r="F466" i="1" s="1"/>
  <c r="H612" i="1" s="1"/>
  <c r="G460" i="1"/>
  <c r="G466" i="1" s="1"/>
  <c r="H613" i="1" s="1"/>
  <c r="H460" i="1"/>
  <c r="H466" i="1" s="1"/>
  <c r="H614" i="1" s="1"/>
  <c r="I460" i="1"/>
  <c r="J460" i="1"/>
  <c r="F464" i="1"/>
  <c r="G464" i="1"/>
  <c r="H464" i="1"/>
  <c r="I464" i="1"/>
  <c r="J464" i="1"/>
  <c r="I466" i="1"/>
  <c r="J466" i="1"/>
  <c r="H616" i="1" s="1"/>
  <c r="K485" i="1"/>
  <c r="K486" i="1"/>
  <c r="K487" i="1"/>
  <c r="K491" i="1"/>
  <c r="K492" i="1"/>
  <c r="F507" i="1"/>
  <c r="G507" i="1"/>
  <c r="H507" i="1"/>
  <c r="I507" i="1"/>
  <c r="F514" i="1"/>
  <c r="F535" i="1" s="1"/>
  <c r="G514" i="1"/>
  <c r="H514" i="1"/>
  <c r="J514" i="1"/>
  <c r="K514" i="1"/>
  <c r="K535" i="1" s="1"/>
  <c r="F519" i="1"/>
  <c r="G519" i="1"/>
  <c r="G535" i="1" s="1"/>
  <c r="H519" i="1"/>
  <c r="I519" i="1"/>
  <c r="J519" i="1"/>
  <c r="K519" i="1"/>
  <c r="F524" i="1"/>
  <c r="G524" i="1"/>
  <c r="I524" i="1"/>
  <c r="J524" i="1"/>
  <c r="J535" i="1" s="1"/>
  <c r="K524" i="1"/>
  <c r="F529" i="1"/>
  <c r="G529" i="1"/>
  <c r="H529" i="1"/>
  <c r="I529" i="1"/>
  <c r="J529" i="1"/>
  <c r="K529" i="1"/>
  <c r="L529" i="1"/>
  <c r="F534" i="1"/>
  <c r="G534" i="1"/>
  <c r="I534" i="1"/>
  <c r="J534" i="1"/>
  <c r="K534" i="1"/>
  <c r="L547" i="1"/>
  <c r="L550" i="1" s="1"/>
  <c r="L561" i="1" s="1"/>
  <c r="L548" i="1"/>
  <c r="L549" i="1"/>
  <c r="F550" i="1"/>
  <c r="F561" i="1" s="1"/>
  <c r="G550" i="1"/>
  <c r="G561" i="1" s="1"/>
  <c r="H550" i="1"/>
  <c r="I550" i="1"/>
  <c r="I561" i="1" s="1"/>
  <c r="J550" i="1"/>
  <c r="K550" i="1"/>
  <c r="L552" i="1"/>
  <c r="L555" i="1" s="1"/>
  <c r="L553" i="1"/>
  <c r="L554" i="1"/>
  <c r="F555" i="1"/>
  <c r="G555" i="1"/>
  <c r="H555" i="1"/>
  <c r="H561" i="1" s="1"/>
  <c r="I555" i="1"/>
  <c r="J555" i="1"/>
  <c r="K555" i="1"/>
  <c r="K561" i="1" s="1"/>
  <c r="L557" i="1"/>
  <c r="L560" i="1" s="1"/>
  <c r="L558" i="1"/>
  <c r="L559" i="1"/>
  <c r="F560" i="1"/>
  <c r="G560" i="1"/>
  <c r="H560" i="1"/>
  <c r="I560" i="1"/>
  <c r="J560" i="1"/>
  <c r="J561" i="1" s="1"/>
  <c r="K560" i="1"/>
  <c r="I565" i="1"/>
  <c r="I566" i="1"/>
  <c r="I567" i="1"/>
  <c r="I568" i="1"/>
  <c r="I569" i="1"/>
  <c r="I570" i="1"/>
  <c r="I571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I588" i="1"/>
  <c r="H640" i="1" s="1"/>
  <c r="J588" i="1"/>
  <c r="H641" i="1" s="1"/>
  <c r="J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J607" i="1" s="1"/>
  <c r="H607" i="1"/>
  <c r="G608" i="1"/>
  <c r="H610" i="1"/>
  <c r="G612" i="1"/>
  <c r="G615" i="1"/>
  <c r="J615" i="1" s="1"/>
  <c r="H615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29" i="1"/>
  <c r="G630" i="1"/>
  <c r="G631" i="1"/>
  <c r="J631" i="1" s="1"/>
  <c r="G633" i="1"/>
  <c r="G634" i="1"/>
  <c r="G635" i="1"/>
  <c r="J635" i="1" s="1"/>
  <c r="H635" i="1"/>
  <c r="H637" i="1"/>
  <c r="G639" i="1"/>
  <c r="J639" i="1" s="1"/>
  <c r="H639" i="1"/>
  <c r="G640" i="1"/>
  <c r="G641" i="1"/>
  <c r="G642" i="1"/>
  <c r="H642" i="1"/>
  <c r="J642" i="1"/>
  <c r="G643" i="1"/>
  <c r="J643" i="1" s="1"/>
  <c r="H643" i="1"/>
  <c r="G644" i="1"/>
  <c r="J644" i="1" s="1"/>
  <c r="H644" i="1"/>
  <c r="G645" i="1"/>
  <c r="H645" i="1"/>
  <c r="J645" i="1"/>
  <c r="I451" i="1" l="1"/>
  <c r="H632" i="1" s="1"/>
  <c r="K490" i="1"/>
  <c r="G42" i="2"/>
  <c r="G43" i="2" s="1"/>
  <c r="G96" i="2"/>
  <c r="J541" i="1"/>
  <c r="L534" i="1"/>
  <c r="J613" i="1"/>
  <c r="L519" i="1"/>
  <c r="G539" i="1"/>
  <c r="G542" i="1" s="1"/>
  <c r="E136" i="2"/>
  <c r="G185" i="1"/>
  <c r="G618" i="1" s="1"/>
  <c r="J618" i="1" s="1"/>
  <c r="C15" i="10"/>
  <c r="L221" i="1"/>
  <c r="G650" i="1" s="1"/>
  <c r="G654" i="1" s="1"/>
  <c r="C110" i="2"/>
  <c r="H542" i="1"/>
  <c r="H535" i="1"/>
  <c r="C43" i="2"/>
  <c r="G19" i="2"/>
  <c r="H185" i="1"/>
  <c r="G619" i="1" s="1"/>
  <c r="J619" i="1" s="1"/>
  <c r="L400" i="1"/>
  <c r="C131" i="2"/>
  <c r="F539" i="1"/>
  <c r="J640" i="1"/>
  <c r="J263" i="1"/>
  <c r="H638" i="1"/>
  <c r="J638" i="1" s="1"/>
  <c r="J542" i="1"/>
  <c r="K541" i="1"/>
  <c r="C133" i="2"/>
  <c r="H33" i="13"/>
  <c r="C25" i="13"/>
  <c r="H44" i="1"/>
  <c r="H609" i="1" s="1"/>
  <c r="J609" i="1" s="1"/>
  <c r="G614" i="1"/>
  <c r="J614" i="1" s="1"/>
  <c r="J612" i="1"/>
  <c r="J632" i="1"/>
  <c r="C38" i="10"/>
  <c r="C5" i="13"/>
  <c r="G156" i="2"/>
  <c r="D6" i="13"/>
  <c r="C6" i="13" s="1"/>
  <c r="E33" i="13"/>
  <c r="D35" i="13" s="1"/>
  <c r="C8" i="13"/>
  <c r="J624" i="1"/>
  <c r="J608" i="1"/>
  <c r="G249" i="1"/>
  <c r="G263" i="1" s="1"/>
  <c r="F73" i="2"/>
  <c r="C73" i="2"/>
  <c r="C96" i="2" s="1"/>
  <c r="F43" i="2"/>
  <c r="F185" i="1"/>
  <c r="G617" i="1" s="1"/>
  <c r="J617" i="1" s="1"/>
  <c r="I651" i="1"/>
  <c r="J185" i="1"/>
  <c r="E151" i="2"/>
  <c r="G151" i="2" s="1"/>
  <c r="I490" i="1"/>
  <c r="E153" i="2" s="1"/>
  <c r="K488" i="1"/>
  <c r="C107" i="2"/>
  <c r="G153" i="2"/>
  <c r="F96" i="2"/>
  <c r="I652" i="1"/>
  <c r="F151" i="2"/>
  <c r="J490" i="1"/>
  <c r="F153" i="2" s="1"/>
  <c r="L282" i="1"/>
  <c r="L524" i="1"/>
  <c r="J43" i="1"/>
  <c r="L512" i="1"/>
  <c r="F540" i="1" s="1"/>
  <c r="K540" i="1" s="1"/>
  <c r="C11" i="10"/>
  <c r="C12" i="10"/>
  <c r="E116" i="2"/>
  <c r="C10" i="10"/>
  <c r="E40" i="2"/>
  <c r="E42" i="2" s="1"/>
  <c r="E43" i="2" s="1"/>
  <c r="C36" i="10"/>
  <c r="C41" i="10" s="1"/>
  <c r="H534" i="1"/>
  <c r="L374" i="1"/>
  <c r="G626" i="1" s="1"/>
  <c r="J626" i="1" s="1"/>
  <c r="F152" i="2"/>
  <c r="G152" i="2" s="1"/>
  <c r="F122" i="2"/>
  <c r="F136" i="2" s="1"/>
  <c r="F137" i="2" s="1"/>
  <c r="F221" i="1"/>
  <c r="F249" i="1" s="1"/>
  <c r="F263" i="1" s="1"/>
  <c r="E115" i="2"/>
  <c r="E120" i="2" s="1"/>
  <c r="E137" i="2" s="1"/>
  <c r="C124" i="2"/>
  <c r="L239" i="1"/>
  <c r="H650" i="1" s="1"/>
  <c r="H654" i="1" s="1"/>
  <c r="C21" i="10"/>
  <c r="H524" i="1"/>
  <c r="C115" i="2"/>
  <c r="C20" i="10"/>
  <c r="F33" i="13"/>
  <c r="C19" i="10"/>
  <c r="I572" i="1"/>
  <c r="C114" i="2"/>
  <c r="H393" i="1"/>
  <c r="H400" i="1" s="1"/>
  <c r="H634" i="1" s="1"/>
  <c r="J634" i="1" s="1"/>
  <c r="L203" i="1"/>
  <c r="L354" i="1"/>
  <c r="C16" i="10"/>
  <c r="C25" i="10"/>
  <c r="D39" i="10" l="1"/>
  <c r="D35" i="10"/>
  <c r="D41" i="10" s="1"/>
  <c r="D37" i="10"/>
  <c r="D40" i="10"/>
  <c r="G625" i="1"/>
  <c r="J625" i="1" s="1"/>
  <c r="C27" i="10"/>
  <c r="H657" i="1"/>
  <c r="H662" i="1"/>
  <c r="C6" i="10" s="1"/>
  <c r="D38" i="10"/>
  <c r="F650" i="1"/>
  <c r="L249" i="1"/>
  <c r="L263" i="1" s="1"/>
  <c r="G622" i="1" s="1"/>
  <c r="J622" i="1" s="1"/>
  <c r="C136" i="2"/>
  <c r="G616" i="1"/>
  <c r="J44" i="1"/>
  <c r="H611" i="1" s="1"/>
  <c r="J611" i="1" s="1"/>
  <c r="D31" i="13"/>
  <c r="L330" i="1"/>
  <c r="L344" i="1" s="1"/>
  <c r="G623" i="1" s="1"/>
  <c r="J623" i="1" s="1"/>
  <c r="F542" i="1"/>
  <c r="K539" i="1"/>
  <c r="K542" i="1" s="1"/>
  <c r="C120" i="2"/>
  <c r="C137" i="2" s="1"/>
  <c r="L514" i="1"/>
  <c r="L535" i="1" s="1"/>
  <c r="G662" i="1"/>
  <c r="C5" i="10" s="1"/>
  <c r="G657" i="1"/>
  <c r="G636" i="1"/>
  <c r="G621" i="1"/>
  <c r="J621" i="1" s="1"/>
  <c r="D36" i="10"/>
  <c r="H636" i="1"/>
  <c r="G627" i="1"/>
  <c r="J627" i="1" s="1"/>
  <c r="C31" i="13" l="1"/>
  <c r="D33" i="13"/>
  <c r="D36" i="13" s="1"/>
  <c r="J616" i="1"/>
  <c r="H646" i="1"/>
  <c r="C28" i="10"/>
  <c r="J636" i="1"/>
  <c r="F654" i="1"/>
  <c r="I650" i="1"/>
  <c r="I654" i="1" s="1"/>
  <c r="F662" i="1" l="1"/>
  <c r="C4" i="10" s="1"/>
  <c r="F657" i="1"/>
  <c r="I657" i="1"/>
  <c r="I662" i="1"/>
  <c r="C7" i="10" s="1"/>
  <c r="D22" i="10"/>
  <c r="D18" i="10"/>
  <c r="D23" i="10"/>
  <c r="C30" i="10"/>
  <c r="D17" i="10"/>
  <c r="D13" i="10"/>
  <c r="D24" i="10"/>
  <c r="D26" i="10"/>
  <c r="D16" i="10"/>
  <c r="D20" i="10"/>
  <c r="D21" i="10"/>
  <c r="D12" i="10"/>
  <c r="D11" i="10"/>
  <c r="D10" i="10"/>
  <c r="D25" i="10"/>
  <c r="D19" i="10"/>
  <c r="D15" i="10"/>
  <c r="D27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F074BFD0-67EA-4D99-A69C-C4CFB2B16875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09C7AF2C-A3A6-4642-8C7C-E218F0517B39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B540246B-5457-48DB-9EE5-24594A356F90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A22A29E-B6DE-414B-BADB-21BB51A5032C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7606DC92-AD71-41CC-93AA-191CF8CCC331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DE1D50C0-6576-4580-9543-3FC369DC98BB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54B38A2F-A55E-46C1-BFC5-C94871B555EC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715E26DD-86A2-457C-9E83-CA554E07CC32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EAA8F475-EB0A-43F6-B8FB-6A2D8AA454AA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6D9B8A24-FB56-45FC-AF3D-D26BCFF7F36F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C76773C3-A062-41DB-9A54-18BEE07B9570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89259FE-62D0-4FE1-A993-117AE9583588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<sst xmlns="http://schemas.openxmlformats.org/spreadsheetml/2006/main" count="3866" uniqueCount="902">
  <si>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</si>
  <si>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</si>
  <si>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</si>
  <si>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</si>
  <si>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</si>
  <si>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</si>
  <si>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</si>
  <si>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</si>
  <si>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</si>
  <si>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</si>
  <si>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</si>
  <si>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</si>
  <si>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</si>
  <si>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</si>
  <si>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</si>
  <si>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</si>
  <si>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</si>
  <si>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</si>
  <si>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</si>
  <si>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</si>
  <si>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</si>
  <si>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</si>
  <si>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</si>
  <si>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</si>
  <si>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</si>
  <si>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</si>
  <si>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</si>
  <si>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</si>
  <si>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</si>
  <si>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</si>
  <si>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</si>
  <si>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</si>
  <si>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</si>
  <si>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</si>
  <si>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</si>
  <si>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</si>
  <si>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</si>
  <si>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</si>
  <si>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</si>
  <si>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</si>
  <si>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</si>
  <si>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</si>
  <si>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</si>
  <si>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</si>
  <si>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</si>
  <si>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</si>
  <si>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</si>
  <si>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</si>
  <si>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</si>
  <si>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</si>
  <si>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</si>
  <si>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</si>
  <si>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</si>
  <si>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</si>
  <si>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</si>
  <si>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</si>
  <si>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</si>
  <si>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</si>
  <si>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</si>
  <si>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</si>
  <si>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</si>
  <si>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</si>
  <si>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</si>
  <si>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</si>
  <si>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</si>
  <si>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</si>
  <si>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</si>
  <si>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</si>
  <si>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</si>
  <si>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</si>
  <si>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</si>
  <si>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</si>
  <si>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</si>
  <si>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</si>
  <si>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</si>
  <si>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</si>
  <si>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</si>
  <si>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</si>
  <si>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</si>
  <si>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</si>
  <si>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</si>
  <si>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</si>
  <si>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</si>
  <si>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</si>
  <si>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</si>
  <si>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</si>
  <si>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</si>
  <si>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</si>
  <si>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</si>
  <si>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</si>
  <si>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</si>
  <si>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</si>
  <si>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</si>
  <si>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</si>
  <si>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</si>
  <si>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</si>
  <si>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</si>
  <si>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</si>
  <si>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</si>
  <si>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</si>
  <si>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</si>
  <si>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</si>
  <si>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</si>
  <si>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</si>
  <si>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</si>
  <si>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</si>
  <si>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</si>
  <si>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</si>
  <si>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</si>
  <si>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</si>
  <si>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</si>
  <si>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</si>
  <si>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</si>
  <si>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</si>
  <si>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</si>
  <si>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</si>
  <si>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</si>
  <si>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</si>
  <si>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</si>
  <si>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</si>
  <si>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</si>
  <si>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</si>
  <si>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</si>
  <si>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</si>
  <si>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</si>
  <si>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</si>
  <si>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</si>
  <si>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</si>
  <si>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</si>
  <si>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</si>
  <si>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</si>
  <si>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</si>
  <si>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</si>
  <si>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</si>
  <si>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</si>
  <si>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</si>
  <si>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</si>
  <si>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</si>
  <si>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</si>
  <si>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</si>
  <si>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</si>
  <si>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</si>
  <si>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</si>
  <si>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</si>
  <si>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</si>
  <si>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</si>
  <si>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</si>
  <si>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</si>
  <si>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</si>
  <si>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</si>
  <si>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</si>
  <si>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</si>
  <si>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</si>
  <si>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</si>
  <si>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</si>
  <si>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</si>
  <si>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</si>
  <si>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</si>
  <si>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</si>
  <si>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</si>
  <si>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</si>
  <si>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</si>
  <si>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</si>
  <si>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</si>
  <si>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</si>
  <si>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</si>
  <si>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</si>
  <si>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</si>
  <si>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</si>
  <si>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</si>
  <si>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</si>
  <si>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</si>
  <si>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</si>
  <si>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</si>
  <si>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</si>
  <si>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</si>
  <si>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</si>
  <si>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</si>
  <si>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</si>
  <si>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</si>
  <si>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</si>
  <si>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</si>
  <si>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</si>
  <si>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</si>
  <si>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</si>
  <si>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</si>
  <si>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</si>
  <si>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</si>
  <si>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</si>
  <si>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</si>
  <si>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</si>
  <si>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</si>
  <si>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</si>
  <si>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</si>
  <si>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</si>
  <si>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</si>
  <si>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</si>
  <si>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</si>
  <si>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</si>
  <si>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</si>
  <si>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</si>
  <si>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</si>
  <si>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</si>
  <si>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</si>
  <si>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</si>
  <si>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</si>
  <si>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</si>
  <si>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</si>
  <si>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</si>
  <si>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</si>
  <si>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</si>
  <si>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</si>
  <si>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</si>
  <si>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</si>
  <si>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</si>
  <si>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</si>
  <si>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</si>
  <si>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</si>
  <si>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</si>
  <si>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</si>
  <si>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</si>
  <si>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</si>
  <si>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</si>
  <si>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</si>
  <si>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</si>
  <si>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</si>
  <si>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</si>
  <si>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</si>
  <si>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</si>
  <si>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</si>
  <si>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</si>
  <si>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</si>
  <si>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</si>
  <si>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</si>
  <si>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</si>
  <si>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</si>
  <si>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</si>
  <si>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</si>
  <si>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</si>
  <si>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</si>
  <si>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</si>
  <si>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</si>
  <si>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</si>
  <si>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</si>
  <si>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</si>
  <si>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</si>
  <si>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</si>
  <si>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</si>
  <si>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</si>
  <si>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</si>
  <si>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</si>
  <si>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</si>
  <si>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</si>
  <si>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</si>
  <si>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</si>
  <si>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</si>
  <si>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</si>
  <si>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</si>
  <si>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</si>
  <si>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</si>
  <si>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</si>
  <si>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</si>
  <si>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</si>
  <si>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</si>
  <si>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</si>
  <si>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</si>
  <si>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</si>
  <si>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</si>
  <si>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</si>
  <si>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</si>
  <si>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</si>
  <si>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</si>
  <si>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</si>
  <si>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</si>
  <si>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</si>
  <si>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</si>
  <si>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</si>
  <si>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</si>
  <si>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</si>
  <si>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</si>
  <si>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</si>
  <si>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</si>
  <si>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</si>
  <si>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</si>
  <si>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</si>
  <si>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</si>
  <si>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</si>
  <si>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</si>
  <si>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</si>
  <si>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</si>
  <si>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</si>
  <si>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</si>
  <si>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</si>
  <si>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</si>
  <si>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</si>
  <si>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</si>
  <si>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</si>
  <si>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</si>
  <si>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</si>
  <si>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</si>
  <si>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</si>
  <si>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</si>
  <si>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</si>
  <si>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</si>
  <si>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</si>
  <si>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</si>
  <si>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</si>
  <si>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</si>
  <si>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</si>
  <si>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</si>
  <si>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</si>
  <si>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</si>
  <si>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</si>
  <si>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</si>
  <si>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</si>
  <si>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</si>
  <si>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</si>
  <si>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</si>
  <si>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</si>
  <si>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</si>
  <si>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</si>
  <si>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</si>
  <si>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</si>
  <si>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</si>
  <si>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</si>
  <si>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</si>
  <si>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</si>
  <si>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</si>
  <si>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</si>
  <si>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</si>
  <si>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</si>
  <si>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</si>
  <si>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</si>
  <si>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</si>
  <si>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</si>
  <si>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</si>
  <si>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</si>
  <si>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</si>
  <si>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</si>
  <si>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</si>
  <si>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</si>
  <si>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</si>
  <si>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</si>
  <si>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</si>
  <si>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</si>
  <si>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</si>
  <si>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</si>
  <si>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</si>
  <si>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</si>
  <si>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</si>
  <si>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</si>
  <si>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</si>
  <si>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</si>
  <si>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</si>
  <si>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</si>
  <si>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</si>
  <si>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</si>
  <si>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</si>
  <si>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</si>
  <si>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</si>
  <si>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</si>
  <si>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</si>
  <si>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</si>
  <si>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</si>
  <si>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</si>
  <si>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</si>
  <si>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</si>
  <si>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</si>
  <si>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</si>
  <si>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</si>
  <si>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</si>
  <si>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</si>
  <si>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</si>
  <si>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</si>
  <si>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</si>
  <si>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</si>
  <si>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</si>
  <si>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</si>
  <si>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</si>
  <si>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</si>
  <si>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</si>
  <si>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</si>
  <si>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</si>
  <si>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</si>
  <si>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</si>
  <si>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</si>
  <si>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</si>
  <si>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</si>
  <si>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</si>
  <si>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</si>
  <si>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</si>
  <si>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</si>
  <si>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</si>
  <si>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</si>
  <si>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</si>
  <si>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</si>
  <si>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</si>
  <si>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</si>
  <si>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</si>
  <si>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</si>
  <si>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</si>
  <si>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</si>
  <si>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</si>
  <si>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</si>
  <si>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</si>
  <si>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</si>
  <si>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</si>
  <si>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</si>
  <si>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</si>
  <si>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</si>
  <si>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</si>
  <si>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</si>
  <si>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</si>
  <si>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</si>
  <si>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</si>
  <si>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</si>
  <si>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</si>
  <si>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</si>
  <si>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</si>
  <si>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</si>
  <si>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</si>
  <si>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</si>
  <si>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</si>
  <si>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</si>
  <si>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</si>
  <si>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</si>
  <si>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</si>
  <si>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</si>
  <si>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</si>
  <si>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</si>
  <si>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</si>
  <si>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</si>
  <si>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</si>
  <si>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</si>
  <si>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</si>
  <si>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</si>
  <si>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</si>
  <si>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</si>
  <si>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</si>
  <si>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</si>
  <si>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</si>
  <si>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</si>
  <si>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</si>
  <si>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</si>
  <si>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</si>
  <si>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</si>
  <si>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</si>
  <si>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</si>
  <si>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</si>
  <si>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</si>
  <si>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</si>
  <si>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</si>
  <si>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</si>
  <si>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</si>
  <si>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</si>
  <si>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</si>
  <si>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</si>
  <si>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</si>
  <si>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</si>
  <si>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</si>
  <si>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</si>
  <si>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</si>
  <si>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</si>
  <si>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</si>
  <si>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</si>
  <si>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</si>
  <si>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</si>
  <si>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</si>
  <si>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</si>
  <si>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</si>
  <si>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</si>
  <si>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</si>
  <si>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</si>
  <si>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</si>
  <si>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</si>
  <si>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</si>
  <si>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</si>
  <si>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</si>
  <si>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</si>
  <si>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</si>
  <si>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</si>
  <si>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</si>
  <si>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</si>
  <si>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</si>
  <si>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</si>
  <si>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</si>
  <si>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</si>
  <si>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</si>
  <si>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</si>
  <si>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</si>
  <si>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</si>
  <si>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</si>
  <si>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</si>
  <si>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</si>
  <si>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</si>
  <si>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</si>
  <si>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</si>
  <si>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</si>
  <si>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</si>
  <si>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</si>
  <si>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</si>
  <si>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</si>
  <si>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</si>
  <si>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</si>
  <si>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</si>
  <si>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</si>
  <si>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</si>
  <si>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</si>
  <si>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</si>
  <si>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</si>
  <si>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</si>
  <si>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</si>
  <si>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</si>
  <si>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</si>
  <si>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</si>
  <si>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</si>
  <si>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</si>
  <si>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</si>
  <si>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</si>
  <si>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</si>
  <si>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</si>
  <si>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</si>
  <si>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</si>
  <si>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</si>
  <si>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</si>
  <si>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</si>
  <si>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</si>
  <si>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</si>
  <si>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</si>
  <si>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</si>
  <si>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</si>
  <si>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</si>
  <si>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</si>
  <si>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</si>
  <si>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</si>
  <si>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</si>
  <si>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</si>
  <si>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</si>
  <si>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</si>
  <si>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</si>
  <si>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</si>
  <si>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</si>
  <si>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</si>
  <si>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</si>
  <si>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</si>
  <si>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</si>
  <si>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</si>
  <si>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</si>
  <si>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</si>
  <si>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</si>
  <si>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</si>
  <si>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</si>
  <si>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</si>
  <si>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</si>
  <si>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</si>
  <si>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</si>
  <si>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</si>
  <si>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</si>
  <si>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</si>
  <si>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</si>
  <si>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</si>
  <si>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</si>
  <si>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</si>
  <si>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</si>
  <si>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</si>
  <si>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</si>
  <si>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</si>
  <si>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</si>
  <si>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</si>
  <si>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</si>
  <si>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</si>
  <si>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</si>
  <si>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</si>
  <si>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</si>
  <si>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</si>
  <si>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</si>
  <si>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</si>
  <si>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</si>
  <si>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</si>
  <si>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</si>
  <si>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</si>
  <si>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</si>
  <si>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</si>
  <si>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</si>
  <si>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</si>
  <si>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</si>
  <si>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</si>
  <si>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</si>
  <si>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</si>
  <si>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</si>
  <si>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</si>
  <si>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</si>
  <si>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</si>
  <si>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</si>
  <si>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</si>
  <si>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</si>
  <si>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</si>
  <si>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</si>
  <si>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</si>
  <si>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</si>
  <si>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</si>
  <si>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</si>
  <si>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</si>
  <si>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</si>
  <si>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</si>
  <si>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</si>
  <si>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</si>
  <si>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</si>
  <si>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</si>
  <si>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</si>
  <si>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</si>
  <si>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</si>
  <si>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</si>
  <si>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</si>
  <si>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</si>
  <si>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</si>
  <si>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</si>
  <si>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</si>
  <si>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</si>
  <si>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</si>
  <si>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</si>
  <si>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</si>
  <si>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</si>
  <si>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</si>
  <si>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</si>
  <si>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</si>
  <si>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</si>
  <si>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</si>
  <si>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</si>
  <si>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</si>
  <si>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</si>
  <si>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</si>
  <si>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</si>
  <si>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</si>
  <si>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</si>
  <si>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</si>
  <si>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</si>
  <si>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</si>
  <si>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</si>
  <si>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</si>
  <si>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</si>
  <si>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</si>
  <si>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</si>
  <si>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</si>
  <si>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</si>
  <si>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</si>
  <si>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</si>
  <si>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</si>
  <si>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</si>
  <si>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</si>
  <si>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</si>
  <si>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</si>
  <si>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</si>
  <si>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</si>
  <si>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</si>
  <si>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</si>
  <si>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</si>
  <si>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</si>
  <si>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</si>
  <si>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</si>
  <si>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</si>
  <si>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</si>
  <si>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</si>
  <si>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</si>
  <si>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</si>
  <si>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</si>
  <si>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</si>
  <si>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</si>
  <si>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</si>
  <si>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</si>
  <si>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</si>
  <si>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</si>
  <si>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</si>
  <si>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</si>
  <si>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</si>
  <si>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</si>
  <si>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</si>
  <si>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</si>
  <si>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</si>
  <si>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</si>
  <si>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</si>
  <si>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</si>
  <si>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</si>
  <si>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</si>
  <si>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</si>
  <si>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</si>
  <si>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</si>
  <si>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</si>
  <si>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</si>
  <si>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</si>
  <si>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</si>
  <si>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</si>
  <si>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</si>
  <si>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</si>
  <si>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</si>
  <si>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</si>
  <si>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</si>
  <si>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</si>
  <si>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</si>
  <si>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</si>
  <si>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</si>
  <si>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</si>
  <si>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</si>
  <si>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</si>
  <si>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</si>
  <si>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</si>
  <si>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</si>
  <si>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</si>
  <si>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</si>
  <si>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</si>
  <si>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</si>
  <si>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</si>
  <si>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</si>
  <si>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</si>
  <si>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</si>
  <si>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</si>
  <si>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</si>
  <si>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</si>
  <si>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</si>
  <si>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</si>
  <si>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</si>
  <si>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</si>
  <si>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</si>
  <si>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</si>
  <si>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</si>
  <si>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</si>
  <si>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</si>
  <si>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</si>
  <si>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</si>
  <si>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</si>
  <si>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</si>
  <si>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</si>
  <si>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</si>
  <si>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</si>
  <si>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</si>
  <si>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</si>
  <si>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</si>
  <si>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</si>
  <si>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</si>
  <si>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</si>
  <si>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</si>
  <si>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</si>
  <si>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</si>
  <si>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</si>
  <si>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</si>
  <si>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</si>
  <si>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</si>
  <si>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</si>
  <si>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</si>
  <si>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</si>
  <si>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</si>
  <si>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</si>
  <si>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</si>
  <si>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</si>
  <si>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</si>
  <si>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</si>
  <si>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</si>
  <si>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</si>
  <si>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</si>
  <si>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</si>
  <si>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</si>
  <si>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</si>
  <si>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</si>
  <si>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</si>
  <si>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</si>
  <si>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</si>
  <si>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</si>
  <si>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</si>
  <si>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</si>
  <si>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</si>
  <si>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</si>
  <si>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</si>
  <si>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</si>
  <si>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</si>
  <si>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</si>
  <si>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</si>
  <si>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</si>
  <si>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</si>
  <si>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</si>
  <si>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</si>
  <si>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</si>
  <si>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</si>
  <si>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</si>
  <si>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</si>
  <si>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</si>
  <si>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</si>
  <si>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</si>
  <si>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</si>
  <si>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</si>
  <si>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</si>
  <si>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</si>
  <si>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</si>
  <si>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</si>
  <si>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</si>
  <si>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</si>
  <si>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</si>
  <si>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</si>
  <si>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</si>
  <si>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</si>
  <si>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</si>
  <si>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</si>
  <si>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</si>
  <si>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</si>
  <si>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</si>
  <si>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</si>
  <si>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</si>
  <si>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</si>
  <si>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</si>
  <si>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</si>
  <si>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</si>
  <si>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</si>
  <si>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</si>
  <si>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</si>
  <si>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</si>
  <si>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</si>
  <si>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</si>
  <si>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</si>
  <si>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</si>
  <si>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</si>
  <si>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</si>
  <si>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</si>
  <si>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</si>
  <si>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</si>
  <si>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</si>
  <si>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</si>
  <si>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</si>
  <si>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</si>
  <si>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</si>
  <si>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</si>
  <si>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</si>
  <si>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</si>
  <si>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</si>
  <si>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</si>
  <si>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</si>
  <si>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</si>
  <si>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</si>
  <si>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</si>
  <si>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</si>
  <si>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</si>
  <si>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</si>
  <si>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</si>
  <si>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</si>
  <si>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</si>
  <si>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</si>
  <si>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</si>
  <si>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</si>
  <si>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</si>
  <si>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</si>
  <si>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</si>
  <si>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</si>
  <si>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</si>
  <si>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</si>
  <si>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</si>
  <si>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</si>
  <si>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</si>
  <si>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</si>
  <si>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</si>
  <si>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</si>
  <si>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</si>
  <si>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</si>
  <si>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</si>
  <si>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</si>
  <si>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</si>
  <si>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</si>
  <si>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</si>
  <si>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</si>
  <si>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</si>
  <si>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</si>
  <si>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</si>
  <si>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</si>
  <si>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</si>
  <si>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</si>
  <si>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</si>
  <si>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</si>
  <si>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</si>
  <si>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</si>
  <si>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</si>
  <si>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</si>
  <si>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</si>
  <si>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</si>
  <si>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</si>
  <si>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</si>
  <si>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</si>
  <si>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</si>
  <si>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</si>
  <si>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</si>
  <si>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</si>
  <si>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</si>
  <si>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</si>
  <si>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</si>
  <si>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</si>
  <si>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</si>
  <si>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</si>
  <si>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</si>
  <si>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6/97</t>
  </si>
  <si>
    <t>11/01</t>
  </si>
  <si>
    <t>8/03</t>
  </si>
  <si>
    <t>7/10</t>
  </si>
  <si>
    <t>7/11</t>
  </si>
  <si>
    <t>11/21</t>
  </si>
  <si>
    <t>2/23</t>
  </si>
  <si>
    <t>Oyster River 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</si>
</sst>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6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B56A1-5EDF-4585-A06D-33C5E31F71BA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901</v>
      </c>
      <c r="B2" s="21">
        <v>423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2524699.0699999998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60307.54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365296.77</v>
      </c>
      <c r="G12" s="18">
        <v>27400.46</v>
      </c>
      <c r="H12" s="18">
        <v>-392697.23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172952.74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76210.009999999995</v>
      </c>
      <c r="G14" s="18">
        <v>15963.05</v>
      </c>
      <c r="H14" s="18"/>
      <c r="I14" s="18"/>
      <c r="J14" s="67">
        <f>SUM(I435)</f>
        <v>832691.44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2966205.8499999996</v>
      </c>
      <c r="G19" s="41">
        <f>SUM(G9:G18)</f>
        <v>43363.509999999995</v>
      </c>
      <c r="H19" s="41">
        <f>SUM(H9:H18)</f>
        <v>-392697.23</v>
      </c>
      <c r="I19" s="41">
        <f>SUM(I9:I18)</f>
        <v>0</v>
      </c>
      <c r="J19" s="41">
        <f>SUM(J9:J18)</f>
        <v>1065951.72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418051.75</v>
      </c>
      <c r="G25" s="18">
        <v>18215.169999999998</v>
      </c>
      <c r="H25" s="18">
        <v>21763.200000000001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300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690209.56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175</v>
      </c>
      <c r="G31" s="18">
        <v>25148.34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1108736.31</v>
      </c>
      <c r="G33" s="41">
        <f>SUM(G23:G32)</f>
        <v>43363.509999999995</v>
      </c>
      <c r="H33" s="41">
        <f>SUM(H23:H32)</f>
        <v>21763.200000000001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167161.25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1065951.72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0.01-0.01</f>
        <v>0</v>
      </c>
      <c r="H41" s="18">
        <f>-358278.36-56182.07</f>
        <v>-414460.43</v>
      </c>
      <c r="I41" s="18">
        <f>143564.31-143564.31</f>
        <v>0</v>
      </c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1857469.54-167161.25</f>
        <v>1690308.29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1857469.54</v>
      </c>
      <c r="G43" s="41">
        <f>SUM(G35:G42)</f>
        <v>0</v>
      </c>
      <c r="H43" s="41">
        <f>SUM(H35:H42)</f>
        <v>-414460.43</v>
      </c>
      <c r="I43" s="41">
        <f>SUM(I35:I42)</f>
        <v>0</v>
      </c>
      <c r="J43" s="41">
        <f>SUM(J35:J42)</f>
        <v>1065951.72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2966205.85</v>
      </c>
      <c r="G44" s="41">
        <f>G43+G33</f>
        <v>43363.509999999995</v>
      </c>
      <c r="H44" s="41">
        <f>H43+H33</f>
        <v>-392697.23</v>
      </c>
      <c r="I44" s="41">
        <f>I43+I33</f>
        <v>0</v>
      </c>
      <c r="J44" s="41">
        <f>J43+J33</f>
        <v>1065951.72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25139787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25139787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21911.74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6850</v>
      </c>
      <c r="G56" s="24" t="s">
        <v>312</v>
      </c>
      <c r="H56" s="18">
        <v>-2100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438121.48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>
        <v>37265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466883.22</v>
      </c>
      <c r="G71" s="45" t="s">
        <v>312</v>
      </c>
      <c r="H71" s="41">
        <f>SUM(H55:H70)</f>
        <v>35165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/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13044.97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13044.97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13429.38</v>
      </c>
      <c r="G88" s="18">
        <v>629.21</v>
      </c>
      <c r="H88" s="18"/>
      <c r="I88" s="18">
        <v>92.55</v>
      </c>
      <c r="J88" s="18">
        <v>1276.51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465026.93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16367.25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5500</v>
      </c>
      <c r="I94" s="18"/>
      <c r="J94" s="18">
        <v>11227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8250.5400000000009</v>
      </c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14369.73</v>
      </c>
      <c r="G102" s="18"/>
      <c r="H102" s="18">
        <v>-74.650000000000006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52416.899999999994</v>
      </c>
      <c r="G103" s="41">
        <f>SUM(G88:G102)</f>
        <v>465656.14</v>
      </c>
      <c r="H103" s="41">
        <f>SUM(H88:H102)</f>
        <v>5425.35</v>
      </c>
      <c r="I103" s="41">
        <f>SUM(I88:I102)</f>
        <v>92.55</v>
      </c>
      <c r="J103" s="41">
        <f>SUM(J88:J102)</f>
        <v>12503.51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25672132.089999996</v>
      </c>
      <c r="G104" s="41">
        <f>G52+G103</f>
        <v>465656.14</v>
      </c>
      <c r="H104" s="41">
        <f>H52+H71+H86+H103</f>
        <v>40590.35</v>
      </c>
      <c r="I104" s="41">
        <f>I52+I103</f>
        <v>92.55</v>
      </c>
      <c r="J104" s="41">
        <f>J52+J103</f>
        <v>12503.51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4742029.92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3459334.56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171992.08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8373356.5600000005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678618.24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113038.45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3400.17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6147.84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14100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795056.86</v>
      </c>
      <c r="G128" s="41">
        <f>SUM(G115:G127)</f>
        <v>6147.84</v>
      </c>
      <c r="H128" s="41">
        <f>SUM(H115:H127)</f>
        <v>14100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>
        <v>3500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9168413.4199999999</v>
      </c>
      <c r="G132" s="41">
        <f>G113+SUM(G128:G129)</f>
        <v>6147.84</v>
      </c>
      <c r="H132" s="41">
        <f>H113+SUM(H128:H131)</f>
        <v>17600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>
        <v>4050</v>
      </c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4050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171244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161932.03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64575.68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553163.53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184077.22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34584.120000000003</v>
      </c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218661.34</v>
      </c>
      <c r="G154" s="41">
        <f>SUM(G142:G153)</f>
        <v>64575.68</v>
      </c>
      <c r="H154" s="41">
        <f>SUM(H142:H153)</f>
        <v>886339.56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218661.34</v>
      </c>
      <c r="G161" s="41">
        <f>G139+G154+SUM(G155:G160)</f>
        <v>64575.68</v>
      </c>
      <c r="H161" s="41">
        <f>H139+H154+SUM(H155:H160)</f>
        <v>890389.56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76073.13</v>
      </c>
      <c r="H171" s="18"/>
      <c r="I171" s="18"/>
      <c r="J171" s="18">
        <v>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-149.08000000000001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77932.86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77783.78</v>
      </c>
      <c r="G175" s="41">
        <f>SUM(G171:G174)</f>
        <v>76073.13</v>
      </c>
      <c r="H175" s="41">
        <f>SUM(H171:H174)</f>
        <v>0</v>
      </c>
      <c r="I175" s="41">
        <f>SUM(I171:I174)</f>
        <v>0</v>
      </c>
      <c r="J175" s="41">
        <f>SUM(J171:J174)</f>
        <v>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1050</v>
      </c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78833.78</v>
      </c>
      <c r="G184" s="41">
        <f>G175+SUM(G180:G183)</f>
        <v>76073.13</v>
      </c>
      <c r="H184" s="41">
        <f>+H175+SUM(H180:H183)</f>
        <v>0</v>
      </c>
      <c r="I184" s="41">
        <f>I169+I175+SUM(I180:I183)</f>
        <v>0</v>
      </c>
      <c r="J184" s="41">
        <f>J175</f>
        <v>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35138040.630000003</v>
      </c>
      <c r="G185" s="47">
        <f>G104+G132+G161+G184</f>
        <v>612452.79</v>
      </c>
      <c r="H185" s="47">
        <f>H104+H132+H161+H184</f>
        <v>948579.91</v>
      </c>
      <c r="I185" s="47">
        <f>I104+I132+I161+I184</f>
        <v>92.55</v>
      </c>
      <c r="J185" s="47">
        <f>J104+J132+J184</f>
        <v>62503.51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3158571.17+63112</f>
        <v>3221683.17</v>
      </c>
      <c r="G189" s="18">
        <f>1124450.19+28114.64</f>
        <v>1152564.8299999998</v>
      </c>
      <c r="H189" s="18">
        <f>24112.31+99070.05</f>
        <v>123182.36</v>
      </c>
      <c r="I189" s="18">
        <f>155044.47+8582.33</f>
        <v>163626.79999999999</v>
      </c>
      <c r="J189" s="18">
        <f>89134.35+3986.37</f>
        <v>93120.72</v>
      </c>
      <c r="K189" s="18"/>
      <c r="L189" s="19">
        <f>SUM(F189:K189)</f>
        <v>4754177.88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1292207.53</v>
      </c>
      <c r="G190" s="18">
        <v>470454.67</v>
      </c>
      <c r="H190" s="18">
        <v>940388.34</v>
      </c>
      <c r="I190" s="18">
        <v>5583.87</v>
      </c>
      <c r="J190" s="18">
        <v>3975.64</v>
      </c>
      <c r="K190" s="18">
        <v>4635.0600000000004</v>
      </c>
      <c r="L190" s="19">
        <f>SUM(F190:K190)</f>
        <v>2717245.1100000003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49359.4</v>
      </c>
      <c r="G192" s="18">
        <v>5195.76</v>
      </c>
      <c r="H192" s="18">
        <v>50741.49</v>
      </c>
      <c r="I192" s="18">
        <v>688.13</v>
      </c>
      <c r="J192" s="18"/>
      <c r="K192" s="18"/>
      <c r="L192" s="19">
        <f>SUM(F192:K192)</f>
        <v>105984.78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632375.89</v>
      </c>
      <c r="G194" s="18">
        <v>264305.90999999997</v>
      </c>
      <c r="H194" s="18">
        <v>7173.4</v>
      </c>
      <c r="I194" s="18">
        <v>8341.39</v>
      </c>
      <c r="J194" s="18"/>
      <c r="K194" s="18"/>
      <c r="L194" s="19">
        <f t="shared" ref="L194:L200" si="0">SUM(F194:K194)</f>
        <v>912196.59000000008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223543.37</v>
      </c>
      <c r="G195" s="18">
        <v>58458.35</v>
      </c>
      <c r="H195" s="18">
        <v>24548.35</v>
      </c>
      <c r="I195" s="18">
        <v>44150.26</v>
      </c>
      <c r="J195" s="18">
        <v>10596.74</v>
      </c>
      <c r="K195" s="18"/>
      <c r="L195" s="19">
        <f t="shared" si="0"/>
        <v>361297.06999999995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217426.29</v>
      </c>
      <c r="G196" s="18">
        <v>147939.89000000001</v>
      </c>
      <c r="H196" s="18">
        <v>41441.49</v>
      </c>
      <c r="I196" s="18">
        <v>3554</v>
      </c>
      <c r="J196" s="18">
        <v>1140.3699999999999</v>
      </c>
      <c r="K196" s="18">
        <v>2847.75</v>
      </c>
      <c r="L196" s="19">
        <f t="shared" si="0"/>
        <v>414349.79000000004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318578.74</v>
      </c>
      <c r="G197" s="18">
        <v>144516.41</v>
      </c>
      <c r="H197" s="18">
        <v>2976.38</v>
      </c>
      <c r="I197" s="18">
        <v>10806.14</v>
      </c>
      <c r="J197" s="18">
        <v>1294</v>
      </c>
      <c r="K197" s="18">
        <v>983.8</v>
      </c>
      <c r="L197" s="19">
        <f t="shared" si="0"/>
        <v>479155.47000000003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45422.13</v>
      </c>
      <c r="G198" s="18">
        <v>35890.730000000003</v>
      </c>
      <c r="H198" s="18">
        <v>43782.04</v>
      </c>
      <c r="I198" s="18">
        <v>2518.7800000000002</v>
      </c>
      <c r="J198" s="18">
        <v>2811.2</v>
      </c>
      <c r="K198" s="18">
        <v>615.44000000000005</v>
      </c>
      <c r="L198" s="19">
        <f t="shared" si="0"/>
        <v>131040.31999999999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288908.63</v>
      </c>
      <c r="G199" s="18">
        <v>179911.83</v>
      </c>
      <c r="H199" s="18">
        <v>381102.87</v>
      </c>
      <c r="I199" s="18">
        <v>227924.48000000001</v>
      </c>
      <c r="J199" s="18">
        <v>32253.01</v>
      </c>
      <c r="K199" s="18"/>
      <c r="L199" s="19">
        <f t="shared" si="0"/>
        <v>1110100.82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201288.86</v>
      </c>
      <c r="G200" s="18">
        <v>143808.76999999999</v>
      </c>
      <c r="H200" s="18">
        <v>67165.09</v>
      </c>
      <c r="I200" s="18">
        <v>41199.83</v>
      </c>
      <c r="J200" s="18">
        <v>60922.559999999998</v>
      </c>
      <c r="K200" s="18">
        <v>338.01</v>
      </c>
      <c r="L200" s="19">
        <f t="shared" si="0"/>
        <v>514723.12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f>100400.97-99070.05</f>
        <v>1330.9199999999983</v>
      </c>
      <c r="I201" s="18">
        <f>9288.43-8582.33</f>
        <v>706.10000000000036</v>
      </c>
      <c r="J201" s="18"/>
      <c r="K201" s="18">
        <v>1784.85</v>
      </c>
      <c r="L201" s="19">
        <f>SUM(F201:K201)</f>
        <v>3821.8699999999985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6490794.0100000007</v>
      </c>
      <c r="G203" s="41">
        <f t="shared" si="1"/>
        <v>2603047.15</v>
      </c>
      <c r="H203" s="41">
        <f t="shared" si="1"/>
        <v>1683832.7299999997</v>
      </c>
      <c r="I203" s="41">
        <f t="shared" si="1"/>
        <v>509099.78</v>
      </c>
      <c r="J203" s="41">
        <f t="shared" si="1"/>
        <v>206114.24</v>
      </c>
      <c r="K203" s="41">
        <f t="shared" si="1"/>
        <v>11204.910000000002</v>
      </c>
      <c r="L203" s="41">
        <f t="shared" si="1"/>
        <v>11504092.820000002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3370684.69</v>
      </c>
      <c r="G207" s="18">
        <v>1159967.8899999999</v>
      </c>
      <c r="H207" s="18">
        <v>30366.66</v>
      </c>
      <c r="I207" s="18">
        <v>103587.97</v>
      </c>
      <c r="J207" s="18">
        <v>50468.87</v>
      </c>
      <c r="K207" s="18"/>
      <c r="L207" s="19">
        <f>SUM(F207:K207)</f>
        <v>4715076.08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1045751.54</v>
      </c>
      <c r="G208" s="18">
        <v>393640.47</v>
      </c>
      <c r="H208" s="18">
        <v>103272.55</v>
      </c>
      <c r="I208" s="18">
        <v>6912.17</v>
      </c>
      <c r="J208" s="18">
        <v>10061.89</v>
      </c>
      <c r="K208" s="18">
        <v>4635.05</v>
      </c>
      <c r="L208" s="19">
        <f>SUM(F208:K208)</f>
        <v>1564273.67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93080.41</v>
      </c>
      <c r="G210" s="18">
        <v>11893.98</v>
      </c>
      <c r="H210" s="18">
        <v>23039.25</v>
      </c>
      <c r="I210" s="18">
        <v>2204.17</v>
      </c>
      <c r="J210" s="18"/>
      <c r="K210" s="18"/>
      <c r="L210" s="19">
        <f>SUM(F210:K210)</f>
        <v>130217.81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560732.5+74088</f>
        <v>634820.5</v>
      </c>
      <c r="G212" s="18">
        <f>174211.77+33004.17</f>
        <v>207215.94</v>
      </c>
      <c r="H212" s="18">
        <f>16953.1+100356</f>
        <v>117309.1</v>
      </c>
      <c r="I212" s="18">
        <f>3261.34+1923.33</f>
        <v>5184.67</v>
      </c>
      <c r="J212" s="18">
        <v>4679.6499999999996</v>
      </c>
      <c r="K212" s="18"/>
      <c r="L212" s="19">
        <f t="shared" ref="L212:L218" si="2">SUM(F212:K212)</f>
        <v>969209.86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213585.43</v>
      </c>
      <c r="G213" s="18">
        <v>58537.49</v>
      </c>
      <c r="H213" s="18">
        <v>42875.43</v>
      </c>
      <c r="I213" s="18">
        <v>40461.040000000001</v>
      </c>
      <c r="J213" s="18">
        <v>10507.44</v>
      </c>
      <c r="K213" s="18"/>
      <c r="L213" s="19">
        <f t="shared" si="2"/>
        <v>365966.82999999996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247599.8</v>
      </c>
      <c r="G214" s="18">
        <v>145024.74</v>
      </c>
      <c r="H214" s="18">
        <v>39424.76</v>
      </c>
      <c r="I214" s="18">
        <v>3275.16</v>
      </c>
      <c r="J214" s="18">
        <v>1106.82</v>
      </c>
      <c r="K214" s="18">
        <v>2766.17</v>
      </c>
      <c r="L214" s="19">
        <f t="shared" si="2"/>
        <v>439197.44999999995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247245.07</v>
      </c>
      <c r="G215" s="18">
        <v>123426.56</v>
      </c>
      <c r="H215" s="18">
        <v>2071.5100000000002</v>
      </c>
      <c r="I215" s="18">
        <v>3190.3</v>
      </c>
      <c r="J215" s="18">
        <v>899</v>
      </c>
      <c r="K215" s="18">
        <v>728</v>
      </c>
      <c r="L215" s="19">
        <f t="shared" si="2"/>
        <v>377560.44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53321.64</v>
      </c>
      <c r="G216" s="18">
        <v>32837.32</v>
      </c>
      <c r="H216" s="18">
        <v>40210.57</v>
      </c>
      <c r="I216" s="18">
        <v>2299.36</v>
      </c>
      <c r="J216" s="18">
        <v>2600.8000000000002</v>
      </c>
      <c r="K216" s="18">
        <v>563.09</v>
      </c>
      <c r="L216" s="19">
        <f t="shared" si="2"/>
        <v>131832.78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276937.49</v>
      </c>
      <c r="G217" s="18">
        <v>164886.04999999999</v>
      </c>
      <c r="H217" s="18">
        <v>241059.11</v>
      </c>
      <c r="I217" s="18">
        <v>188166.59</v>
      </c>
      <c r="J217" s="18">
        <v>39576.47</v>
      </c>
      <c r="K217" s="18"/>
      <c r="L217" s="19">
        <f t="shared" si="2"/>
        <v>910625.70999999985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193404.5</v>
      </c>
      <c r="G218" s="18">
        <v>149516.13</v>
      </c>
      <c r="H218" s="18">
        <v>83302.240000000005</v>
      </c>
      <c r="I218" s="18">
        <v>48211.05</v>
      </c>
      <c r="J218" s="18">
        <v>71342.880000000005</v>
      </c>
      <c r="K218" s="18">
        <v>396.79</v>
      </c>
      <c r="L218" s="19">
        <f t="shared" si="2"/>
        <v>546173.59000000008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>
        <f>101639.92-100356</f>
        <v>1283.9199999999983</v>
      </c>
      <c r="I219" s="18">
        <f>2752.23-1923.33</f>
        <v>828.90000000000009</v>
      </c>
      <c r="J219" s="18"/>
      <c r="K219" s="18">
        <v>2095.27</v>
      </c>
      <c r="L219" s="19">
        <f>SUM(F219:K219)</f>
        <v>4208.0899999999983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6376431.0700000003</v>
      </c>
      <c r="G221" s="41">
        <f>SUM(G207:G220)</f>
        <v>2446946.5699999994</v>
      </c>
      <c r="H221" s="41">
        <f>SUM(H207:H220)</f>
        <v>724215.1</v>
      </c>
      <c r="I221" s="41">
        <f>SUM(I207:I220)</f>
        <v>404321.37999999995</v>
      </c>
      <c r="J221" s="41">
        <f>SUM(J207:J220)</f>
        <v>191243.82</v>
      </c>
      <c r="K221" s="41">
        <f t="shared" si="3"/>
        <v>11184.37</v>
      </c>
      <c r="L221" s="41">
        <f t="shared" si="3"/>
        <v>10154342.309999999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3174043.69</v>
      </c>
      <c r="G225" s="18">
        <v>1262936.05</v>
      </c>
      <c r="H225" s="18">
        <v>27100.11</v>
      </c>
      <c r="I225" s="18">
        <v>132337.71</v>
      </c>
      <c r="J225" s="18">
        <v>63850.09</v>
      </c>
      <c r="K225" s="18">
        <v>60</v>
      </c>
      <c r="L225" s="19">
        <f>SUM(F225:K225)</f>
        <v>4660327.6500000004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1001387.54</v>
      </c>
      <c r="G226" s="18">
        <v>397963.89</v>
      </c>
      <c r="H226" s="18">
        <v>222364.13</v>
      </c>
      <c r="I226" s="18">
        <v>5577.09</v>
      </c>
      <c r="J226" s="18">
        <v>7532.53</v>
      </c>
      <c r="K226" s="18">
        <v>4635.04</v>
      </c>
      <c r="L226" s="19">
        <f>SUM(F226:K226)</f>
        <v>1639460.2200000002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9262.6200000000008</v>
      </c>
      <c r="I227" s="18"/>
      <c r="J227" s="18"/>
      <c r="K227" s="18"/>
      <c r="L227" s="19">
        <f>SUM(F227:K227)</f>
        <v>9262.6200000000008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274770.05</v>
      </c>
      <c r="G228" s="18">
        <v>62374.65</v>
      </c>
      <c r="H228" s="18">
        <v>68171.38</v>
      </c>
      <c r="I228" s="18">
        <v>60814.080000000002</v>
      </c>
      <c r="J228" s="18"/>
      <c r="K228" s="18">
        <v>50444.15</v>
      </c>
      <c r="L228" s="19">
        <f>SUM(F228:K228)</f>
        <v>516574.31000000006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546186.34+137200.01</f>
        <v>683386.35</v>
      </c>
      <c r="G230" s="18">
        <f>211917.64+61118.83</f>
        <v>273036.47000000003</v>
      </c>
      <c r="H230" s="18">
        <f>21932+102634.02</f>
        <v>124566.02</v>
      </c>
      <c r="I230" s="18">
        <f>4218.8+3561.73</f>
        <v>7780.5300000000007</v>
      </c>
      <c r="J230" s="18">
        <f>1128+8666.03</f>
        <v>9794.0300000000007</v>
      </c>
      <c r="K230" s="18"/>
      <c r="L230" s="19">
        <f t="shared" ref="L230:L236" si="4">SUM(F230:K230)</f>
        <v>1098563.4000000001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155801.34</v>
      </c>
      <c r="G231" s="18">
        <v>47396.49</v>
      </c>
      <c r="H231" s="18">
        <v>34022.019999999997</v>
      </c>
      <c r="I231" s="18">
        <v>49090.36</v>
      </c>
      <c r="J231" s="18">
        <v>7198.35</v>
      </c>
      <c r="K231" s="18"/>
      <c r="L231" s="19">
        <f t="shared" si="4"/>
        <v>293508.55999999994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382972.65</v>
      </c>
      <c r="G232" s="18">
        <v>164443.29999999999</v>
      </c>
      <c r="H232" s="18">
        <v>47699.56</v>
      </c>
      <c r="I232" s="18">
        <v>3700.58</v>
      </c>
      <c r="J232" s="18">
        <v>1106.83</v>
      </c>
      <c r="K232" s="18">
        <v>3775.99</v>
      </c>
      <c r="L232" s="19">
        <f t="shared" si="4"/>
        <v>603698.90999999992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362605.45</v>
      </c>
      <c r="G233" s="18">
        <v>135563.54999999999</v>
      </c>
      <c r="H233" s="18">
        <v>7455.24</v>
      </c>
      <c r="I233" s="18">
        <v>20377.11</v>
      </c>
      <c r="J233" s="18">
        <v>1298</v>
      </c>
      <c r="K233" s="18">
        <v>5584</v>
      </c>
      <c r="L233" s="19">
        <f t="shared" si="4"/>
        <v>532883.35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98743.79</v>
      </c>
      <c r="G234" s="18">
        <v>35484.29</v>
      </c>
      <c r="H234" s="18">
        <v>43319.58</v>
      </c>
      <c r="I234" s="18">
        <v>2484.91</v>
      </c>
      <c r="J234" s="18">
        <v>2764.34</v>
      </c>
      <c r="K234" s="18">
        <v>608.47</v>
      </c>
      <c r="L234" s="19">
        <f t="shared" si="4"/>
        <v>183405.37999999998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371311.35999999999</v>
      </c>
      <c r="G235" s="18">
        <v>212764.55</v>
      </c>
      <c r="H235" s="18">
        <v>291945.38</v>
      </c>
      <c r="I235" s="18">
        <v>414639.01</v>
      </c>
      <c r="J235" s="18">
        <v>21829.29</v>
      </c>
      <c r="K235" s="18"/>
      <c r="L235" s="19">
        <f t="shared" si="4"/>
        <v>1312489.5899999999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396173.32</v>
      </c>
      <c r="G236" s="18">
        <v>277133.15000000002</v>
      </c>
      <c r="H236" s="18">
        <v>159047.82999999999</v>
      </c>
      <c r="I236" s="18">
        <v>107428.68</v>
      </c>
      <c r="J236" s="18">
        <v>131710.56</v>
      </c>
      <c r="K236" s="18">
        <v>734.8</v>
      </c>
      <c r="L236" s="19">
        <f t="shared" si="4"/>
        <v>1072228.3400000001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>
        <f>104010.18-102634.02</f>
        <v>1376.1599999999889</v>
      </c>
      <c r="I237" s="18">
        <f>5096.73-3561.73</f>
        <v>1534.9999999999995</v>
      </c>
      <c r="J237" s="18"/>
      <c r="K237" s="18">
        <v>3880.13</v>
      </c>
      <c r="L237" s="19">
        <f>SUM(F237:K237)</f>
        <v>6791.2899999999881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6901195.540000001</v>
      </c>
      <c r="G239" s="41">
        <f t="shared" si="5"/>
        <v>2869096.3899999992</v>
      </c>
      <c r="H239" s="41">
        <f t="shared" si="5"/>
        <v>1036330.03</v>
      </c>
      <c r="I239" s="41">
        <f t="shared" si="5"/>
        <v>805765.06</v>
      </c>
      <c r="J239" s="41">
        <f t="shared" si="5"/>
        <v>247084.02</v>
      </c>
      <c r="K239" s="41">
        <f t="shared" si="5"/>
        <v>69722.58</v>
      </c>
      <c r="L239" s="41">
        <f t="shared" si="5"/>
        <v>11929193.619999999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>
        <v>36284.230000000003</v>
      </c>
      <c r="K247" s="18"/>
      <c r="L247" s="19">
        <f t="shared" si="6"/>
        <v>36284.230000000003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36284.230000000003</v>
      </c>
      <c r="K248" s="41">
        <f t="shared" si="7"/>
        <v>0</v>
      </c>
      <c r="L248" s="41">
        <f>SUM(F248:K248)</f>
        <v>36284.230000000003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19768420.620000005</v>
      </c>
      <c r="G249" s="41">
        <f t="shared" si="8"/>
        <v>7919090.1099999975</v>
      </c>
      <c r="H249" s="41">
        <f t="shared" si="8"/>
        <v>3444377.8599999994</v>
      </c>
      <c r="I249" s="41">
        <f t="shared" si="8"/>
        <v>1719186.22</v>
      </c>
      <c r="J249" s="41">
        <f t="shared" si="8"/>
        <v>680726.30999999994</v>
      </c>
      <c r="K249" s="41">
        <f t="shared" si="8"/>
        <v>92111.86</v>
      </c>
      <c r="L249" s="41">
        <f t="shared" si="8"/>
        <v>33623912.979999997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1465000</v>
      </c>
      <c r="L252" s="19">
        <f>SUM(F252:K252)</f>
        <v>1465000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595064.17000000004</v>
      </c>
      <c r="L253" s="19">
        <f>SUM(F253:K253)</f>
        <v>595064.17000000004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76073.13</v>
      </c>
      <c r="L255" s="19">
        <f>SUM(F255:K255)</f>
        <v>76073.13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50000</v>
      </c>
      <c r="L258" s="19">
        <f t="shared" si="9"/>
        <v>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2186137.2999999998</v>
      </c>
      <c r="L262" s="41">
        <f t="shared" si="9"/>
        <v>2186137.2999999998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19768420.620000005</v>
      </c>
      <c r="G263" s="42">
        <f t="shared" si="11"/>
        <v>7919090.1099999975</v>
      </c>
      <c r="H263" s="42">
        <f t="shared" si="11"/>
        <v>3444377.8599999994</v>
      </c>
      <c r="I263" s="42">
        <f t="shared" si="11"/>
        <v>1719186.22</v>
      </c>
      <c r="J263" s="42">
        <f t="shared" si="11"/>
        <v>680726.30999999994</v>
      </c>
      <c r="K263" s="42">
        <f t="shared" si="11"/>
        <v>2278249.1599999997</v>
      </c>
      <c r="L263" s="42">
        <f t="shared" si="11"/>
        <v>35810050.279999994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272457.05</v>
      </c>
      <c r="G268" s="18">
        <v>70714.7</v>
      </c>
      <c r="H268" s="18">
        <v>6393.35</v>
      </c>
      <c r="I268" s="18">
        <v>1660.85</v>
      </c>
      <c r="J268" s="18">
        <v>237.5</v>
      </c>
      <c r="K268" s="18">
        <v>50</v>
      </c>
      <c r="L268" s="19">
        <f>SUM(F268:K268)</f>
        <v>351513.44999999995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54728.59</v>
      </c>
      <c r="G269" s="18">
        <v>16451.689999999999</v>
      </c>
      <c r="H269" s="18">
        <v>35464.949999999997</v>
      </c>
      <c r="I269" s="18">
        <v>290.70999999999998</v>
      </c>
      <c r="J269" s="18">
        <v>10078.06</v>
      </c>
      <c r="K269" s="18"/>
      <c r="L269" s="19">
        <f>SUM(F269:K269)</f>
        <v>117014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>
        <v>397.95</v>
      </c>
      <c r="K270" s="18"/>
      <c r="L270" s="19">
        <f>SUM(F270:K270)</f>
        <v>397.95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3292.73</v>
      </c>
      <c r="G271" s="18">
        <v>355.61</v>
      </c>
      <c r="H271" s="18"/>
      <c r="I271" s="18">
        <v>981.15</v>
      </c>
      <c r="J271" s="18"/>
      <c r="K271" s="18"/>
      <c r="L271" s="19">
        <f>SUM(F271:K271)</f>
        <v>4629.49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1700</v>
      </c>
      <c r="I273" s="18"/>
      <c r="J273" s="18"/>
      <c r="K273" s="18"/>
      <c r="L273" s="19">
        <f t="shared" ref="L273:L279" si="12">SUM(F273:K273)</f>
        <v>1700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1088</v>
      </c>
      <c r="G274" s="18">
        <v>83.24</v>
      </c>
      <c r="H274" s="18">
        <v>2294.65</v>
      </c>
      <c r="I274" s="18"/>
      <c r="J274" s="18"/>
      <c r="K274" s="18"/>
      <c r="L274" s="19">
        <f t="shared" si="12"/>
        <v>3465.8900000000003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849.69</v>
      </c>
      <c r="I279" s="18">
        <v>1705.09</v>
      </c>
      <c r="J279" s="18"/>
      <c r="K279" s="18"/>
      <c r="L279" s="19">
        <f t="shared" si="12"/>
        <v>2554.7799999999997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331566.37</v>
      </c>
      <c r="G282" s="42">
        <f t="shared" si="13"/>
        <v>87605.24</v>
      </c>
      <c r="H282" s="42">
        <f t="shared" si="13"/>
        <v>46702.64</v>
      </c>
      <c r="I282" s="42">
        <f t="shared" si="13"/>
        <v>4637.8</v>
      </c>
      <c r="J282" s="42">
        <f t="shared" si="13"/>
        <v>10713.51</v>
      </c>
      <c r="K282" s="42">
        <f t="shared" si="13"/>
        <v>50</v>
      </c>
      <c r="L282" s="41">
        <f t="shared" si="13"/>
        <v>481275.56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1369.5</v>
      </c>
      <c r="G287" s="18">
        <v>1950.85</v>
      </c>
      <c r="H287" s="18">
        <v>7303.89</v>
      </c>
      <c r="I287" s="18">
        <v>9879.24</v>
      </c>
      <c r="J287" s="18">
        <v>8471.5</v>
      </c>
      <c r="K287" s="18"/>
      <c r="L287" s="19">
        <f>SUM(F287:K287)</f>
        <v>28974.98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205553.26</v>
      </c>
      <c r="G288" s="18">
        <v>76010.81</v>
      </c>
      <c r="H288" s="18">
        <v>14749.09</v>
      </c>
      <c r="I288" s="18">
        <v>180.78</v>
      </c>
      <c r="J288" s="18"/>
      <c r="K288" s="18"/>
      <c r="L288" s="19">
        <f>SUM(F288:K288)</f>
        <v>296493.94000000006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>
        <v>352.47</v>
      </c>
      <c r="K289" s="18"/>
      <c r="L289" s="19">
        <f>SUM(F289:K289)</f>
        <v>352.47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3195.88</v>
      </c>
      <c r="G290" s="18">
        <v>345.14</v>
      </c>
      <c r="H290" s="18"/>
      <c r="I290" s="18">
        <v>952.29</v>
      </c>
      <c r="J290" s="18"/>
      <c r="K290" s="18"/>
      <c r="L290" s="19">
        <f>SUM(F290:K290)</f>
        <v>4493.3099999999995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>
        <v>1650</v>
      </c>
      <c r="I292" s="18"/>
      <c r="J292" s="18"/>
      <c r="K292" s="18"/>
      <c r="L292" s="19">
        <f t="shared" ref="L292:L298" si="14">SUM(F292:K292)</f>
        <v>1650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1056</v>
      </c>
      <c r="G293" s="18">
        <v>80.78</v>
      </c>
      <c r="H293" s="18">
        <v>2458.9299999999998</v>
      </c>
      <c r="I293" s="18"/>
      <c r="J293" s="18"/>
      <c r="K293" s="18"/>
      <c r="L293" s="19">
        <f t="shared" si="14"/>
        <v>3595.71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>
        <v>824.69</v>
      </c>
      <c r="I298" s="18">
        <v>1510.22</v>
      </c>
      <c r="J298" s="18"/>
      <c r="K298" s="18"/>
      <c r="L298" s="19">
        <f t="shared" si="14"/>
        <v>2334.91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211174.64</v>
      </c>
      <c r="G301" s="42">
        <f t="shared" si="15"/>
        <v>78387.58</v>
      </c>
      <c r="H301" s="42">
        <f t="shared" si="15"/>
        <v>26986.6</v>
      </c>
      <c r="I301" s="42">
        <f t="shared" si="15"/>
        <v>12522.53</v>
      </c>
      <c r="J301" s="42">
        <f t="shared" si="15"/>
        <v>8823.9699999999993</v>
      </c>
      <c r="K301" s="42">
        <f t="shared" si="15"/>
        <v>0</v>
      </c>
      <c r="L301" s="41">
        <f t="shared" si="15"/>
        <v>337895.32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1369.5</v>
      </c>
      <c r="G306" s="18">
        <v>1950.84</v>
      </c>
      <c r="H306" s="18">
        <v>7798.53</v>
      </c>
      <c r="I306" s="18">
        <v>951.47</v>
      </c>
      <c r="J306" s="18">
        <v>516.30999999999995</v>
      </c>
      <c r="K306" s="18"/>
      <c r="L306" s="19">
        <f>SUM(F306:K306)</f>
        <v>12586.649999999998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91750.78</v>
      </c>
      <c r="G307" s="18">
        <f>31116.35+1915.45</f>
        <v>33031.799999999996</v>
      </c>
      <c r="H307" s="18">
        <v>18940.04</v>
      </c>
      <c r="I307" s="18">
        <v>180.77</v>
      </c>
      <c r="J307" s="18"/>
      <c r="K307" s="18"/>
      <c r="L307" s="19">
        <f>SUM(F307:K307)</f>
        <v>143903.38999999998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>
        <v>386.58</v>
      </c>
      <c r="K308" s="18"/>
      <c r="L308" s="19">
        <f>SUM(F308:K308)</f>
        <v>386.58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3195.89</v>
      </c>
      <c r="G309" s="18">
        <v>345.15</v>
      </c>
      <c r="H309" s="18">
        <v>4050</v>
      </c>
      <c r="I309" s="18">
        <v>952.29</v>
      </c>
      <c r="J309" s="18"/>
      <c r="K309" s="18"/>
      <c r="L309" s="19">
        <f>SUM(F309:K309)</f>
        <v>8543.33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v>12045.75</v>
      </c>
      <c r="I311" s="18"/>
      <c r="J311" s="18"/>
      <c r="K311" s="18"/>
      <c r="L311" s="19">
        <f t="shared" ref="L311:L317" si="16">SUM(F311:K311)</f>
        <v>12045.75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1056</v>
      </c>
      <c r="G312" s="18">
        <v>80.790000000000006</v>
      </c>
      <c r="H312" s="18">
        <v>4553.58</v>
      </c>
      <c r="I312" s="18"/>
      <c r="J312" s="18"/>
      <c r="K312" s="18"/>
      <c r="L312" s="19">
        <f t="shared" si="16"/>
        <v>5690.37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824.7</v>
      </c>
      <c r="I317" s="18">
        <v>1656.37</v>
      </c>
      <c r="J317" s="18"/>
      <c r="K317" s="18"/>
      <c r="L317" s="19">
        <f t="shared" si="16"/>
        <v>2481.0699999999997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97372.17</v>
      </c>
      <c r="G320" s="42">
        <f t="shared" si="17"/>
        <v>35408.579999999994</v>
      </c>
      <c r="H320" s="42">
        <f t="shared" si="17"/>
        <v>48212.6</v>
      </c>
      <c r="I320" s="42">
        <f t="shared" si="17"/>
        <v>3740.8999999999996</v>
      </c>
      <c r="J320" s="42">
        <f t="shared" si="17"/>
        <v>902.88999999999987</v>
      </c>
      <c r="K320" s="42">
        <f t="shared" si="17"/>
        <v>0</v>
      </c>
      <c r="L320" s="41">
        <f t="shared" si="17"/>
        <v>185637.13999999996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640113.18000000005</v>
      </c>
      <c r="G330" s="41">
        <f t="shared" si="20"/>
        <v>201401.4</v>
      </c>
      <c r="H330" s="41">
        <f t="shared" si="20"/>
        <v>121901.84</v>
      </c>
      <c r="I330" s="41">
        <f t="shared" si="20"/>
        <v>20901.230000000003</v>
      </c>
      <c r="J330" s="41">
        <f t="shared" si="20"/>
        <v>20440.37</v>
      </c>
      <c r="K330" s="41">
        <f t="shared" si="20"/>
        <v>50</v>
      </c>
      <c r="L330" s="41">
        <f t="shared" si="20"/>
        <v>1004808.02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>
        <v>-46.04</v>
      </c>
      <c r="L334" s="19">
        <f>SUM(F334:K334)</f>
        <v>-46.04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-46.04</v>
      </c>
      <c r="L343" s="41">
        <f>SUM(L333:L342)</f>
        <v>-46.04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640113.18000000005</v>
      </c>
      <c r="G344" s="41">
        <f>G330</f>
        <v>201401.4</v>
      </c>
      <c r="H344" s="41">
        <f>H330</f>
        <v>121901.84</v>
      </c>
      <c r="I344" s="41">
        <f>I330</f>
        <v>20901.230000000003</v>
      </c>
      <c r="J344" s="41">
        <f>J330</f>
        <v>20440.37</v>
      </c>
      <c r="K344" s="47">
        <f>K330+K343</f>
        <v>3.9600000000000009</v>
      </c>
      <c r="L344" s="41">
        <f>L330+L343</f>
        <v>1004761.98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108295.21</v>
      </c>
      <c r="G350" s="18">
        <f>17524.56-670.34</f>
        <v>16854.22</v>
      </c>
      <c r="H350" s="18">
        <v>7669.12</v>
      </c>
      <c r="I350" s="18">
        <v>62704.24</v>
      </c>
      <c r="J350" s="18"/>
      <c r="K350" s="18">
        <v>437.68</v>
      </c>
      <c r="L350" s="13">
        <f>SUM(F350:K350)</f>
        <v>195960.47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99081.94</v>
      </c>
      <c r="G351" s="18">
        <f>17949.12-593.73</f>
        <v>17355.39</v>
      </c>
      <c r="H351" s="18">
        <v>5950.06</v>
      </c>
      <c r="I351" s="18">
        <v>65260.87</v>
      </c>
      <c r="J351" s="18"/>
      <c r="K351" s="18">
        <v>301.52999999999997</v>
      </c>
      <c r="L351" s="19">
        <f>SUM(F351:K351)</f>
        <v>187949.79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107068.87</v>
      </c>
      <c r="G352" s="18">
        <f>17326.13-651.38</f>
        <v>16674.75</v>
      </c>
      <c r="H352" s="18">
        <v>5876.14</v>
      </c>
      <c r="I352" s="18">
        <v>98587.99</v>
      </c>
      <c r="J352" s="18"/>
      <c r="K352" s="18">
        <v>334.79</v>
      </c>
      <c r="L352" s="19">
        <f>SUM(F352:K352)</f>
        <v>228542.54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314446.02</v>
      </c>
      <c r="G354" s="47">
        <f t="shared" si="22"/>
        <v>50884.36</v>
      </c>
      <c r="H354" s="47">
        <f t="shared" si="22"/>
        <v>19495.32</v>
      </c>
      <c r="I354" s="47">
        <f t="shared" si="22"/>
        <v>226553.1</v>
      </c>
      <c r="J354" s="47">
        <f t="shared" si="22"/>
        <v>0</v>
      </c>
      <c r="K354" s="47">
        <f t="shared" si="22"/>
        <v>1074</v>
      </c>
      <c r="L354" s="47">
        <f t="shared" si="22"/>
        <v>612452.80000000005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56803.33</v>
      </c>
      <c r="G359" s="18">
        <v>59861.38</v>
      </c>
      <c r="H359" s="18">
        <v>91582.44</v>
      </c>
      <c r="I359" s="56">
        <f>SUM(F359:H359)</f>
        <v>208247.15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I350-F359</f>
        <v>5900.9099999999962</v>
      </c>
      <c r="G360" s="63">
        <f>I351-G359</f>
        <v>5399.4900000000052</v>
      </c>
      <c r="H360" s="63">
        <f>I352-H359</f>
        <v>7005.5500000000029</v>
      </c>
      <c r="I360" s="56">
        <f>SUM(F360:H360)</f>
        <v>18305.950000000004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62704.24</v>
      </c>
      <c r="G361" s="47">
        <f>SUM(G359:G360)</f>
        <v>65260.87</v>
      </c>
      <c r="H361" s="47">
        <f>SUM(H359:H360)</f>
        <v>98587.99</v>
      </c>
      <c r="I361" s="47">
        <f>SUM(I359:I360)</f>
        <v>226553.1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v>65724</v>
      </c>
      <c r="I370" s="18"/>
      <c r="J370" s="18"/>
      <c r="K370" s="18"/>
      <c r="L370" s="13">
        <f t="shared" si="23"/>
        <v>65724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77932.86</v>
      </c>
      <c r="L373" s="13">
        <f t="shared" si="23"/>
        <v>77932.86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65724</v>
      </c>
      <c r="I374" s="41">
        <f t="shared" si="24"/>
        <v>0</v>
      </c>
      <c r="J374" s="47">
        <f t="shared" si="24"/>
        <v>0</v>
      </c>
      <c r="K374" s="47">
        <f t="shared" si="24"/>
        <v>77932.86</v>
      </c>
      <c r="L374" s="47">
        <f t="shared" si="24"/>
        <v>143656.85999999999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121.61</v>
      </c>
      <c r="I380" s="18"/>
      <c r="J380" s="24" t="s">
        <v>312</v>
      </c>
      <c r="K380" s="24" t="s">
        <v>312</v>
      </c>
      <c r="L380" s="56">
        <f t="shared" si="25"/>
        <v>121.61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92.55</v>
      </c>
      <c r="I381" s="18"/>
      <c r="J381" s="24" t="s">
        <v>312</v>
      </c>
      <c r="K381" s="24" t="s">
        <v>312</v>
      </c>
      <c r="L381" s="56">
        <f t="shared" si="25"/>
        <v>92.55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214.16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214.16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50000</v>
      </c>
      <c r="H389" s="18">
        <v>428.66</v>
      </c>
      <c r="I389" s="18"/>
      <c r="J389" s="24" t="s">
        <v>312</v>
      </c>
      <c r="K389" s="24" t="s">
        <v>312</v>
      </c>
      <c r="L389" s="56">
        <f t="shared" si="26"/>
        <v>50428.66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f>268.48+275.39+89.82</f>
        <v>633.69000000000005</v>
      </c>
      <c r="I392" s="18">
        <v>11227</v>
      </c>
      <c r="J392" s="24" t="s">
        <v>312</v>
      </c>
      <c r="K392" s="24" t="s">
        <v>312</v>
      </c>
      <c r="L392" s="56">
        <f t="shared" si="26"/>
        <v>11860.69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1062.3500000000001</v>
      </c>
      <c r="I393" s="47">
        <f>SUM(I387:I392)</f>
        <v>11227</v>
      </c>
      <c r="J393" s="45" t="s">
        <v>312</v>
      </c>
      <c r="K393" s="45" t="s">
        <v>312</v>
      </c>
      <c r="L393" s="47">
        <f>SUM(L387:L392)</f>
        <v>62289.350000000006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50000</v>
      </c>
      <c r="H400" s="47">
        <f>H385+H393+H399</f>
        <v>1276.5100000000002</v>
      </c>
      <c r="I400" s="47">
        <f>I385+I393+I399</f>
        <v>11227</v>
      </c>
      <c r="J400" s="24" t="s">
        <v>312</v>
      </c>
      <c r="K400" s="24" t="s">
        <v>312</v>
      </c>
      <c r="L400" s="47">
        <f>L385+L393+L399</f>
        <v>62503.510000000009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>
        <v>14500</v>
      </c>
      <c r="I418" s="18"/>
      <c r="J418" s="18"/>
      <c r="K418" s="18"/>
      <c r="L418" s="56">
        <f t="shared" si="29"/>
        <v>14500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14500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14500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14500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14500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60307.54</v>
      </c>
      <c r="G432" s="18"/>
      <c r="H432" s="18"/>
      <c r="I432" s="56">
        <f t="shared" si="33"/>
        <v>60307.54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172952.74</v>
      </c>
      <c r="G434" s="18"/>
      <c r="H434" s="18"/>
      <c r="I434" s="56">
        <f t="shared" si="33"/>
        <v>172952.74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>
        <v>832691.44</v>
      </c>
      <c r="G435" s="18"/>
      <c r="H435" s="18"/>
      <c r="I435" s="56">
        <f t="shared" si="33"/>
        <v>832691.44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1065951.72</v>
      </c>
      <c r="G438" s="13">
        <f>SUM(G431:G437)</f>
        <v>0</v>
      </c>
      <c r="H438" s="13">
        <f>SUM(H431:H437)</f>
        <v>0</v>
      </c>
      <c r="I438" s="13">
        <f>SUM(I431:I437)</f>
        <v>1065951.72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>
        <v>1065951.72</v>
      </c>
      <c r="G448" s="18"/>
      <c r="H448" s="18"/>
      <c r="I448" s="56">
        <f>SUM(F448:H448)</f>
        <v>1065951.72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1065951.72</v>
      </c>
      <c r="G450" s="83">
        <f>SUM(G446:G449)</f>
        <v>0</v>
      </c>
      <c r="H450" s="83">
        <f>SUM(H446:H449)</f>
        <v>0</v>
      </c>
      <c r="I450" s="83">
        <f>SUM(I446:I449)</f>
        <v>1065951.72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1065951.72</v>
      </c>
      <c r="G451" s="42">
        <f>G444+G450</f>
        <v>0</v>
      </c>
      <c r="H451" s="42">
        <f>H444+H450</f>
        <v>0</v>
      </c>
      <c r="I451" s="42">
        <f>I444+I450</f>
        <v>1065951.72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44">
        <v>2289401.38</v>
      </c>
      <c r="G455" s="144">
        <v>1.0000000009313226E-2</v>
      </c>
      <c r="H455" s="144">
        <v>-358353.93</v>
      </c>
      <c r="I455" s="144">
        <v>146877.72</v>
      </c>
      <c r="J455" s="144">
        <v>1017440.64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35138040.630000003</v>
      </c>
      <c r="G458" s="18">
        <v>612452.79</v>
      </c>
      <c r="H458" s="18">
        <v>948579.91</v>
      </c>
      <c r="I458" s="18">
        <v>92.55</v>
      </c>
      <c r="J458" s="18">
        <v>62503.51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240077.81</v>
      </c>
      <c r="G459" s="18"/>
      <c r="H459" s="18">
        <v>210</v>
      </c>
      <c r="I459" s="18">
        <v>-98.2</v>
      </c>
      <c r="J459" s="18">
        <v>507.57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35378118.440000005</v>
      </c>
      <c r="G460" s="53">
        <f>SUM(G458:G459)</f>
        <v>612452.79</v>
      </c>
      <c r="H460" s="53">
        <f>SUM(H458:H459)</f>
        <v>948789.91</v>
      </c>
      <c r="I460" s="53">
        <f>SUM(I458:I459)</f>
        <v>-5.6500000000000057</v>
      </c>
      <c r="J460" s="53">
        <f>SUM(J458:J459)</f>
        <v>63011.08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35810050.280000001</v>
      </c>
      <c r="G462" s="18">
        <v>612452.80000000005</v>
      </c>
      <c r="H462" s="18">
        <v>1004761.98</v>
      </c>
      <c r="I462" s="18">
        <v>143656.85999999999</v>
      </c>
      <c r="J462" s="18">
        <v>14500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>
        <v>134.43</v>
      </c>
      <c r="I463" s="18">
        <v>3215.21</v>
      </c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35810050.280000001</v>
      </c>
      <c r="G464" s="53">
        <f>SUM(G462:G463)</f>
        <v>612452.80000000005</v>
      </c>
      <c r="H464" s="53">
        <f>SUM(H462:H463)</f>
        <v>1004896.41</v>
      </c>
      <c r="I464" s="53">
        <f>SUM(I462:I463)</f>
        <v>146872.06999999998</v>
      </c>
      <c r="J464" s="53">
        <f>SUM(J462:J463)</f>
        <v>14500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1857469.5400000066</v>
      </c>
      <c r="G466" s="53">
        <f>(G455+G460)- G464</f>
        <v>0</v>
      </c>
      <c r="H466" s="53">
        <f>(H455+H460)- H464</f>
        <v>-414460.43000000005</v>
      </c>
      <c r="I466" s="53">
        <f>(I455+I460)- I464</f>
        <v>0</v>
      </c>
      <c r="J466" s="53">
        <f>(J455+J460)- J464</f>
        <v>1065951.72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>
        <v>15</v>
      </c>
      <c r="H480" s="154">
        <v>15</v>
      </c>
      <c r="I480" s="154">
        <v>20</v>
      </c>
      <c r="J480" s="154">
        <v>20</v>
      </c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 t="s">
        <v>894</v>
      </c>
      <c r="H481" s="155" t="s">
        <v>894</v>
      </c>
      <c r="I481" s="155" t="s">
        <v>895</v>
      </c>
      <c r="J481" s="155" t="s">
        <v>896</v>
      </c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 t="s">
        <v>897</v>
      </c>
      <c r="H482" s="155" t="s">
        <v>898</v>
      </c>
      <c r="I482" s="155" t="s">
        <v>899</v>
      </c>
      <c r="J482" s="155" t="s">
        <v>900</v>
      </c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>
        <v>2605000</v>
      </c>
      <c r="H483" s="18">
        <v>2500000</v>
      </c>
      <c r="I483" s="18">
        <v>2300000</v>
      </c>
      <c r="J483" s="18">
        <v>20406711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>
        <v>5.08</v>
      </c>
      <c r="H484" s="18">
        <v>5.26</v>
      </c>
      <c r="I484" s="18">
        <v>4.22</v>
      </c>
      <c r="J484" s="18">
        <v>4.09</v>
      </c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205">
        <v>155000</v>
      </c>
      <c r="H485" s="205">
        <v>225000</v>
      </c>
      <c r="I485" s="205">
        <f>1495000-115000</f>
        <v>1380000</v>
      </c>
      <c r="J485" s="205">
        <f>14280000-1020000</f>
        <v>13260000</v>
      </c>
      <c r="K485" s="53">
        <f>SUM(F485:J485)</f>
        <v>15020000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>
        <v>0</v>
      </c>
      <c r="H486" s="18">
        <v>0</v>
      </c>
      <c r="I486" s="18">
        <v>0</v>
      </c>
      <c r="J486" s="18">
        <v>0</v>
      </c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>
        <v>155000</v>
      </c>
      <c r="H487" s="18">
        <v>175000</v>
      </c>
      <c r="I487" s="18">
        <v>115000</v>
      </c>
      <c r="J487" s="18">
        <v>1020000</v>
      </c>
      <c r="K487" s="53">
        <f t="shared" si="34"/>
        <v>1465000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>
        <f>G485-G487</f>
        <v>0</v>
      </c>
      <c r="H488" s="205">
        <f>H485-H487</f>
        <v>50000</v>
      </c>
      <c r="I488" s="205">
        <f>I485-I487</f>
        <v>1265000</v>
      </c>
      <c r="J488" s="205">
        <f>J485-J487</f>
        <v>12240000</v>
      </c>
      <c r="K488" s="206">
        <f t="shared" si="34"/>
        <v>13555000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>
        <v>0</v>
      </c>
      <c r="H489" s="18">
        <v>1400</v>
      </c>
      <c r="I489" s="18">
        <f>369265-29728-27428</f>
        <v>312109</v>
      </c>
      <c r="J489" s="18">
        <f>3708975-522240</f>
        <v>3186735</v>
      </c>
      <c r="K489" s="53">
        <f t="shared" si="34"/>
        <v>3500244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51400</v>
      </c>
      <c r="I490" s="42">
        <f>SUM(I488:I489)</f>
        <v>1577109</v>
      </c>
      <c r="J490" s="42">
        <f>SUM(J488:J489)</f>
        <v>15426735</v>
      </c>
      <c r="K490" s="42">
        <f t="shared" si="34"/>
        <v>17055244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>
        <v>0</v>
      </c>
      <c r="H491" s="205">
        <v>50000</v>
      </c>
      <c r="I491" s="205">
        <v>115000</v>
      </c>
      <c r="J491" s="205">
        <v>1020000</v>
      </c>
      <c r="K491" s="206">
        <f t="shared" si="34"/>
        <v>1185000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>
        <v>0</v>
      </c>
      <c r="H492" s="18">
        <v>1400</v>
      </c>
      <c r="I492" s="18">
        <v>52556</v>
      </c>
      <c r="J492" s="18">
        <v>486540</v>
      </c>
      <c r="K492" s="53">
        <f t="shared" si="34"/>
        <v>540496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51400</v>
      </c>
      <c r="I493" s="42">
        <f>SUM(I491:I492)</f>
        <v>167556</v>
      </c>
      <c r="J493" s="42">
        <f>SUM(J491:J492)</f>
        <v>1506540</v>
      </c>
      <c r="K493" s="42">
        <f t="shared" si="34"/>
        <v>1725496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1407656.66+3110.97</f>
        <v>1410767.63</v>
      </c>
      <c r="G511" s="18">
        <f>511208.27+994.11</f>
        <v>512202.38</v>
      </c>
      <c r="H511" s="18">
        <f>61701.43+959320.28+36632.22</f>
        <v>1057653.9300000002</v>
      </c>
      <c r="I511" s="18">
        <f>6181.44+215.38</f>
        <v>6396.82</v>
      </c>
      <c r="J511" s="18">
        <v>13356.7</v>
      </c>
      <c r="K511" s="18">
        <v>4685.0600000000004</v>
      </c>
      <c r="L511" s="88">
        <f>SUM(F511:K511)</f>
        <v>3005062.52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1218216.14+3019.47</f>
        <v>1221235.6099999999</v>
      </c>
      <c r="G512" s="18">
        <f>457515.49+328.06</f>
        <v>457843.55</v>
      </c>
      <c r="H512" s="18">
        <f>100286.8+20978.49</f>
        <v>121265.29000000001</v>
      </c>
      <c r="I512" s="18">
        <f>6655.7+209.04</f>
        <v>6864.74</v>
      </c>
      <c r="J512" s="18">
        <v>10061.89</v>
      </c>
      <c r="K512" s="18">
        <v>4635.05</v>
      </c>
      <c r="L512" s="88">
        <f>SUM(F512:K512)</f>
        <v>1821906.13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1090243.64+3019.47</f>
        <v>1093263.1099999999</v>
      </c>
      <c r="G513" s="18">
        <f>430586.84+328.06</f>
        <v>430914.9</v>
      </c>
      <c r="H513" s="18">
        <f>219825.29+20361.47</f>
        <v>240186.76</v>
      </c>
      <c r="I513" s="18">
        <f>5577.09+209.04</f>
        <v>5786.13</v>
      </c>
      <c r="J513" s="18">
        <v>7232.53</v>
      </c>
      <c r="K513" s="18">
        <v>4635.04</v>
      </c>
      <c r="L513" s="88">
        <f>SUM(F513:K513)</f>
        <v>1782018.4699999997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3725266.3499999996</v>
      </c>
      <c r="G514" s="108">
        <f t="shared" ref="G514:L514" si="35">SUM(G511:G513)</f>
        <v>1400960.83</v>
      </c>
      <c r="H514" s="108">
        <f t="shared" si="35"/>
        <v>1419105.9800000002</v>
      </c>
      <c r="I514" s="108">
        <f t="shared" si="35"/>
        <v>19047.689999999999</v>
      </c>
      <c r="J514" s="108">
        <f t="shared" si="35"/>
        <v>30651.119999999999</v>
      </c>
      <c r="K514" s="108">
        <f t="shared" si="35"/>
        <v>13955.150000000001</v>
      </c>
      <c r="L514" s="89">
        <f t="shared" si="35"/>
        <v>6608987.1200000001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366068.11</f>
        <v>366068.11</v>
      </c>
      <c r="G516" s="18">
        <v>137147.49</v>
      </c>
      <c r="H516" s="18">
        <f>8845+1700</f>
        <v>10545</v>
      </c>
      <c r="I516" s="18">
        <v>6838.48</v>
      </c>
      <c r="J516" s="18"/>
      <c r="K516" s="18"/>
      <c r="L516" s="88">
        <f>SUM(F516:K516)</f>
        <v>520599.07999999996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177172.89</v>
      </c>
      <c r="G517" s="18">
        <v>60730.22</v>
      </c>
      <c r="H517" s="18">
        <f>16568+1650</f>
        <v>18218</v>
      </c>
      <c r="I517" s="18">
        <v>1239.33</v>
      </c>
      <c r="J517" s="18"/>
      <c r="K517" s="18"/>
      <c r="L517" s="88">
        <f>SUM(F517:K517)</f>
        <v>257360.44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141803.85999999999</v>
      </c>
      <c r="G518" s="18">
        <v>65574.87</v>
      </c>
      <c r="H518" s="18">
        <f>15355.75+1650</f>
        <v>17005.75</v>
      </c>
      <c r="I518" s="18">
        <v>2212.09</v>
      </c>
      <c r="J518" s="18">
        <v>1128</v>
      </c>
      <c r="K518" s="18"/>
      <c r="L518" s="88">
        <f>SUM(F518:K518)</f>
        <v>227724.56999999998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685044.86</v>
      </c>
      <c r="G519" s="89">
        <f t="shared" ref="G519:L519" si="36">SUM(G516:G518)</f>
        <v>263452.57999999996</v>
      </c>
      <c r="H519" s="89">
        <f t="shared" si="36"/>
        <v>45768.75</v>
      </c>
      <c r="I519" s="89">
        <f t="shared" si="36"/>
        <v>10289.9</v>
      </c>
      <c r="J519" s="89">
        <f t="shared" si="36"/>
        <v>1128</v>
      </c>
      <c r="K519" s="89">
        <f t="shared" si="36"/>
        <v>0</v>
      </c>
      <c r="L519" s="89">
        <f t="shared" si="36"/>
        <v>1005684.09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71000+48134.61</f>
        <v>119134.61</v>
      </c>
      <c r="G521" s="18">
        <f>33076.98+19239.85</f>
        <v>52316.83</v>
      </c>
      <c r="H521" s="18">
        <v>4271.59</v>
      </c>
      <c r="I521" s="18">
        <v>487.41</v>
      </c>
      <c r="J521" s="18">
        <v>1140.3699999999999</v>
      </c>
      <c r="K521" s="18">
        <v>917.32</v>
      </c>
      <c r="L521" s="88">
        <f>SUM(F521:K521)</f>
        <v>178268.13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82365+46718.89</f>
        <v>129083.89</v>
      </c>
      <c r="G522" s="18">
        <f>30189.42+18673.97</f>
        <v>48863.39</v>
      </c>
      <c r="H522" s="18">
        <f>1938.18+4145.96</f>
        <v>6084.14</v>
      </c>
      <c r="I522" s="18">
        <v>473.07</v>
      </c>
      <c r="J522" s="18">
        <v>1106.83</v>
      </c>
      <c r="K522" s="18">
        <v>890.34</v>
      </c>
      <c r="L522" s="88">
        <f>SUM(F522:K522)</f>
        <v>186501.66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31432.09+46718.89</f>
        <v>78150.98</v>
      </c>
      <c r="G523" s="18">
        <f>2019.83+18673.97</f>
        <v>20693.800000000003</v>
      </c>
      <c r="H523" s="18">
        <f>225+4145.96</f>
        <v>4370.96</v>
      </c>
      <c r="I523" s="18">
        <v>473.07</v>
      </c>
      <c r="J523" s="18">
        <v>1106.83</v>
      </c>
      <c r="K523" s="18">
        <v>890.34</v>
      </c>
      <c r="L523" s="88">
        <f>SUM(F523:K523)</f>
        <v>105685.98000000001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326369.48</v>
      </c>
      <c r="G524" s="89">
        <f t="shared" ref="G524:L524" si="37">SUM(G521:G523)</f>
        <v>121874.02</v>
      </c>
      <c r="H524" s="89">
        <f t="shared" si="37"/>
        <v>14726.689999999999</v>
      </c>
      <c r="I524" s="89">
        <f t="shared" si="37"/>
        <v>1433.55</v>
      </c>
      <c r="J524" s="89">
        <f t="shared" si="37"/>
        <v>3354.0299999999997</v>
      </c>
      <c r="K524" s="89">
        <f t="shared" si="37"/>
        <v>2698</v>
      </c>
      <c r="L524" s="89">
        <f t="shared" si="37"/>
        <v>470455.77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64385.86</v>
      </c>
      <c r="G531" s="18">
        <v>27502.11</v>
      </c>
      <c r="H531" s="18">
        <v>10773.06</v>
      </c>
      <c r="I531" s="18">
        <v>10944.62</v>
      </c>
      <c r="J531" s="18"/>
      <c r="K531" s="18"/>
      <c r="L531" s="88">
        <f>SUM(F531:K531)</f>
        <v>113605.65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22526.99</v>
      </c>
      <c r="G532" s="18">
        <v>12282.07</v>
      </c>
      <c r="H532" s="18">
        <v>10456.209999999999</v>
      </c>
      <c r="I532" s="18">
        <v>10622.72</v>
      </c>
      <c r="J532" s="18"/>
      <c r="K532" s="18"/>
      <c r="L532" s="88">
        <f>SUM(F532:K532)</f>
        <v>55887.99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43978.41</v>
      </c>
      <c r="G533" s="18">
        <v>20680.12</v>
      </c>
      <c r="H533" s="18">
        <f>9900+10456.21</f>
        <v>20356.21</v>
      </c>
      <c r="I533" s="18">
        <v>10622.72</v>
      </c>
      <c r="J533" s="18"/>
      <c r="K533" s="18"/>
      <c r="L533" s="88">
        <f>SUM(F533:K533)</f>
        <v>95637.459999999992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130891.26000000001</v>
      </c>
      <c r="G534" s="194">
        <f t="shared" ref="G534:L534" si="39">SUM(G531:G533)</f>
        <v>60464.3</v>
      </c>
      <c r="H534" s="194">
        <f t="shared" si="39"/>
        <v>41585.479999999996</v>
      </c>
      <c r="I534" s="194">
        <f t="shared" si="39"/>
        <v>32190.059999999998</v>
      </c>
      <c r="J534" s="194">
        <f t="shared" si="39"/>
        <v>0</v>
      </c>
      <c r="K534" s="194">
        <f t="shared" si="39"/>
        <v>0</v>
      </c>
      <c r="L534" s="194">
        <f t="shared" si="39"/>
        <v>265131.09999999998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4867571.9499999993</v>
      </c>
      <c r="G535" s="89">
        <f t="shared" ref="G535:L535" si="40">G514+G519+G524+G529+G534</f>
        <v>1846751.7300000002</v>
      </c>
      <c r="H535" s="89">
        <f t="shared" si="40"/>
        <v>1521186.9000000001</v>
      </c>
      <c r="I535" s="89">
        <f t="shared" si="40"/>
        <v>62961.2</v>
      </c>
      <c r="J535" s="89">
        <f t="shared" si="40"/>
        <v>35133.15</v>
      </c>
      <c r="K535" s="89">
        <f t="shared" si="40"/>
        <v>16653.150000000001</v>
      </c>
      <c r="L535" s="89">
        <f t="shared" si="40"/>
        <v>8350258.0800000001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3005062.52</v>
      </c>
      <c r="G539" s="87">
        <f>L516</f>
        <v>520599.07999999996</v>
      </c>
      <c r="H539" s="87">
        <f>L521</f>
        <v>178268.13</v>
      </c>
      <c r="I539" s="87">
        <f>L526</f>
        <v>0</v>
      </c>
      <c r="J539" s="87">
        <f>L531</f>
        <v>113605.65</v>
      </c>
      <c r="K539" s="87">
        <f>SUM(F539:J539)</f>
        <v>3817535.38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1821906.13</v>
      </c>
      <c r="G540" s="87">
        <f>L517</f>
        <v>257360.44</v>
      </c>
      <c r="H540" s="87">
        <f>L522</f>
        <v>186501.66</v>
      </c>
      <c r="I540" s="87">
        <f>L527</f>
        <v>0</v>
      </c>
      <c r="J540" s="87">
        <f>L532</f>
        <v>55887.99</v>
      </c>
      <c r="K540" s="87">
        <f>SUM(F540:J540)</f>
        <v>2321656.2200000002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1782018.4699999997</v>
      </c>
      <c r="G541" s="87">
        <f>L518</f>
        <v>227724.56999999998</v>
      </c>
      <c r="H541" s="87">
        <f>L523</f>
        <v>105685.98000000001</v>
      </c>
      <c r="I541" s="87">
        <f>L528</f>
        <v>0</v>
      </c>
      <c r="J541" s="87">
        <f>L533</f>
        <v>95637.459999999992</v>
      </c>
      <c r="K541" s="87">
        <f>SUM(F541:J541)</f>
        <v>2211066.48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6608987.1200000001</v>
      </c>
      <c r="G542" s="89">
        <f t="shared" si="41"/>
        <v>1005684.09</v>
      </c>
      <c r="H542" s="89">
        <f t="shared" si="41"/>
        <v>470455.77</v>
      </c>
      <c r="I542" s="89">
        <f t="shared" si="41"/>
        <v>0</v>
      </c>
      <c r="J542" s="89">
        <f t="shared" si="41"/>
        <v>265131.09999999998</v>
      </c>
      <c r="K542" s="89">
        <f t="shared" si="41"/>
        <v>8350258.0800000001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71404.179999999993</v>
      </c>
      <c r="G552" s="18">
        <v>18846.740000000002</v>
      </c>
      <c r="H552" s="18"/>
      <c r="I552" s="18">
        <v>121.58</v>
      </c>
      <c r="J552" s="18">
        <v>697</v>
      </c>
      <c r="K552" s="18"/>
      <c r="L552" s="88">
        <f>SUM(F552:K552)</f>
        <v>91069.5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30395.4</v>
      </c>
      <c r="G553" s="18">
        <v>11741.54</v>
      </c>
      <c r="H553" s="18"/>
      <c r="I553" s="18">
        <v>256.47000000000003</v>
      </c>
      <c r="J553" s="18"/>
      <c r="K553" s="18"/>
      <c r="L553" s="88">
        <f>SUM(F553:K553)</f>
        <v>42393.41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201.42</v>
      </c>
      <c r="G554" s="18">
        <v>14.62</v>
      </c>
      <c r="H554" s="18"/>
      <c r="I554" s="18"/>
      <c r="J554" s="18"/>
      <c r="K554" s="18"/>
      <c r="L554" s="88">
        <f>SUM(F554:K554)</f>
        <v>216.04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102000.99999999999</v>
      </c>
      <c r="G555" s="89">
        <f t="shared" si="43"/>
        <v>30602.9</v>
      </c>
      <c r="H555" s="89">
        <f t="shared" si="43"/>
        <v>0</v>
      </c>
      <c r="I555" s="89">
        <f t="shared" si="43"/>
        <v>378.05</v>
      </c>
      <c r="J555" s="89">
        <f t="shared" si="43"/>
        <v>697</v>
      </c>
      <c r="K555" s="89">
        <f t="shared" si="43"/>
        <v>0</v>
      </c>
      <c r="L555" s="89">
        <f t="shared" si="43"/>
        <v>133678.95000000001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102000.99999999999</v>
      </c>
      <c r="G561" s="89">
        <f t="shared" ref="G561:L561" si="45">G550+G555+G560</f>
        <v>30602.9</v>
      </c>
      <c r="H561" s="89">
        <f t="shared" si="45"/>
        <v>0</v>
      </c>
      <c r="I561" s="89">
        <f t="shared" si="45"/>
        <v>378.05</v>
      </c>
      <c r="J561" s="89">
        <f t="shared" si="45"/>
        <v>697</v>
      </c>
      <c r="K561" s="89">
        <f t="shared" si="45"/>
        <v>0</v>
      </c>
      <c r="L561" s="89">
        <f t="shared" si="45"/>
        <v>133678.95000000001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25912.5</v>
      </c>
      <c r="I569" s="87">
        <f t="shared" si="46"/>
        <v>25912.5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483929.61+12906.74</f>
        <v>496836.35</v>
      </c>
      <c r="G572" s="18"/>
      <c r="H572" s="18">
        <v>107075.19</v>
      </c>
      <c r="I572" s="87">
        <f t="shared" si="46"/>
        <v>603911.54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9262.6200000000008</v>
      </c>
      <c r="I574" s="87">
        <f t="shared" si="46"/>
        <v>9262.6200000000008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388344.46</v>
      </c>
      <c r="I581" s="18">
        <v>459856.51</v>
      </c>
      <c r="J581" s="18">
        <v>856367.58</v>
      </c>
      <c r="K581" s="104">
        <f t="shared" ref="K581:K587" si="47">SUM(H581:J581)</f>
        <v>1704568.5499999998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106579.35</v>
      </c>
      <c r="I582" s="18">
        <v>52055.46</v>
      </c>
      <c r="J582" s="18">
        <v>120240.75</v>
      </c>
      <c r="K582" s="104">
        <f t="shared" si="47"/>
        <v>278875.56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1372.95</v>
      </c>
      <c r="K583" s="104">
        <f t="shared" si="47"/>
        <v>1372.95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7445.28</v>
      </c>
      <c r="J584" s="18">
        <v>58533.3</v>
      </c>
      <c r="K584" s="104">
        <f t="shared" si="47"/>
        <v>65978.58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7762.09</v>
      </c>
      <c r="I585" s="18">
        <v>12685.7</v>
      </c>
      <c r="J585" s="18">
        <v>9545.9</v>
      </c>
      <c r="K585" s="104">
        <f t="shared" si="47"/>
        <v>29993.690000000002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12037.22</v>
      </c>
      <c r="I586" s="18">
        <v>14130.64</v>
      </c>
      <c r="J586" s="18">
        <v>26167.86</v>
      </c>
      <c r="K586" s="104">
        <f t="shared" si="47"/>
        <v>52335.72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514723.12000000005</v>
      </c>
      <c r="I588" s="108">
        <f>SUM(I581:I587)</f>
        <v>546173.59000000008</v>
      </c>
      <c r="J588" s="108">
        <f>SUM(J581:J587)</f>
        <v>1072228.3400000001</v>
      </c>
      <c r="K588" s="108">
        <f>SUM(K581:K587)</f>
        <v>2133125.0499999998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216827.75</v>
      </c>
      <c r="I594" s="18">
        <v>200067.79</v>
      </c>
      <c r="J594" s="18">
        <v>247986.91</v>
      </c>
      <c r="K594" s="104">
        <f>SUM(H594:J594)</f>
        <v>664882.45000000007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216827.75</v>
      </c>
      <c r="I595" s="108">
        <f>SUM(I592:I594)</f>
        <v>200067.79</v>
      </c>
      <c r="J595" s="108">
        <f>SUM(J592:J594)</f>
        <v>247986.91</v>
      </c>
      <c r="K595" s="108">
        <f>SUM(K592:K594)</f>
        <v>664882.45000000007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48019.4</v>
      </c>
      <c r="G601" s="18">
        <v>5037.12</v>
      </c>
      <c r="H601" s="18">
        <v>39971.19</v>
      </c>
      <c r="I601" s="18">
        <v>156.82</v>
      </c>
      <c r="J601" s="18"/>
      <c r="K601" s="18"/>
      <c r="L601" s="88">
        <f>SUM(F601:K601)</f>
        <v>93184.530000000013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27883.91</v>
      </c>
      <c r="G602" s="18">
        <v>3283.58</v>
      </c>
      <c r="H602" s="18">
        <v>9657.5</v>
      </c>
      <c r="I602" s="18">
        <v>59.89</v>
      </c>
      <c r="J602" s="18"/>
      <c r="K602" s="18"/>
      <c r="L602" s="88">
        <f>SUM(F602:K602)</f>
        <v>40884.879999999997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21272.12</v>
      </c>
      <c r="G603" s="18">
        <v>2400.84</v>
      </c>
      <c r="H603" s="18">
        <v>18676.169999999998</v>
      </c>
      <c r="I603" s="18"/>
      <c r="J603" s="18"/>
      <c r="K603" s="18"/>
      <c r="L603" s="88">
        <f>SUM(F603:K603)</f>
        <v>42349.13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97175.43</v>
      </c>
      <c r="G604" s="108">
        <f t="shared" si="48"/>
        <v>10721.54</v>
      </c>
      <c r="H604" s="108">
        <f t="shared" si="48"/>
        <v>68304.86</v>
      </c>
      <c r="I604" s="108">
        <f t="shared" si="48"/>
        <v>216.70999999999998</v>
      </c>
      <c r="J604" s="108">
        <f t="shared" si="48"/>
        <v>0</v>
      </c>
      <c r="K604" s="108">
        <f t="shared" si="48"/>
        <v>0</v>
      </c>
      <c r="L604" s="89">
        <f t="shared" si="48"/>
        <v>176418.54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2966205.8499999996</v>
      </c>
      <c r="H607" s="109">
        <f>SUM(F44)</f>
        <v>2966205.85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43363.509999999995</v>
      </c>
      <c r="H608" s="109">
        <f>SUM(G44)</f>
        <v>43363.509999999995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-392697.23</v>
      </c>
      <c r="H609" s="109">
        <f>SUM(H44)</f>
        <v>-392697.23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1065951.72</v>
      </c>
      <c r="H611" s="109">
        <f>SUM(J44)</f>
        <v>1065951.72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1857469.54</v>
      </c>
      <c r="H612" s="109">
        <f>F466</f>
        <v>1857469.5400000066</v>
      </c>
      <c r="I612" s="121" t="s">
        <v>106</v>
      </c>
      <c r="J612" s="109">
        <f t="shared" ref="J612:J645" si="49">G612-H612</f>
        <v>-6.5192580223083496E-9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-414460.43</v>
      </c>
      <c r="H614" s="109">
        <f>H466</f>
        <v>-414460.43000000005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1065951.72</v>
      </c>
      <c r="H616" s="109">
        <f>J466</f>
        <v>1065951.72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35138040.630000003</v>
      </c>
      <c r="H617" s="104">
        <f>SUM(F458)</f>
        <v>35138040.630000003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612452.79</v>
      </c>
      <c r="H618" s="104">
        <f>SUM(G458)</f>
        <v>612452.79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948579.91</v>
      </c>
      <c r="H619" s="104">
        <f>SUM(H458)</f>
        <v>948579.91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92.55</v>
      </c>
      <c r="H620" s="104">
        <f>SUM(I458)</f>
        <v>92.55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62503.51</v>
      </c>
      <c r="H621" s="104">
        <f>SUM(J458)</f>
        <v>62503.51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35810050.279999994</v>
      </c>
      <c r="H622" s="104">
        <f>SUM(F462)</f>
        <v>35810050.280000001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1004761.98</v>
      </c>
      <c r="H623" s="104">
        <f>SUM(H462)</f>
        <v>1004761.98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226553.1</v>
      </c>
      <c r="H624" s="104">
        <f>I361</f>
        <v>226553.1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612452.80000000005</v>
      </c>
      <c r="H625" s="104">
        <f>SUM(G462)</f>
        <v>612452.80000000005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143656.85999999999</v>
      </c>
      <c r="H626" s="104">
        <f>SUM(I462)</f>
        <v>143656.85999999999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62503.510000000009</v>
      </c>
      <c r="H627" s="164">
        <f>SUM(J458)</f>
        <v>62503.51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14500</v>
      </c>
      <c r="H628" s="164">
        <f>SUM(J462)</f>
        <v>14500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1065951.72</v>
      </c>
      <c r="H629" s="104">
        <f>SUM(F451)</f>
        <v>1065951.72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1065951.72</v>
      </c>
      <c r="H632" s="104">
        <f>SUM(I451)</f>
        <v>1065951.72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1276.51</v>
      </c>
      <c r="H634" s="104">
        <f>H400</f>
        <v>1276.5100000000002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50000</v>
      </c>
      <c r="H635" s="104">
        <f>G400</f>
        <v>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62503.51</v>
      </c>
      <c r="H636" s="104">
        <f>L400</f>
        <v>62503.510000000009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2133125.0499999998</v>
      </c>
      <c r="H637" s="104">
        <f>L200+L218+L236</f>
        <v>2133125.0499999998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664882.45000000007</v>
      </c>
      <c r="H638" s="104">
        <f>(J249+J330)-(J247+J328)</f>
        <v>664882.44999999995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514723.12</v>
      </c>
      <c r="H639" s="104">
        <f>H588</f>
        <v>514723.12000000005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546173.59000000008</v>
      </c>
      <c r="H640" s="104">
        <f>I588</f>
        <v>546173.59000000008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1072228.3400000001</v>
      </c>
      <c r="H641" s="104">
        <f>J588</f>
        <v>1072228.3400000001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76073.13</v>
      </c>
      <c r="H642" s="104">
        <f>K255+K337</f>
        <v>76073.13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50000</v>
      </c>
      <c r="H645" s="104">
        <f>K258+K339</f>
        <v>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12181328.850000003</v>
      </c>
      <c r="G650" s="19">
        <f>(L221+L301+L351)</f>
        <v>10680187.419999998</v>
      </c>
      <c r="H650" s="19">
        <f>(L239+L320+L352)</f>
        <v>12343373.299999999</v>
      </c>
      <c r="I650" s="19">
        <f>SUM(F650:H650)</f>
        <v>35204889.57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148790.07127644302</v>
      </c>
      <c r="G651" s="19">
        <f>(L351/IF(SUM(L350:L352)=0,1,SUM(L350:L352))*(SUM(G89:G102)))</f>
        <v>142707.67288164035</v>
      </c>
      <c r="H651" s="19">
        <f>(L352/IF(SUM(L350:L352)=0,1,SUM(L350:L352))*(SUM(G89:G102)))</f>
        <v>173529.18584191662</v>
      </c>
      <c r="I651" s="19">
        <f>SUM(F651:H651)</f>
        <v>465026.92999999993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456355.34</v>
      </c>
      <c r="G652" s="19">
        <f>(L218+L298)-(J218+J298)</f>
        <v>477165.62000000011</v>
      </c>
      <c r="H652" s="19">
        <f>(L236+L317)-(J236+J317)</f>
        <v>942998.85000000009</v>
      </c>
      <c r="I652" s="19">
        <f>SUM(F652:H652)</f>
        <v>1876519.8100000003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806848.63</v>
      </c>
      <c r="G653" s="200">
        <f>SUM(G565:G577)+SUM(I592:I594)+L602</f>
        <v>240952.67</v>
      </c>
      <c r="H653" s="200">
        <f>SUM(H565:H577)+SUM(J592:J594)+L603</f>
        <v>432586.35</v>
      </c>
      <c r="I653" s="19">
        <f>SUM(F653:H653)</f>
        <v>1480387.65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10769334.80872356</v>
      </c>
      <c r="G654" s="19">
        <f>G650-SUM(G651:G653)</f>
        <v>9819361.4571183585</v>
      </c>
      <c r="H654" s="19">
        <f>H650-SUM(H651:H653)</f>
        <v>10794258.914158082</v>
      </c>
      <c r="I654" s="19">
        <f>I650-SUM(I651:I653)</f>
        <v>31382955.18</v>
      </c>
      <c r="J654" s="13"/>
      <c r="K654" s="13"/>
      <c r="L654" s="13"/>
      <c r="M654" s="8"/>
    </row>
    <row r="655" spans="1:13" s="3" customFormat="1" ht="12" customHeight="1" x14ac:dyDescent="0.15">
      <c r="A655" s="1" t="s">
        <v>144</v>
      </c>
      <c r="F655" s="18">
        <v>676.75</v>
      </c>
      <c r="G655" s="18">
        <v>627.86</v>
      </c>
      <c r="H655" s="18">
        <v>676.81</v>
      </c>
      <c r="I655" s="19">
        <f>SUM(F655:H655)</f>
        <v>1981.42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15913.31</v>
      </c>
      <c r="G657" s="19">
        <f>ROUND(G654/G655,2)</f>
        <v>15639.41</v>
      </c>
      <c r="H657" s="19">
        <f>ROUND(H654/H655,2)</f>
        <v>15948.73</v>
      </c>
      <c r="I657" s="19">
        <f>ROUND(I654/I655,2)</f>
        <v>15838.62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-5.7</v>
      </c>
      <c r="I660" s="19">
        <f>SUM(F660:H660)</f>
        <v>-5.7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15913.31</v>
      </c>
      <c r="G662" s="19">
        <f>ROUND((G654+G659)/(G655+G660),2)</f>
        <v>15639.41</v>
      </c>
      <c r="H662" s="19">
        <f>ROUND((H654+H659)/(H655+H660),2)</f>
        <v>16084.19</v>
      </c>
      <c r="I662" s="19">
        <f>ROUND((I654+I659)/(I655+I660),2)</f>
        <v>15884.31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B484-2BEF-484F-AD08-0539A4A7CBD6}">
  <sheetPr codeName="Sheet2">
    <tabColor indexed="20"/>
  </sheetPr>
  <dimension ref="A1:C52"/>
  <sheetViews>
    <sheetView topLeftCell="A21"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Oyster River Coop</v>
      </c>
      <c r="C1" s="239" t="s">
        <v>870</v>
      </c>
    </row>
    <row r="2" spans="1:3" x14ac:dyDescent="0.2">
      <c r="A2" s="234"/>
      <c r="B2" s="233"/>
    </row>
    <row r="3" spans="1:3" x14ac:dyDescent="0.2">
      <c r="A3" s="272" t="s">
        <v>815</v>
      </c>
      <c r="B3" s="272"/>
      <c r="C3" s="272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1" t="s">
        <v>814</v>
      </c>
      <c r="C6" s="271"/>
    </row>
    <row r="7" spans="1:3" x14ac:dyDescent="0.2">
      <c r="A7" s="240" t="s">
        <v>817</v>
      </c>
      <c r="B7" s="269" t="s">
        <v>813</v>
      </c>
      <c r="C7" s="270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10041607.6</v>
      </c>
      <c r="C9" s="230">
        <f>'DOE25'!G189+'DOE25'!G207+'DOE25'!G225+'DOE25'!G268+'DOE25'!G287+'DOE25'!G306</f>
        <v>3650085.1599999997</v>
      </c>
    </row>
    <row r="10" spans="1:3" x14ac:dyDescent="0.2">
      <c r="A10" t="s">
        <v>810</v>
      </c>
      <c r="B10" s="241">
        <v>9292732.9800000004</v>
      </c>
      <c r="C10" s="241">
        <v>3368432.58</v>
      </c>
    </row>
    <row r="11" spans="1:3" x14ac:dyDescent="0.2">
      <c r="A11" t="s">
        <v>811</v>
      </c>
      <c r="B11" s="241">
        <v>237075.88</v>
      </c>
      <c r="C11" s="241">
        <v>72439.41</v>
      </c>
    </row>
    <row r="12" spans="1:3" x14ac:dyDescent="0.2">
      <c r="A12" t="s">
        <v>812</v>
      </c>
      <c r="B12" s="241">
        <v>511798.74</v>
      </c>
      <c r="C12" s="241">
        <v>209213.17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10041607.600000001</v>
      </c>
      <c r="C13" s="232">
        <f>SUM(C10:C12)</f>
        <v>3650085.16</v>
      </c>
    </row>
    <row r="14" spans="1:3" x14ac:dyDescent="0.2">
      <c r="B14" s="231"/>
      <c r="C14" s="231"/>
    </row>
    <row r="15" spans="1:3" x14ac:dyDescent="0.2">
      <c r="B15" s="271" t="s">
        <v>814</v>
      </c>
      <c r="C15" s="271"/>
    </row>
    <row r="16" spans="1:3" x14ac:dyDescent="0.2">
      <c r="A16" s="240" t="s">
        <v>818</v>
      </c>
      <c r="B16" s="269" t="s">
        <v>738</v>
      </c>
      <c r="C16" s="270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3691379.2399999998</v>
      </c>
      <c r="C18" s="230">
        <f>'DOE25'!G190+'DOE25'!G208+'DOE25'!G226+'DOE25'!G269+'DOE25'!G288+'DOE25'!G307</f>
        <v>1387553.3299999998</v>
      </c>
    </row>
    <row r="19" spans="1:3" x14ac:dyDescent="0.2">
      <c r="A19" t="s">
        <v>810</v>
      </c>
      <c r="B19" s="241">
        <v>1847590.55</v>
      </c>
      <c r="C19" s="241">
        <v>693776.67</v>
      </c>
    </row>
    <row r="20" spans="1:3" x14ac:dyDescent="0.2">
      <c r="A20" t="s">
        <v>811</v>
      </c>
      <c r="B20" s="241">
        <v>1725208.06</v>
      </c>
      <c r="C20" s="241">
        <v>652150.06000000006</v>
      </c>
    </row>
    <row r="21" spans="1:3" x14ac:dyDescent="0.2">
      <c r="A21" t="s">
        <v>812</v>
      </c>
      <c r="B21" s="241">
        <v>118580.63</v>
      </c>
      <c r="C21" s="241">
        <v>41626.6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3691379.24</v>
      </c>
      <c r="C22" s="232">
        <f>SUM(C19:C21)</f>
        <v>1387553.33</v>
      </c>
    </row>
    <row r="23" spans="1:3" x14ac:dyDescent="0.2">
      <c r="B23" s="231"/>
      <c r="C23" s="231"/>
    </row>
    <row r="24" spans="1:3" x14ac:dyDescent="0.2">
      <c r="B24" s="271" t="s">
        <v>814</v>
      </c>
      <c r="C24" s="271"/>
    </row>
    <row r="25" spans="1:3" x14ac:dyDescent="0.2">
      <c r="A25" s="240" t="s">
        <v>819</v>
      </c>
      <c r="B25" s="269" t="s">
        <v>739</v>
      </c>
      <c r="C25" s="270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1" t="s">
        <v>814</v>
      </c>
      <c r="C33" s="271"/>
    </row>
    <row r="34" spans="1:3" x14ac:dyDescent="0.2">
      <c r="A34" s="240" t="s">
        <v>820</v>
      </c>
      <c r="B34" s="269" t="s">
        <v>740</v>
      </c>
      <c r="C34" s="270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426894.36</v>
      </c>
      <c r="C36" s="236">
        <f>'DOE25'!G192+'DOE25'!G210+'DOE25'!G228+'DOE25'!G271+'DOE25'!G290+'DOE25'!G309</f>
        <v>80510.289999999994</v>
      </c>
    </row>
    <row r="37" spans="1:3" x14ac:dyDescent="0.2">
      <c r="A37" t="s">
        <v>810</v>
      </c>
      <c r="B37" s="241">
        <v>354232.5</v>
      </c>
      <c r="C37" s="241">
        <v>66823.539999999994</v>
      </c>
    </row>
    <row r="38" spans="1:3" x14ac:dyDescent="0.2">
      <c r="A38" t="s">
        <v>811</v>
      </c>
      <c r="B38" s="241">
        <v>44805.93</v>
      </c>
      <c r="C38" s="241">
        <v>8051.03</v>
      </c>
    </row>
    <row r="39" spans="1:3" x14ac:dyDescent="0.2">
      <c r="A39" t="s">
        <v>812</v>
      </c>
      <c r="B39" s="241">
        <v>27855.93</v>
      </c>
      <c r="C39" s="241">
        <v>5635.72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426894.36</v>
      </c>
      <c r="C40" s="232">
        <f>SUM(C37:C39)</f>
        <v>80510.289999999994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3" t="s">
        <v>809</v>
      </c>
    </row>
    <row r="49" spans="1:1" x14ac:dyDescent="0.2">
      <c r="A49" s="267" t="s">
        <v>875</v>
      </c>
    </row>
    <row r="50" spans="1:1" x14ac:dyDescent="0.2">
      <c r="A50" s="267" t="s">
        <v>869</v>
      </c>
    </row>
    <row r="51" spans="1:1" x14ac:dyDescent="0.2">
      <c r="A51" s="267" t="s">
        <v>876</v>
      </c>
    </row>
    <row r="52" spans="1:1" x14ac:dyDescent="0.2">
      <c r="A52" s="268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F77C-00E4-4716-ABFB-195C9F3B80E1}">
  <sheetPr codeName="Sheet3">
    <tabColor indexed="11"/>
  </sheetPr>
  <dimension ref="A1:I51"/>
  <sheetViews>
    <sheetView workbookViewId="0">
      <pane ySplit="4" topLeftCell="A5" activePane="bottomLeft" state="frozen"/>
      <selection pane="bottomLeft" activeCell="C16" sqref="C1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1" t="s">
        <v>821</v>
      </c>
      <c r="B1" s="276"/>
      <c r="C1" s="276"/>
      <c r="D1" s="276"/>
      <c r="E1" s="276"/>
      <c r="F1" s="276"/>
      <c r="G1" s="276"/>
      <c r="H1" s="276"/>
      <c r="I1" s="181"/>
    </row>
    <row r="2" spans="1:9" x14ac:dyDescent="0.2">
      <c r="A2" s="33" t="s">
        <v>748</v>
      </c>
      <c r="B2" s="264" t="str">
        <f>'DOE25'!A2</f>
        <v>Oyster River Coop</v>
      </c>
      <c r="C2" s="181"/>
      <c r="D2" s="181" t="s">
        <v>823</v>
      </c>
      <c r="E2" s="181" t="s">
        <v>825</v>
      </c>
      <c r="F2" s="273" t="s">
        <v>852</v>
      </c>
      <c r="G2" s="274"/>
      <c r="H2" s="275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0" t="s">
        <v>831</v>
      </c>
      <c r="B4" s="250" t="s">
        <v>847</v>
      </c>
      <c r="C4" s="250" t="s">
        <v>822</v>
      </c>
      <c r="D4" s="250" t="s">
        <v>848</v>
      </c>
      <c r="E4" s="250" t="s">
        <v>848</v>
      </c>
      <c r="F4" s="249" t="s">
        <v>828</v>
      </c>
      <c r="G4" s="250" t="s">
        <v>842</v>
      </c>
      <c r="H4" s="251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20812600.130000003</v>
      </c>
      <c r="D5" s="20">
        <f>SUM('DOE25'!L189:L192)+SUM('DOE25'!L207:L210)+SUM('DOE25'!L225:L228)-F5-G5</f>
        <v>20519181.090000004</v>
      </c>
      <c r="E5" s="244"/>
      <c r="F5" s="254">
        <f>SUM('DOE25'!J189:J192)+SUM('DOE25'!J207:J210)+SUM('DOE25'!J225:J228)</f>
        <v>229009.74</v>
      </c>
      <c r="G5" s="53">
        <f>SUM('DOE25'!K189:K192)+SUM('DOE25'!K207:K210)+SUM('DOE25'!K225:K228)</f>
        <v>64409.3</v>
      </c>
      <c r="H5" s="258"/>
    </row>
    <row r="6" spans="1:9" x14ac:dyDescent="0.2">
      <c r="A6" s="32">
        <v>2100</v>
      </c>
      <c r="B6" t="s">
        <v>832</v>
      </c>
      <c r="C6" s="246">
        <f t="shared" si="0"/>
        <v>2979969.8500000006</v>
      </c>
      <c r="D6" s="20">
        <f>'DOE25'!L194+'DOE25'!L212+'DOE25'!L230-F6-G6</f>
        <v>2965496.1700000004</v>
      </c>
      <c r="E6" s="244"/>
      <c r="F6" s="254">
        <f>'DOE25'!J194+'DOE25'!J212+'DOE25'!J230</f>
        <v>14473.68</v>
      </c>
      <c r="G6" s="53">
        <f>'DOE25'!K194+'DOE25'!K212+'DOE25'!K230</f>
        <v>0</v>
      </c>
      <c r="H6" s="258"/>
    </row>
    <row r="7" spans="1:9" x14ac:dyDescent="0.2">
      <c r="A7" s="32">
        <v>2200</v>
      </c>
      <c r="B7" t="s">
        <v>865</v>
      </c>
      <c r="C7" s="246">
        <f t="shared" si="0"/>
        <v>1020772.4599999998</v>
      </c>
      <c r="D7" s="20">
        <f>'DOE25'!L195+'DOE25'!L213+'DOE25'!L231-F7-G7</f>
        <v>992469.92999999982</v>
      </c>
      <c r="E7" s="244"/>
      <c r="F7" s="254">
        <f>'DOE25'!J195+'DOE25'!J213+'DOE25'!J231</f>
        <v>28302.53</v>
      </c>
      <c r="G7" s="53">
        <f>'DOE25'!K195+'DOE25'!K213+'DOE25'!K231</f>
        <v>0</v>
      </c>
      <c r="H7" s="258"/>
    </row>
    <row r="8" spans="1:9" x14ac:dyDescent="0.2">
      <c r="A8" s="32">
        <v>2300</v>
      </c>
      <c r="B8" t="s">
        <v>833</v>
      </c>
      <c r="C8" s="246">
        <f t="shared" si="0"/>
        <v>610231.11</v>
      </c>
      <c r="D8" s="244"/>
      <c r="E8" s="20">
        <f>'DOE25'!L196+'DOE25'!L214+'DOE25'!L232-F8-G8-D9-D11</f>
        <v>597487.17999999993</v>
      </c>
      <c r="F8" s="254">
        <f>'DOE25'!J196+'DOE25'!J214+'DOE25'!J232</f>
        <v>3354.0199999999995</v>
      </c>
      <c r="G8" s="53">
        <f>'DOE25'!K196+'DOE25'!K214+'DOE25'!K232</f>
        <v>9389.91</v>
      </c>
      <c r="H8" s="258"/>
    </row>
    <row r="9" spans="1:9" x14ac:dyDescent="0.2">
      <c r="A9" s="32">
        <v>2310</v>
      </c>
      <c r="B9" t="s">
        <v>849</v>
      </c>
      <c r="C9" s="246">
        <f t="shared" si="0"/>
        <v>223248.58</v>
      </c>
      <c r="D9" s="245">
        <v>223248.58</v>
      </c>
      <c r="E9" s="244"/>
      <c r="F9" s="257"/>
      <c r="G9" s="255"/>
      <c r="H9" s="258"/>
    </row>
    <row r="10" spans="1:9" x14ac:dyDescent="0.2">
      <c r="A10" s="32">
        <v>2317</v>
      </c>
      <c r="B10" t="s">
        <v>850</v>
      </c>
      <c r="C10" s="246">
        <f t="shared" si="0"/>
        <v>24000</v>
      </c>
      <c r="D10" s="244"/>
      <c r="E10" s="245">
        <v>24000</v>
      </c>
      <c r="F10" s="257"/>
      <c r="G10" s="255"/>
      <c r="H10" s="258"/>
    </row>
    <row r="11" spans="1:9" x14ac:dyDescent="0.2">
      <c r="A11" s="32">
        <v>2321</v>
      </c>
      <c r="B11" t="s">
        <v>862</v>
      </c>
      <c r="C11" s="246">
        <f t="shared" si="0"/>
        <v>623766.46</v>
      </c>
      <c r="D11" s="245">
        <v>623766.46</v>
      </c>
      <c r="E11" s="244"/>
      <c r="F11" s="257"/>
      <c r="G11" s="255"/>
      <c r="H11" s="258"/>
    </row>
    <row r="12" spans="1:9" x14ac:dyDescent="0.2">
      <c r="A12" s="32">
        <v>2400</v>
      </c>
      <c r="B12" t="s">
        <v>746</v>
      </c>
      <c r="C12" s="246">
        <f t="shared" si="0"/>
        <v>1389599.26</v>
      </c>
      <c r="D12" s="20">
        <f>'DOE25'!L197+'DOE25'!L215+'DOE25'!L233-F12-G12</f>
        <v>1378812.46</v>
      </c>
      <c r="E12" s="244"/>
      <c r="F12" s="254">
        <f>'DOE25'!J197+'DOE25'!J215+'DOE25'!J233</f>
        <v>3491</v>
      </c>
      <c r="G12" s="53">
        <f>'DOE25'!K197+'DOE25'!K215+'DOE25'!K233</f>
        <v>7295.8</v>
      </c>
      <c r="H12" s="258"/>
    </row>
    <row r="13" spans="1:9" x14ac:dyDescent="0.2">
      <c r="A13" s="32">
        <v>2500</v>
      </c>
      <c r="B13" t="s">
        <v>834</v>
      </c>
      <c r="C13" s="246">
        <f t="shared" si="0"/>
        <v>446278.48</v>
      </c>
      <c r="D13" s="244"/>
      <c r="E13" s="20">
        <f>'DOE25'!L198+'DOE25'!L216+'DOE25'!L234-F13-G13</f>
        <v>436315.13999999996</v>
      </c>
      <c r="F13" s="254">
        <f>'DOE25'!J198+'DOE25'!J216+'DOE25'!J234</f>
        <v>8176.34</v>
      </c>
      <c r="G13" s="53">
        <f>'DOE25'!K198+'DOE25'!K216+'DOE25'!K234</f>
        <v>1787.0000000000002</v>
      </c>
      <c r="H13" s="258"/>
    </row>
    <row r="14" spans="1:9" x14ac:dyDescent="0.2">
      <c r="A14" s="32">
        <v>2600</v>
      </c>
      <c r="B14" t="s">
        <v>863</v>
      </c>
      <c r="C14" s="246">
        <f t="shared" si="0"/>
        <v>3333216.1199999996</v>
      </c>
      <c r="D14" s="20">
        <f>'DOE25'!L199+'DOE25'!L217+'DOE25'!L235-F14-G14</f>
        <v>3239557.3499999996</v>
      </c>
      <c r="E14" s="244"/>
      <c r="F14" s="254">
        <f>'DOE25'!J199+'DOE25'!J217+'DOE25'!J235</f>
        <v>93658.76999999999</v>
      </c>
      <c r="G14" s="53">
        <f>'DOE25'!K199+'DOE25'!K217+'DOE25'!K235</f>
        <v>0</v>
      </c>
      <c r="H14" s="258"/>
    </row>
    <row r="15" spans="1:9" x14ac:dyDescent="0.2">
      <c r="A15" s="32">
        <v>2700</v>
      </c>
      <c r="B15" t="s">
        <v>835</v>
      </c>
      <c r="C15" s="246">
        <f t="shared" si="0"/>
        <v>2133125.0499999998</v>
      </c>
      <c r="D15" s="20">
        <f>'DOE25'!L200+'DOE25'!L218+'DOE25'!L236-F15-G15</f>
        <v>1867679.4499999997</v>
      </c>
      <c r="E15" s="244"/>
      <c r="F15" s="254">
        <f>'DOE25'!J200+'DOE25'!J218+'DOE25'!J236</f>
        <v>263976</v>
      </c>
      <c r="G15" s="53">
        <f>'DOE25'!K200+'DOE25'!K218+'DOE25'!K236</f>
        <v>1469.6</v>
      </c>
      <c r="H15" s="258"/>
    </row>
    <row r="16" spans="1:9" x14ac:dyDescent="0.2">
      <c r="A16" s="32">
        <v>2800</v>
      </c>
      <c r="B16" t="s">
        <v>836</v>
      </c>
      <c r="C16" s="246">
        <f t="shared" si="0"/>
        <v>14821.249999999985</v>
      </c>
      <c r="D16" s="244"/>
      <c r="E16" s="20">
        <f>'DOE25'!L201+'DOE25'!L219+'DOE25'!L237-F16-G16</f>
        <v>7060.9999999999854</v>
      </c>
      <c r="F16" s="254">
        <f>'DOE25'!J201+'DOE25'!J219+'DOE25'!J237</f>
        <v>0</v>
      </c>
      <c r="G16" s="53">
        <f>'DOE25'!K201+'DOE25'!K219+'DOE25'!K237</f>
        <v>7760.25</v>
      </c>
      <c r="H16" s="258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4">
        <f>'DOE25'!J243</f>
        <v>0</v>
      </c>
      <c r="G17" s="53">
        <f>'DOE25'!K243</f>
        <v>0</v>
      </c>
      <c r="H17" s="258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4">
        <f>'DOE25'!J244</f>
        <v>0</v>
      </c>
      <c r="G18" s="53">
        <f>'DOE25'!K244</f>
        <v>0</v>
      </c>
      <c r="H18" s="258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4">
        <f>'DOE25'!J245</f>
        <v>0</v>
      </c>
      <c r="G19" s="53">
        <f>'DOE25'!K245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827</v>
      </c>
      <c r="F21" s="259"/>
      <c r="G21" s="52"/>
      <c r="H21" s="260"/>
    </row>
    <row r="22" spans="1:8" x14ac:dyDescent="0.2">
      <c r="A22" s="32">
        <v>4000</v>
      </c>
      <c r="B22" t="s">
        <v>864</v>
      </c>
      <c r="C22" s="246">
        <f>SUM(D22:H22)</f>
        <v>36284.230000000003</v>
      </c>
      <c r="D22" s="244"/>
      <c r="E22" s="244"/>
      <c r="F22" s="254">
        <f>'DOE25'!L247+'DOE25'!L328</f>
        <v>36284.230000000003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487</v>
      </c>
      <c r="F24" s="259"/>
      <c r="G24" s="52"/>
      <c r="H24" s="260"/>
    </row>
    <row r="25" spans="1:8" x14ac:dyDescent="0.2">
      <c r="A25" s="32" t="s">
        <v>840</v>
      </c>
      <c r="B25" t="s">
        <v>841</v>
      </c>
      <c r="C25" s="246">
        <f>SUM(D25:H25)</f>
        <v>2060018.13</v>
      </c>
      <c r="D25" s="244"/>
      <c r="E25" s="244"/>
      <c r="F25" s="257"/>
      <c r="G25" s="255"/>
      <c r="H25" s="256">
        <f>'DOE25'!L252+'DOE25'!L253+'DOE25'!L333+'DOE25'!L334</f>
        <v>2060018.13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843</v>
      </c>
      <c r="F27" s="259"/>
      <c r="G27" s="52"/>
      <c r="H27" s="260"/>
    </row>
    <row r="28" spans="1:8" x14ac:dyDescent="0.2">
      <c r="A28" s="32">
        <v>3100</v>
      </c>
      <c r="B28" t="s">
        <v>856</v>
      </c>
      <c r="F28" s="259"/>
      <c r="G28" s="52"/>
      <c r="H28" s="260"/>
    </row>
    <row r="29" spans="1:8" x14ac:dyDescent="0.2">
      <c r="A29" s="32"/>
      <c r="B29" t="s">
        <v>844</v>
      </c>
      <c r="C29" s="246">
        <f>SUM(D29:H29)</f>
        <v>404205.65</v>
      </c>
      <c r="D29" s="20">
        <f>'DOE25'!L350+'DOE25'!L351+'DOE25'!L352-'DOE25'!I359-F29-G29</f>
        <v>403131.65</v>
      </c>
      <c r="E29" s="244"/>
      <c r="F29" s="254">
        <f>'DOE25'!J350+'DOE25'!J351+'DOE25'!J352</f>
        <v>0</v>
      </c>
      <c r="G29" s="53">
        <f>'DOE25'!K350+'DOE25'!K351+'DOE25'!K352</f>
        <v>1074</v>
      </c>
      <c r="H29" s="258"/>
    </row>
    <row r="30" spans="1:8" x14ac:dyDescent="0.2">
      <c r="A30" s="32"/>
      <c r="D30" s="20"/>
      <c r="E30" s="244"/>
      <c r="F30" s="254"/>
      <c r="G30" s="53"/>
      <c r="H30" s="258"/>
    </row>
    <row r="31" spans="1:8" x14ac:dyDescent="0.2">
      <c r="A31" s="32" t="s">
        <v>858</v>
      </c>
      <c r="B31" t="s">
        <v>857</v>
      </c>
      <c r="C31" s="246">
        <f>SUM(D31:H31)</f>
        <v>1004808.02</v>
      </c>
      <c r="D31" s="20">
        <f>'DOE25'!L282+'DOE25'!L301+'DOE25'!L320+'DOE25'!L325+'DOE25'!L326+'DOE25'!L327-F31-G31</f>
        <v>984317.65</v>
      </c>
      <c r="E31" s="244"/>
      <c r="F31" s="254">
        <f>'DOE25'!J282+'DOE25'!J301+'DOE25'!J320+'DOE25'!J325+'DOE25'!J326+'DOE25'!J327</f>
        <v>20440.37</v>
      </c>
      <c r="G31" s="53">
        <f>'DOE25'!K282+'DOE25'!K301+'DOE25'!K320+'DOE25'!K325+'DOE25'!K326+'DOE25'!K327</f>
        <v>50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845</v>
      </c>
      <c r="D33" s="247">
        <f>SUM(D5:D31)</f>
        <v>33197660.790000003</v>
      </c>
      <c r="E33" s="247">
        <f>SUM(E5:E31)</f>
        <v>1064863.3199999998</v>
      </c>
      <c r="F33" s="247">
        <f>SUM(F5:F31)</f>
        <v>701166.67999999993</v>
      </c>
      <c r="G33" s="247">
        <f>SUM(G5:G31)</f>
        <v>93235.860000000015</v>
      </c>
      <c r="H33" s="247">
        <f>SUM(H5:H31)</f>
        <v>2060018.13</v>
      </c>
    </row>
    <row r="35" spans="2:8" ht="12" thickBot="1" x14ac:dyDescent="0.25">
      <c r="B35" s="252" t="s">
        <v>878</v>
      </c>
      <c r="D35" s="253">
        <f>E33</f>
        <v>1064863.3199999998</v>
      </c>
      <c r="E35" s="248"/>
    </row>
    <row r="36" spans="2:8" ht="12" thickTop="1" x14ac:dyDescent="0.2">
      <c r="B36" t="s">
        <v>846</v>
      </c>
      <c r="D36" s="20">
        <f>D33</f>
        <v>33197660.790000003</v>
      </c>
    </row>
    <row r="38" spans="2:8" x14ac:dyDescent="0.2">
      <c r="B38" s="187" t="s">
        <v>887</v>
      </c>
      <c r="C38" s="265"/>
      <c r="D38" s="266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3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CF5F-6610-4A3E-A174-9BB4F151D99F}">
  <sheetPr transitionEvaluation="1" codeName="Sheet4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Oyster River Coop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2524699.0699999998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60307.54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365296.77</v>
      </c>
      <c r="D12" s="95">
        <f>'DOE25'!G12</f>
        <v>27400.46</v>
      </c>
      <c r="E12" s="95">
        <f>'DOE25'!H12</f>
        <v>-392697.23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172952.74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76210.009999999995</v>
      </c>
      <c r="D14" s="95">
        <f>'DOE25'!G14</f>
        <v>15963.05</v>
      </c>
      <c r="E14" s="95">
        <f>'DOE25'!H14</f>
        <v>0</v>
      </c>
      <c r="F14" s="95">
        <f>'DOE25'!I14</f>
        <v>0</v>
      </c>
      <c r="G14" s="95">
        <f>'DOE25'!J14</f>
        <v>832691.44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2966205.8499999996</v>
      </c>
      <c r="D19" s="41">
        <f>SUM(D9:D18)</f>
        <v>43363.509999999995</v>
      </c>
      <c r="E19" s="41">
        <f>SUM(E9:E18)</f>
        <v>-392697.23</v>
      </c>
      <c r="F19" s="41">
        <f>SUM(F9:F18)</f>
        <v>0</v>
      </c>
      <c r="G19" s="41">
        <f>SUM(G9:G18)</f>
        <v>1065951.72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418051.75</v>
      </c>
      <c r="D24" s="95">
        <f>'DOE25'!G25</f>
        <v>18215.169999999998</v>
      </c>
      <c r="E24" s="95">
        <f>'DOE25'!H25</f>
        <v>21763.200000000001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300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690209.56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175</v>
      </c>
      <c r="D30" s="95">
        <f>'DOE25'!G31</f>
        <v>25148.34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1108736.31</v>
      </c>
      <c r="D32" s="41">
        <f>SUM(D22:D31)</f>
        <v>43363.509999999995</v>
      </c>
      <c r="E32" s="41">
        <f>SUM(E22:E31)</f>
        <v>21763.200000000001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167161.25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1065951.72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-414460.43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1690308.29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1857469.54</v>
      </c>
      <c r="D42" s="41">
        <f>SUM(D34:D41)</f>
        <v>0</v>
      </c>
      <c r="E42" s="41">
        <f>SUM(E34:E41)</f>
        <v>-414460.43</v>
      </c>
      <c r="F42" s="41">
        <f>SUM(F34:F41)</f>
        <v>0</v>
      </c>
      <c r="G42" s="41">
        <f>SUM(G34:G41)</f>
        <v>1065951.72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2966205.85</v>
      </c>
      <c r="D43" s="41">
        <f>D42+D32</f>
        <v>43363.509999999995</v>
      </c>
      <c r="E43" s="41">
        <f>E42+E32</f>
        <v>-392697.23</v>
      </c>
      <c r="F43" s="41">
        <f>F42+F32</f>
        <v>0</v>
      </c>
      <c r="G43" s="41">
        <f>G42+G32</f>
        <v>1065951.72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25139787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466883.22</v>
      </c>
      <c r="D49" s="24" t="s">
        <v>312</v>
      </c>
      <c r="E49" s="95">
        <f>'DOE25'!H71</f>
        <v>35165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13044.97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13429.38</v>
      </c>
      <c r="D51" s="95">
        <f>'DOE25'!G88</f>
        <v>629.21</v>
      </c>
      <c r="E51" s="95">
        <f>'DOE25'!H88</f>
        <v>0</v>
      </c>
      <c r="F51" s="95">
        <f>'DOE25'!I88</f>
        <v>92.55</v>
      </c>
      <c r="G51" s="95">
        <f>'DOE25'!J88</f>
        <v>1276.51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465026.93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38987.520000000004</v>
      </c>
      <c r="D53" s="95">
        <f>SUM('DOE25'!G90:G102)</f>
        <v>0</v>
      </c>
      <c r="E53" s="95">
        <f>SUM('DOE25'!H90:H102)</f>
        <v>5425.35</v>
      </c>
      <c r="F53" s="95">
        <f>SUM('DOE25'!I90:I102)</f>
        <v>0</v>
      </c>
      <c r="G53" s="95">
        <f>SUM('DOE25'!J90:J102)</f>
        <v>11227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532345.09</v>
      </c>
      <c r="D54" s="130">
        <f>SUM(D49:D53)</f>
        <v>465656.14</v>
      </c>
      <c r="E54" s="130">
        <f>SUM(E49:E53)</f>
        <v>40590.35</v>
      </c>
      <c r="F54" s="130">
        <f>SUM(F49:F53)</f>
        <v>92.55</v>
      </c>
      <c r="G54" s="130">
        <f>SUM(G49:G53)</f>
        <v>12503.51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25672132.09</v>
      </c>
      <c r="D55" s="22">
        <f>D48+D54</f>
        <v>465656.14</v>
      </c>
      <c r="E55" s="22">
        <f>E48+E54</f>
        <v>40590.35</v>
      </c>
      <c r="F55" s="22">
        <f>F48+F54</f>
        <v>92.55</v>
      </c>
      <c r="G55" s="22">
        <f>G48+G54</f>
        <v>12503.51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4742029.92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3459334.56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171992.08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8373356.5600000005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678618.24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113038.45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3400.17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6147.84</v>
      </c>
      <c r="E69" s="95">
        <f>SUM('DOE25'!H123:H127)</f>
        <v>14100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795056.86</v>
      </c>
      <c r="D70" s="130">
        <f>SUM(D64:D69)</f>
        <v>6147.84</v>
      </c>
      <c r="E70" s="130">
        <f>SUM(E64:E69)</f>
        <v>14100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3500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9168413.4199999999</v>
      </c>
      <c r="D73" s="130">
        <f>SUM(D71:D72)+D70+D62</f>
        <v>6147.84</v>
      </c>
      <c r="E73" s="130">
        <f>SUM(E71:E72)+E70+E62</f>
        <v>17600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4050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218661.34</v>
      </c>
      <c r="D80" s="95">
        <f>SUM('DOE25'!G145:G153)</f>
        <v>64575.68</v>
      </c>
      <c r="E80" s="95">
        <f>SUM('DOE25'!H145:H153)</f>
        <v>886339.56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218661.34</v>
      </c>
      <c r="D83" s="131">
        <f>SUM(D77:D82)</f>
        <v>64575.68</v>
      </c>
      <c r="E83" s="131">
        <f>SUM(E77:E82)</f>
        <v>890389.56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76073.13</v>
      </c>
      <c r="E88" s="95">
        <f>'DOE25'!H171</f>
        <v>0</v>
      </c>
      <c r="F88" s="95">
        <f>'DOE25'!I171</f>
        <v>0</v>
      </c>
      <c r="G88" s="95">
        <f>'DOE25'!J171</f>
        <v>50000</v>
      </c>
    </row>
    <row r="89" spans="1:7" x14ac:dyDescent="0.2">
      <c r="A89" t="s">
        <v>789</v>
      </c>
      <c r="B89" s="32" t="s">
        <v>211</v>
      </c>
      <c r="C89" s="95">
        <f>SUM('DOE25'!F172:F173)</f>
        <v>-149.08000000000001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77932.86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1050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78833.78</v>
      </c>
      <c r="D95" s="86">
        <f>SUM(D85:D94)</f>
        <v>76073.13</v>
      </c>
      <c r="E95" s="86">
        <f>SUM(E85:E94)</f>
        <v>0</v>
      </c>
      <c r="F95" s="86">
        <f>SUM(F85:F94)</f>
        <v>0</v>
      </c>
      <c r="G95" s="86">
        <f>SUM(G85:G94)</f>
        <v>50000</v>
      </c>
    </row>
    <row r="96" spans="1:7" ht="12.75" thickTop="1" thickBot="1" x14ac:dyDescent="0.25">
      <c r="A96" s="33" t="s">
        <v>796</v>
      </c>
      <c r="C96" s="86">
        <f>C55+C73+C83+C95</f>
        <v>35138040.630000003</v>
      </c>
      <c r="D96" s="86">
        <f>D55+D73+D83+D95</f>
        <v>612452.79</v>
      </c>
      <c r="E96" s="86">
        <f>E55+E73+E83+E95</f>
        <v>948579.91</v>
      </c>
      <c r="F96" s="86">
        <f>F55+F73+F83+F95</f>
        <v>92.55</v>
      </c>
      <c r="G96" s="86">
        <f>G55+G73+G95</f>
        <v>62503.51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14129581.610000001</v>
      </c>
      <c r="D101" s="24" t="s">
        <v>312</v>
      </c>
      <c r="E101" s="95">
        <f>('DOE25'!L268)+('DOE25'!L287)+('DOE25'!L306)</f>
        <v>393075.07999999996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5920979</v>
      </c>
      <c r="D102" s="24" t="s">
        <v>312</v>
      </c>
      <c r="E102" s="95">
        <f>('DOE25'!L269)+('DOE25'!L288)+('DOE25'!L307)</f>
        <v>557411.33000000007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9262.6200000000008</v>
      </c>
      <c r="D103" s="24" t="s">
        <v>312</v>
      </c>
      <c r="E103" s="95">
        <f>('DOE25'!L270)+('DOE25'!L289)+('DOE25'!L308)</f>
        <v>1137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752776.9</v>
      </c>
      <c r="D104" s="24" t="s">
        <v>312</v>
      </c>
      <c r="E104" s="95">
        <f>+('DOE25'!L271)+('DOE25'!L290)+('DOE25'!L309)</f>
        <v>17666.129999999997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20812600.129999999</v>
      </c>
      <c r="D107" s="86">
        <f>SUM(D101:D106)</f>
        <v>0</v>
      </c>
      <c r="E107" s="86">
        <f>SUM(E101:E106)</f>
        <v>969289.54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2979969.8500000006</v>
      </c>
      <c r="D110" s="24" t="s">
        <v>312</v>
      </c>
      <c r="E110" s="95">
        <f>+('DOE25'!L273)+('DOE25'!L292)+('DOE25'!L311)</f>
        <v>15395.75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1020772.4599999998</v>
      </c>
      <c r="D111" s="24" t="s">
        <v>312</v>
      </c>
      <c r="E111" s="95">
        <f>+('DOE25'!L274)+('DOE25'!L293)+('DOE25'!L312)</f>
        <v>12751.970000000001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1457246.15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1389599.26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446278.48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3333216.1199999996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2133125.0499999998</v>
      </c>
      <c r="D116" s="24" t="s">
        <v>312</v>
      </c>
      <c r="E116" s="95">
        <f>+('DOE25'!L279)+('DOE25'!L298)+('DOE25'!L317)</f>
        <v>7370.7599999999993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14821.249999999985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612452.80000000005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12775028.620000001</v>
      </c>
      <c r="D120" s="86">
        <f>SUM(D110:D119)</f>
        <v>612452.80000000005</v>
      </c>
      <c r="E120" s="86">
        <f>SUM(E110:E119)</f>
        <v>35518.480000000003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36284.230000000003</v>
      </c>
      <c r="D122" s="24" t="s">
        <v>312</v>
      </c>
      <c r="E122" s="129">
        <f>'DOE25'!L328</f>
        <v>0</v>
      </c>
      <c r="F122" s="129">
        <f>SUM('DOE25'!L366:'DOE25'!L372)</f>
        <v>65724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1465000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595064.17000000004</v>
      </c>
      <c r="D124" s="24" t="s">
        <v>312</v>
      </c>
      <c r="E124" s="129">
        <f>'DOE25'!L334</f>
        <v>-46.04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77932.86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76073.13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214.16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62289.350000000006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-12503.510000000009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2222421.5300000003</v>
      </c>
      <c r="D136" s="141">
        <f>SUM(D122:D135)</f>
        <v>0</v>
      </c>
      <c r="E136" s="141">
        <f>SUM(E122:E135)</f>
        <v>-46.04</v>
      </c>
      <c r="F136" s="141">
        <f>SUM(F122:F135)</f>
        <v>143656.85999999999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35810050.280000001</v>
      </c>
      <c r="D137" s="86">
        <f>(D107+D120+D136)</f>
        <v>612452.80000000005</v>
      </c>
      <c r="E137" s="86">
        <f>(E107+E120+E136)</f>
        <v>1004761.98</v>
      </c>
      <c r="F137" s="86">
        <f>(F107+F120+F136)</f>
        <v>143656.85999999999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15</v>
      </c>
      <c r="D143" s="153">
        <f>'DOE25'!H480</f>
        <v>15</v>
      </c>
      <c r="E143" s="153">
        <f>'DOE25'!I480</f>
        <v>20</v>
      </c>
      <c r="F143" s="153">
        <f>'DOE25'!J480</f>
        <v>20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 t="str">
        <f>'DOE25'!G481</f>
        <v>6/97</v>
      </c>
      <c r="D144" s="152" t="str">
        <f>'DOE25'!H481</f>
        <v>6/97</v>
      </c>
      <c r="E144" s="152" t="str">
        <f>'DOE25'!I481</f>
        <v>11/01</v>
      </c>
      <c r="F144" s="152" t="str">
        <f>'DOE25'!J481</f>
        <v>8/03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 t="str">
        <f>'DOE25'!G482</f>
        <v>7/10</v>
      </c>
      <c r="D145" s="152" t="str">
        <f>'DOE25'!H482</f>
        <v>7/11</v>
      </c>
      <c r="E145" s="152" t="str">
        <f>'DOE25'!I482</f>
        <v>11/21</v>
      </c>
      <c r="F145" s="152" t="str">
        <f>'DOE25'!J482</f>
        <v>2/23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2605000</v>
      </c>
      <c r="D146" s="137">
        <f>'DOE25'!H483</f>
        <v>2500000</v>
      </c>
      <c r="E146" s="137">
        <f>'DOE25'!I483</f>
        <v>2300000</v>
      </c>
      <c r="F146" s="137">
        <f>'DOE25'!J483</f>
        <v>20406711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5.08</v>
      </c>
      <c r="D147" s="137">
        <f>'DOE25'!H484</f>
        <v>5.26</v>
      </c>
      <c r="E147" s="137">
        <f>'DOE25'!I484</f>
        <v>4.22</v>
      </c>
      <c r="F147" s="137">
        <f>'DOE25'!J484</f>
        <v>4.09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155000</v>
      </c>
      <c r="D148" s="137">
        <f>'DOE25'!H485</f>
        <v>225000</v>
      </c>
      <c r="E148" s="137">
        <f>'DOE25'!I485</f>
        <v>1380000</v>
      </c>
      <c r="F148" s="137">
        <f>'DOE25'!J485</f>
        <v>13260000</v>
      </c>
      <c r="G148" s="138">
        <f>SUM(B148:F148)</f>
        <v>15020000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155000</v>
      </c>
      <c r="D150" s="137">
        <f>'DOE25'!H487</f>
        <v>175000</v>
      </c>
      <c r="E150" s="137">
        <f>'DOE25'!I487</f>
        <v>115000</v>
      </c>
      <c r="F150" s="137">
        <f>'DOE25'!J487</f>
        <v>1020000</v>
      </c>
      <c r="G150" s="138">
        <f t="shared" si="0"/>
        <v>1465000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50000</v>
      </c>
      <c r="E151" s="137">
        <f>'DOE25'!I488</f>
        <v>1265000</v>
      </c>
      <c r="F151" s="137">
        <f>'DOE25'!J488</f>
        <v>12240000</v>
      </c>
      <c r="G151" s="138">
        <f t="shared" si="0"/>
        <v>13555000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1400</v>
      </c>
      <c r="E152" s="137">
        <f>'DOE25'!I489</f>
        <v>312109</v>
      </c>
      <c r="F152" s="137">
        <f>'DOE25'!J489</f>
        <v>3186735</v>
      </c>
      <c r="G152" s="138">
        <f t="shared" si="0"/>
        <v>3500244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51400</v>
      </c>
      <c r="E153" s="137">
        <f>'DOE25'!I490</f>
        <v>1577109</v>
      </c>
      <c r="F153" s="137">
        <f>'DOE25'!J490</f>
        <v>15426735</v>
      </c>
      <c r="G153" s="138">
        <f t="shared" si="0"/>
        <v>17055244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50000</v>
      </c>
      <c r="E154" s="137">
        <f>'DOE25'!I491</f>
        <v>115000</v>
      </c>
      <c r="F154" s="137">
        <f>'DOE25'!J491</f>
        <v>1020000</v>
      </c>
      <c r="G154" s="138">
        <f t="shared" si="0"/>
        <v>1185000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1400</v>
      </c>
      <c r="E155" s="137">
        <f>'DOE25'!I492</f>
        <v>52556</v>
      </c>
      <c r="F155" s="137">
        <f>'DOE25'!J492</f>
        <v>486540</v>
      </c>
      <c r="G155" s="138">
        <f t="shared" si="0"/>
        <v>540496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51400</v>
      </c>
      <c r="E156" s="137">
        <f>'DOE25'!I493</f>
        <v>167556</v>
      </c>
      <c r="F156" s="137">
        <f>'DOE25'!J493</f>
        <v>1506540</v>
      </c>
      <c r="G156" s="138">
        <f t="shared" si="0"/>
        <v>1725496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723B2-FCC9-45C1-8CB7-6CD70529271F}">
  <sheetPr codeName="Sheet5">
    <tabColor indexed="43"/>
  </sheetPr>
  <dimension ref="A1:D42"/>
  <sheetViews>
    <sheetView workbookViewId="0">
      <selection activeCell="H26" sqref="H2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7" t="s">
        <v>771</v>
      </c>
      <c r="B1" s="277"/>
      <c r="C1" s="277"/>
      <c r="D1" s="277"/>
    </row>
    <row r="2" spans="1:4" x14ac:dyDescent="0.2">
      <c r="A2" s="187" t="s">
        <v>748</v>
      </c>
      <c r="B2" s="186" t="str">
        <f>'DOE25'!A2</f>
        <v>Oyster River Coop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15913</v>
      </c>
    </row>
    <row r="5" spans="1:4" x14ac:dyDescent="0.2">
      <c r="B5" t="s">
        <v>735</v>
      </c>
      <c r="C5" s="179">
        <f>IF('DOE25'!G655+'DOE25'!G660=0,0,ROUND('DOE25'!G662,0))</f>
        <v>15639</v>
      </c>
    </row>
    <row r="6" spans="1:4" x14ac:dyDescent="0.2">
      <c r="B6" t="s">
        <v>62</v>
      </c>
      <c r="C6" s="179">
        <f>IF('DOE25'!H655+'DOE25'!H660=0,0,ROUND('DOE25'!H662,0))</f>
        <v>16084</v>
      </c>
    </row>
    <row r="7" spans="1:4" x14ac:dyDescent="0.2">
      <c r="B7" t="s">
        <v>736</v>
      </c>
      <c r="C7" s="179">
        <f>IF('DOE25'!I655+'DOE25'!I660=0,0,ROUND('DOE25'!I662,0))</f>
        <v>15884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14522657</v>
      </c>
      <c r="D10" s="182">
        <f>ROUND((C10/$C$28)*100,1)</f>
        <v>41.1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6478390</v>
      </c>
      <c r="D11" s="182">
        <f>ROUND((C11/$C$28)*100,1)</f>
        <v>18.3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10400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770443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2995366</v>
      </c>
      <c r="D15" s="182">
        <f t="shared" ref="D15:D27" si="0">ROUND((C15/$C$28)*100,1)</f>
        <v>8.5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1033524</v>
      </c>
      <c r="D16" s="182">
        <f t="shared" si="0"/>
        <v>2.9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1472067</v>
      </c>
      <c r="D17" s="182">
        <f t="shared" si="0"/>
        <v>4.2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1389599</v>
      </c>
      <c r="D18" s="182">
        <f t="shared" si="0"/>
        <v>3.9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446278</v>
      </c>
      <c r="D19" s="182">
        <f t="shared" si="0"/>
        <v>1.3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3333216</v>
      </c>
      <c r="D20" s="182">
        <f t="shared" si="0"/>
        <v>9.4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2140496</v>
      </c>
      <c r="D21" s="182">
        <f t="shared" si="0"/>
        <v>6.1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595018</v>
      </c>
      <c r="D25" s="182">
        <f t="shared" si="0"/>
        <v>1.7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147426.07</v>
      </c>
      <c r="D27" s="182">
        <f t="shared" si="0"/>
        <v>0.4</v>
      </c>
    </row>
    <row r="28" spans="1:4" x14ac:dyDescent="0.2">
      <c r="B28" s="187" t="s">
        <v>754</v>
      </c>
      <c r="C28" s="180">
        <f>SUM(C10:C27)</f>
        <v>35334880.07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102008</v>
      </c>
    </row>
    <row r="30" spans="1:4" x14ac:dyDescent="0.2">
      <c r="B30" s="187" t="s">
        <v>760</v>
      </c>
      <c r="C30" s="180">
        <f>SUM(C28:C29)</f>
        <v>35436888.07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1465000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25139787</v>
      </c>
      <c r="D35" s="182">
        <f t="shared" ref="D35:D40" si="1">ROUND((C35/$C$41)*100,1)</f>
        <v>69.7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586160.71000000089</v>
      </c>
      <c r="D36" s="182">
        <f t="shared" si="1"/>
        <v>1.6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8373357</v>
      </c>
      <c r="D37" s="182">
        <f t="shared" si="1"/>
        <v>23.2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818805</v>
      </c>
      <c r="D38" s="182">
        <f t="shared" si="1"/>
        <v>2.2999999999999998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1173627</v>
      </c>
      <c r="D39" s="182">
        <f t="shared" si="1"/>
        <v>3.3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1050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36092786.710000001</v>
      </c>
      <c r="D41" s="184">
        <f>SUM(D35:D40)</f>
        <v>100.1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C2D84-4286-46FA-AE03-BF7C9260C4EB}">
  <sheetPr codeName="Sheet6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801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84" t="s">
        <v>798</v>
      </c>
      <c r="B2" s="285"/>
      <c r="C2" s="285"/>
      <c r="D2" s="285"/>
      <c r="E2" s="285"/>
      <c r="F2" s="290" t="str">
        <f>'DOE25'!A2</f>
        <v>Oyster River Coop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88" t="s">
        <v>802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9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9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78"/>
      <c r="D6" s="278"/>
      <c r="E6" s="278"/>
      <c r="F6" s="278"/>
      <c r="G6" s="278"/>
      <c r="H6" s="278"/>
      <c r="I6" s="278"/>
      <c r="J6" s="278"/>
      <c r="K6" s="278"/>
      <c r="L6" s="278"/>
      <c r="M6" s="279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78"/>
      <c r="D7" s="278"/>
      <c r="E7" s="278"/>
      <c r="F7" s="278"/>
      <c r="G7" s="278"/>
      <c r="H7" s="278"/>
      <c r="I7" s="278"/>
      <c r="J7" s="278"/>
      <c r="K7" s="278"/>
      <c r="L7" s="278"/>
      <c r="M7" s="279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279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78"/>
      <c r="D9" s="278"/>
      <c r="E9" s="278"/>
      <c r="F9" s="278"/>
      <c r="G9" s="278"/>
      <c r="H9" s="278"/>
      <c r="I9" s="278"/>
      <c r="J9" s="278"/>
      <c r="K9" s="278"/>
      <c r="L9" s="278"/>
      <c r="M9" s="279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78"/>
      <c r="D10" s="278"/>
      <c r="E10" s="278"/>
      <c r="F10" s="278"/>
      <c r="G10" s="278"/>
      <c r="H10" s="278"/>
      <c r="I10" s="278"/>
      <c r="J10" s="278"/>
      <c r="K10" s="278"/>
      <c r="L10" s="278"/>
      <c r="M10" s="279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9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78"/>
      <c r="D12" s="278"/>
      <c r="E12" s="278"/>
      <c r="F12" s="278"/>
      <c r="G12" s="278"/>
      <c r="H12" s="278"/>
      <c r="I12" s="278"/>
      <c r="J12" s="278"/>
      <c r="K12" s="278"/>
      <c r="L12" s="278"/>
      <c r="M12" s="279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78"/>
      <c r="D13" s="278"/>
      <c r="E13" s="278"/>
      <c r="F13" s="278"/>
      <c r="G13" s="278"/>
      <c r="H13" s="278"/>
      <c r="I13" s="278"/>
      <c r="J13" s="278"/>
      <c r="K13" s="278"/>
      <c r="L13" s="278"/>
      <c r="M13" s="279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78"/>
      <c r="D14" s="278"/>
      <c r="E14" s="278"/>
      <c r="F14" s="278"/>
      <c r="G14" s="278"/>
      <c r="H14" s="278"/>
      <c r="I14" s="278"/>
      <c r="J14" s="278"/>
      <c r="K14" s="278"/>
      <c r="L14" s="278"/>
      <c r="M14" s="279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78"/>
      <c r="D15" s="278"/>
      <c r="E15" s="278"/>
      <c r="F15" s="278"/>
      <c r="G15" s="278"/>
      <c r="H15" s="278"/>
      <c r="I15" s="278"/>
      <c r="J15" s="278"/>
      <c r="K15" s="278"/>
      <c r="L15" s="278"/>
      <c r="M15" s="279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78"/>
      <c r="D16" s="278"/>
      <c r="E16" s="278"/>
      <c r="F16" s="278"/>
      <c r="G16" s="278"/>
      <c r="H16" s="278"/>
      <c r="I16" s="278"/>
      <c r="J16" s="278"/>
      <c r="K16" s="278"/>
      <c r="L16" s="278"/>
      <c r="M16" s="279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78"/>
      <c r="D17" s="278"/>
      <c r="E17" s="278"/>
      <c r="F17" s="278"/>
      <c r="G17" s="278"/>
      <c r="H17" s="278"/>
      <c r="I17" s="278"/>
      <c r="J17" s="278"/>
      <c r="K17" s="278"/>
      <c r="L17" s="278"/>
      <c r="M17" s="279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78"/>
      <c r="D18" s="278"/>
      <c r="E18" s="278"/>
      <c r="F18" s="278"/>
      <c r="G18" s="278"/>
      <c r="H18" s="278"/>
      <c r="I18" s="278"/>
      <c r="J18" s="278"/>
      <c r="K18" s="278"/>
      <c r="L18" s="278"/>
      <c r="M18" s="279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78"/>
      <c r="D19" s="278"/>
      <c r="E19" s="278"/>
      <c r="F19" s="278"/>
      <c r="G19" s="278"/>
      <c r="H19" s="278"/>
      <c r="I19" s="278"/>
      <c r="J19" s="278"/>
      <c r="K19" s="278"/>
      <c r="L19" s="278"/>
      <c r="M19" s="279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78"/>
      <c r="D20" s="278"/>
      <c r="E20" s="278"/>
      <c r="F20" s="278"/>
      <c r="G20" s="278"/>
      <c r="H20" s="278"/>
      <c r="I20" s="278"/>
      <c r="J20" s="278"/>
      <c r="K20" s="278"/>
      <c r="L20" s="278"/>
      <c r="M20" s="279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9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78"/>
      <c r="D22" s="278"/>
      <c r="E22" s="278"/>
      <c r="F22" s="278"/>
      <c r="G22" s="278"/>
      <c r="H22" s="278"/>
      <c r="I22" s="278"/>
      <c r="J22" s="278"/>
      <c r="K22" s="278"/>
      <c r="L22" s="278"/>
      <c r="M22" s="279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9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9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78"/>
      <c r="D25" s="278"/>
      <c r="E25" s="278"/>
      <c r="F25" s="278"/>
      <c r="G25" s="278"/>
      <c r="H25" s="278"/>
      <c r="I25" s="278"/>
      <c r="J25" s="278"/>
      <c r="K25" s="278"/>
      <c r="L25" s="278"/>
      <c r="M25" s="279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9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9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78"/>
      <c r="D28" s="278"/>
      <c r="E28" s="278"/>
      <c r="F28" s="278"/>
      <c r="G28" s="278"/>
      <c r="H28" s="278"/>
      <c r="I28" s="278"/>
      <c r="J28" s="278"/>
      <c r="K28" s="278"/>
      <c r="L28" s="278"/>
      <c r="M28" s="279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78"/>
      <c r="D29" s="278"/>
      <c r="E29" s="278"/>
      <c r="F29" s="278"/>
      <c r="G29" s="278"/>
      <c r="H29" s="278"/>
      <c r="I29" s="278"/>
      <c r="J29" s="278"/>
      <c r="K29" s="278"/>
      <c r="L29" s="278"/>
      <c r="M29" s="279"/>
      <c r="N29" s="212"/>
      <c r="O29" s="212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 x14ac:dyDescent="0.2">
      <c r="A30" s="219"/>
      <c r="B30" s="220"/>
      <c r="C30" s="278"/>
      <c r="D30" s="278"/>
      <c r="E30" s="278"/>
      <c r="F30" s="278"/>
      <c r="G30" s="278"/>
      <c r="H30" s="278"/>
      <c r="I30" s="278"/>
      <c r="J30" s="278"/>
      <c r="K30" s="278"/>
      <c r="L30" s="278"/>
      <c r="M30" s="279"/>
      <c r="N30" s="212"/>
      <c r="O30" s="212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 x14ac:dyDescent="0.2">
      <c r="A31" s="219"/>
      <c r="B31" s="220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9"/>
      <c r="N31" s="212"/>
      <c r="O31" s="212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 x14ac:dyDescent="0.2">
      <c r="A32" s="219"/>
      <c r="B32" s="220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9"/>
      <c r="N32" s="224"/>
      <c r="O32" s="224"/>
      <c r="P32" s="282"/>
      <c r="Q32" s="282"/>
      <c r="R32" s="282"/>
      <c r="S32" s="282"/>
      <c r="T32" s="282"/>
      <c r="U32" s="282"/>
      <c r="V32" s="282"/>
      <c r="W32" s="282"/>
      <c r="X32" s="282"/>
      <c r="Y32" s="282"/>
      <c r="Z32" s="283"/>
      <c r="AA32" s="219"/>
      <c r="AB32" s="220"/>
      <c r="AC32" s="278"/>
      <c r="AD32" s="278"/>
      <c r="AE32" s="278"/>
      <c r="AF32" s="278"/>
      <c r="AG32" s="278"/>
      <c r="AH32" s="278"/>
      <c r="AI32" s="278"/>
      <c r="AJ32" s="278"/>
      <c r="AK32" s="278"/>
      <c r="AL32" s="278"/>
      <c r="AM32" s="279"/>
      <c r="AN32" s="219"/>
      <c r="AO32" s="220"/>
      <c r="AP32" s="278"/>
      <c r="AQ32" s="278"/>
      <c r="AR32" s="278"/>
      <c r="AS32" s="278"/>
      <c r="AT32" s="278"/>
      <c r="AU32" s="278"/>
      <c r="AV32" s="278"/>
      <c r="AW32" s="278"/>
      <c r="AX32" s="278"/>
      <c r="AY32" s="278"/>
      <c r="AZ32" s="279"/>
      <c r="BA32" s="219"/>
      <c r="BB32" s="220"/>
      <c r="BC32" s="278"/>
      <c r="BD32" s="278"/>
      <c r="BE32" s="278"/>
      <c r="BF32" s="278"/>
      <c r="BG32" s="278"/>
      <c r="BH32" s="278"/>
      <c r="BI32" s="278"/>
      <c r="BJ32" s="278"/>
      <c r="BK32" s="278"/>
      <c r="BL32" s="278"/>
      <c r="BM32" s="279"/>
      <c r="BN32" s="219"/>
      <c r="BO32" s="220"/>
      <c r="BP32" s="278"/>
      <c r="BQ32" s="278"/>
      <c r="BR32" s="278"/>
      <c r="BS32" s="278"/>
      <c r="BT32" s="278"/>
      <c r="BU32" s="278"/>
      <c r="BV32" s="278"/>
      <c r="BW32" s="278"/>
      <c r="BX32" s="278"/>
      <c r="BY32" s="278"/>
      <c r="BZ32" s="279"/>
      <c r="CA32" s="219"/>
      <c r="CB32" s="220"/>
      <c r="CC32" s="278"/>
      <c r="CD32" s="278"/>
      <c r="CE32" s="278"/>
      <c r="CF32" s="278"/>
      <c r="CG32" s="278"/>
      <c r="CH32" s="278"/>
      <c r="CI32" s="278"/>
      <c r="CJ32" s="278"/>
      <c r="CK32" s="278"/>
      <c r="CL32" s="278"/>
      <c r="CM32" s="279"/>
      <c r="CN32" s="219"/>
      <c r="CO32" s="220"/>
      <c r="CP32" s="278"/>
      <c r="CQ32" s="278"/>
      <c r="CR32" s="278"/>
      <c r="CS32" s="278"/>
      <c r="CT32" s="278"/>
      <c r="CU32" s="278"/>
      <c r="CV32" s="278"/>
      <c r="CW32" s="278"/>
      <c r="CX32" s="278"/>
      <c r="CY32" s="278"/>
      <c r="CZ32" s="279"/>
      <c r="DA32" s="219"/>
      <c r="DB32" s="220"/>
      <c r="DC32" s="278"/>
      <c r="DD32" s="278"/>
      <c r="DE32" s="278"/>
      <c r="DF32" s="278"/>
      <c r="DG32" s="278"/>
      <c r="DH32" s="278"/>
      <c r="DI32" s="278"/>
      <c r="DJ32" s="278"/>
      <c r="DK32" s="278"/>
      <c r="DL32" s="278"/>
      <c r="DM32" s="279"/>
      <c r="DN32" s="219"/>
      <c r="DO32" s="220"/>
      <c r="DP32" s="278"/>
      <c r="DQ32" s="278"/>
      <c r="DR32" s="278"/>
      <c r="DS32" s="278"/>
      <c r="DT32" s="278"/>
      <c r="DU32" s="278"/>
      <c r="DV32" s="278"/>
      <c r="DW32" s="278"/>
      <c r="DX32" s="278"/>
      <c r="DY32" s="278"/>
      <c r="DZ32" s="279"/>
      <c r="EA32" s="219"/>
      <c r="EB32" s="220"/>
      <c r="EC32" s="278"/>
      <c r="ED32" s="278"/>
      <c r="EE32" s="278"/>
      <c r="EF32" s="278"/>
      <c r="EG32" s="278"/>
      <c r="EH32" s="278"/>
      <c r="EI32" s="278"/>
      <c r="EJ32" s="278"/>
      <c r="EK32" s="278"/>
      <c r="EL32" s="278"/>
      <c r="EM32" s="279"/>
      <c r="EN32" s="219"/>
      <c r="EO32" s="220"/>
      <c r="EP32" s="278"/>
      <c r="EQ32" s="278"/>
      <c r="ER32" s="278"/>
      <c r="ES32" s="278"/>
      <c r="ET32" s="278"/>
      <c r="EU32" s="278"/>
      <c r="EV32" s="278"/>
      <c r="EW32" s="278"/>
      <c r="EX32" s="278"/>
      <c r="EY32" s="278"/>
      <c r="EZ32" s="279"/>
      <c r="FA32" s="219"/>
      <c r="FB32" s="220"/>
      <c r="FC32" s="278"/>
      <c r="FD32" s="278"/>
      <c r="FE32" s="278"/>
      <c r="FF32" s="278"/>
      <c r="FG32" s="278"/>
      <c r="FH32" s="278"/>
      <c r="FI32" s="278"/>
      <c r="FJ32" s="278"/>
      <c r="FK32" s="278"/>
      <c r="FL32" s="278"/>
      <c r="FM32" s="279"/>
      <c r="FN32" s="219"/>
      <c r="FO32" s="220"/>
      <c r="FP32" s="278"/>
      <c r="FQ32" s="278"/>
      <c r="FR32" s="278"/>
      <c r="FS32" s="278"/>
      <c r="FT32" s="278"/>
      <c r="FU32" s="278"/>
      <c r="FV32" s="278"/>
      <c r="FW32" s="278"/>
      <c r="FX32" s="278"/>
      <c r="FY32" s="278"/>
      <c r="FZ32" s="279"/>
      <c r="GA32" s="219"/>
      <c r="GB32" s="220"/>
      <c r="GC32" s="278"/>
      <c r="GD32" s="278"/>
      <c r="GE32" s="278"/>
      <c r="GF32" s="278"/>
      <c r="GG32" s="278"/>
      <c r="GH32" s="278"/>
      <c r="GI32" s="278"/>
      <c r="GJ32" s="278"/>
      <c r="GK32" s="278"/>
      <c r="GL32" s="278"/>
      <c r="GM32" s="279"/>
      <c r="GN32" s="219"/>
      <c r="GO32" s="220"/>
      <c r="GP32" s="278"/>
      <c r="GQ32" s="278"/>
      <c r="GR32" s="278"/>
      <c r="GS32" s="278"/>
      <c r="GT32" s="278"/>
      <c r="GU32" s="278"/>
      <c r="GV32" s="278"/>
      <c r="GW32" s="278"/>
      <c r="GX32" s="278"/>
      <c r="GY32" s="278"/>
      <c r="GZ32" s="279"/>
      <c r="HA32" s="219"/>
      <c r="HB32" s="220"/>
      <c r="HC32" s="278"/>
      <c r="HD32" s="278"/>
      <c r="HE32" s="278"/>
      <c r="HF32" s="278"/>
      <c r="HG32" s="278"/>
      <c r="HH32" s="278"/>
      <c r="HI32" s="278"/>
      <c r="HJ32" s="278"/>
      <c r="HK32" s="278"/>
      <c r="HL32" s="278"/>
      <c r="HM32" s="279"/>
      <c r="HN32" s="219"/>
      <c r="HO32" s="220"/>
      <c r="HP32" s="278"/>
      <c r="HQ32" s="278"/>
      <c r="HR32" s="278"/>
      <c r="HS32" s="278"/>
      <c r="HT32" s="278"/>
      <c r="HU32" s="278"/>
      <c r="HV32" s="278"/>
      <c r="HW32" s="278"/>
      <c r="HX32" s="278"/>
      <c r="HY32" s="278"/>
      <c r="HZ32" s="279"/>
      <c r="IA32" s="219"/>
      <c r="IB32" s="220"/>
      <c r="IC32" s="278"/>
      <c r="ID32" s="278"/>
      <c r="IE32" s="278"/>
      <c r="IF32" s="278"/>
      <c r="IG32" s="278"/>
      <c r="IH32" s="278"/>
      <c r="II32" s="278"/>
      <c r="IJ32" s="278"/>
      <c r="IK32" s="278"/>
      <c r="IL32" s="278"/>
      <c r="IM32" s="279"/>
      <c r="IN32" s="219"/>
      <c r="IO32" s="220"/>
      <c r="IP32" s="278"/>
      <c r="IQ32" s="278"/>
      <c r="IR32" s="278"/>
      <c r="IS32" s="278"/>
      <c r="IT32" s="278"/>
      <c r="IU32" s="278"/>
      <c r="IV32" s="278"/>
    </row>
    <row r="33" spans="1:256" x14ac:dyDescent="0.2">
      <c r="A33" s="219"/>
      <c r="B33" s="220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9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78"/>
      <c r="D34" s="278"/>
      <c r="E34" s="278"/>
      <c r="F34" s="278"/>
      <c r="G34" s="278"/>
      <c r="H34" s="278"/>
      <c r="I34" s="278"/>
      <c r="J34" s="278"/>
      <c r="K34" s="278"/>
      <c r="L34" s="278"/>
      <c r="M34" s="279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78"/>
      <c r="D35" s="278"/>
      <c r="E35" s="278"/>
      <c r="F35" s="278"/>
      <c r="G35" s="278"/>
      <c r="H35" s="278"/>
      <c r="I35" s="278"/>
      <c r="J35" s="278"/>
      <c r="K35" s="278"/>
      <c r="L35" s="278"/>
      <c r="M35" s="279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78"/>
      <c r="D36" s="278"/>
      <c r="E36" s="278"/>
      <c r="F36" s="278"/>
      <c r="G36" s="278"/>
      <c r="H36" s="278"/>
      <c r="I36" s="278"/>
      <c r="J36" s="278"/>
      <c r="K36" s="278"/>
      <c r="L36" s="278"/>
      <c r="M36" s="279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9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9"/>
      <c r="N38" s="212"/>
      <c r="O38" s="212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 x14ac:dyDescent="0.2">
      <c r="A39" s="219"/>
      <c r="B39" s="220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9"/>
      <c r="N39" s="212"/>
      <c r="O39" s="212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 x14ac:dyDescent="0.2">
      <c r="A40" s="219"/>
      <c r="B40" s="220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9"/>
      <c r="N40" s="212"/>
      <c r="O40" s="212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 x14ac:dyDescent="0.2">
      <c r="A41" s="219"/>
      <c r="B41" s="220"/>
      <c r="C41" s="278"/>
      <c r="D41" s="278"/>
      <c r="E41" s="278"/>
      <c r="F41" s="278"/>
      <c r="G41" s="278"/>
      <c r="H41" s="278"/>
      <c r="I41" s="278"/>
      <c r="J41" s="278"/>
      <c r="K41" s="278"/>
      <c r="L41" s="278"/>
      <c r="M41" s="279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9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9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9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9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9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9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9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9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9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9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9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9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9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9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9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9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9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9"/>
    </row>
    <row r="60" spans="1:256" x14ac:dyDescent="0.2">
      <c r="A60" s="219"/>
      <c r="B60" s="220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9"/>
    </row>
    <row r="61" spans="1:256" x14ac:dyDescent="0.2">
      <c r="A61" s="219"/>
      <c r="B61" s="220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9"/>
    </row>
    <row r="62" spans="1:256" x14ac:dyDescent="0.2">
      <c r="A62" s="219"/>
      <c r="B62" s="220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9"/>
    </row>
    <row r="63" spans="1:256" x14ac:dyDescent="0.2">
      <c r="A63" s="219"/>
      <c r="B63" s="220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9"/>
    </row>
    <row r="64" spans="1:256" x14ac:dyDescent="0.2">
      <c r="A64" s="219"/>
      <c r="B64" s="220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9"/>
    </row>
    <row r="65" spans="1:13" x14ac:dyDescent="0.2">
      <c r="A65" s="219"/>
      <c r="B65" s="220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9"/>
    </row>
    <row r="66" spans="1:13" x14ac:dyDescent="0.2">
      <c r="A66" s="219"/>
      <c r="B66" s="220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9"/>
    </row>
    <row r="67" spans="1:13" x14ac:dyDescent="0.2">
      <c r="A67" s="219"/>
      <c r="B67" s="220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9"/>
    </row>
    <row r="68" spans="1:13" x14ac:dyDescent="0.2">
      <c r="A68" s="219"/>
      <c r="B68" s="220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9"/>
    </row>
    <row r="69" spans="1:13" x14ac:dyDescent="0.2">
      <c r="A69" s="219"/>
      <c r="B69" s="220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9"/>
    </row>
    <row r="70" spans="1:13" ht="12" thickBot="1" x14ac:dyDescent="0.25">
      <c r="A70" s="221"/>
      <c r="B70" s="222"/>
      <c r="C70" s="292"/>
      <c r="D70" s="292"/>
      <c r="E70" s="292"/>
      <c r="F70" s="292"/>
      <c r="G70" s="292"/>
      <c r="H70" s="292"/>
      <c r="I70" s="292"/>
      <c r="J70" s="292"/>
      <c r="K70" s="292"/>
      <c r="L70" s="292"/>
      <c r="M70" s="293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4" t="s">
        <v>879</v>
      </c>
      <c r="B72" s="294"/>
      <c r="C72" s="294"/>
      <c r="D72" s="294"/>
      <c r="E72" s="294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2"/>
      <c r="B74" s="212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2"/>
      <c r="B75" s="212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2"/>
      <c r="B76" s="212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2"/>
      <c r="B77" s="212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2"/>
      <c r="B78" s="212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2"/>
      <c r="B79" s="212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2"/>
      <c r="B80" s="212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2"/>
      <c r="B81" s="212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2"/>
      <c r="B82" s="212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2"/>
      <c r="B83" s="212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2"/>
      <c r="B84" s="212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2"/>
      <c r="B85" s="212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2"/>
      <c r="B86" s="212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2"/>
      <c r="B87" s="212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2"/>
      <c r="B88" s="212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2"/>
      <c r="B89" s="212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2"/>
      <c r="B90" s="212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2011-10-26T17:46:40Z</cp:lastPrinted>
  <dcterms:created xsi:type="dcterms:W3CDTF">1997-12-04T19:04:30Z</dcterms:created>
  <dcterms:modified xsi:type="dcterms:W3CDTF">2025-01-10T20:13:39Z</dcterms:modified>
</cp:coreProperties>
</file>