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21BD7BB2-3A08-44F5-BC37-D621C3F05355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F5384DFE-4FC0-4D2E-9EAF-D9038738FD7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8" i="1" l="1"/>
  <c r="D11" i="13"/>
  <c r="C11" i="13" s="1"/>
  <c r="C21" i="12"/>
  <c r="C20" i="12"/>
  <c r="C19" i="12"/>
  <c r="C12" i="12"/>
  <c r="C11" i="12"/>
  <c r="C10" i="12"/>
  <c r="G455" i="1"/>
  <c r="J462" i="1"/>
  <c r="J464" i="1" s="1"/>
  <c r="J458" i="1"/>
  <c r="H621" i="1" s="1"/>
  <c r="G431" i="1"/>
  <c r="G438" i="1" s="1"/>
  <c r="G630" i="1" s="1"/>
  <c r="J630" i="1" s="1"/>
  <c r="F431" i="1"/>
  <c r="H392" i="1"/>
  <c r="H388" i="1"/>
  <c r="H383" i="1"/>
  <c r="H379" i="1"/>
  <c r="L379" i="1" s="1"/>
  <c r="L385" i="1" s="1"/>
  <c r="F113" i="1"/>
  <c r="F132" i="1" s="1"/>
  <c r="C38" i="10" s="1"/>
  <c r="F128" i="1"/>
  <c r="G113" i="1"/>
  <c r="G128" i="1"/>
  <c r="G132" i="1" s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E16" i="13" s="1"/>
  <c r="C16" i="13" s="1"/>
  <c r="L237" i="1"/>
  <c r="F5" i="13"/>
  <c r="D5" i="13" s="1"/>
  <c r="G5" i="13"/>
  <c r="L189" i="1"/>
  <c r="L190" i="1"/>
  <c r="L191" i="1"/>
  <c r="C103" i="2" s="1"/>
  <c r="L192" i="1"/>
  <c r="C13" i="10" s="1"/>
  <c r="L207" i="1"/>
  <c r="C10" i="10" s="1"/>
  <c r="L208" i="1"/>
  <c r="L209" i="1"/>
  <c r="L210" i="1"/>
  <c r="L225" i="1"/>
  <c r="C101" i="2" s="1"/>
  <c r="L226" i="1"/>
  <c r="C11" i="10" s="1"/>
  <c r="L227" i="1"/>
  <c r="L228" i="1"/>
  <c r="F6" i="13"/>
  <c r="G6" i="13"/>
  <c r="L194" i="1"/>
  <c r="C110" i="2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L215" i="1"/>
  <c r="L233" i="1"/>
  <c r="C18" i="10" s="1"/>
  <c r="F14" i="13"/>
  <c r="G14" i="13"/>
  <c r="L199" i="1"/>
  <c r="L217" i="1"/>
  <c r="D14" i="13" s="1"/>
  <c r="C14" i="13" s="1"/>
  <c r="L235" i="1"/>
  <c r="F15" i="13"/>
  <c r="G15" i="13"/>
  <c r="L200" i="1"/>
  <c r="D15" i="13" s="1"/>
  <c r="C15" i="13" s="1"/>
  <c r="L218" i="1"/>
  <c r="L236" i="1"/>
  <c r="H652" i="1" s="1"/>
  <c r="F17" i="13"/>
  <c r="G17" i="13"/>
  <c r="L243" i="1"/>
  <c r="C24" i="10" s="1"/>
  <c r="F18" i="13"/>
  <c r="G18" i="13"/>
  <c r="L244" i="1"/>
  <c r="D18" i="13" s="1"/>
  <c r="C18" i="13" s="1"/>
  <c r="F19" i="13"/>
  <c r="G19" i="13"/>
  <c r="L245" i="1"/>
  <c r="D19" i="13"/>
  <c r="F29" i="13"/>
  <c r="G29" i="13"/>
  <c r="L350" i="1"/>
  <c r="L351" i="1"/>
  <c r="L352" i="1"/>
  <c r="I359" i="1"/>
  <c r="D29" i="13" s="1"/>
  <c r="C29" i="13" s="1"/>
  <c r="J282" i="1"/>
  <c r="J330" i="1" s="1"/>
  <c r="J344" i="1" s="1"/>
  <c r="J301" i="1"/>
  <c r="F31" i="13" s="1"/>
  <c r="J320" i="1"/>
  <c r="K282" i="1"/>
  <c r="K301" i="1"/>
  <c r="K320" i="1"/>
  <c r="L268" i="1"/>
  <c r="L269" i="1"/>
  <c r="L282" i="1" s="1"/>
  <c r="L270" i="1"/>
  <c r="L271" i="1"/>
  <c r="L273" i="1"/>
  <c r="L274" i="1"/>
  <c r="L275" i="1"/>
  <c r="L276" i="1"/>
  <c r="E113" i="2" s="1"/>
  <c r="L277" i="1"/>
  <c r="L278" i="1"/>
  <c r="L279" i="1"/>
  <c r="L280" i="1"/>
  <c r="E117" i="2" s="1"/>
  <c r="L287" i="1"/>
  <c r="L301" i="1" s="1"/>
  <c r="L288" i="1"/>
  <c r="L289" i="1"/>
  <c r="L290" i="1"/>
  <c r="L292" i="1"/>
  <c r="E110" i="2" s="1"/>
  <c r="E120" i="2" s="1"/>
  <c r="L293" i="1"/>
  <c r="E111" i="2"/>
  <c r="L294" i="1"/>
  <c r="L295" i="1"/>
  <c r="L296" i="1"/>
  <c r="E114" i="2" s="1"/>
  <c r="L297" i="1"/>
  <c r="E115" i="2"/>
  <c r="L298" i="1"/>
  <c r="L299" i="1"/>
  <c r="L306" i="1"/>
  <c r="E101" i="2" s="1"/>
  <c r="L307" i="1"/>
  <c r="E102" i="2" s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L252" i="1"/>
  <c r="C123" i="2" s="1"/>
  <c r="L253" i="1"/>
  <c r="C124" i="2" s="1"/>
  <c r="L333" i="1"/>
  <c r="E123" i="2"/>
  <c r="E124" i="2"/>
  <c r="E126" i="2"/>
  <c r="E127" i="2"/>
  <c r="E134" i="2"/>
  <c r="L334" i="1"/>
  <c r="L343" i="1" s="1"/>
  <c r="H25" i="13"/>
  <c r="H33" i="13" s="1"/>
  <c r="L247" i="1"/>
  <c r="L328" i="1"/>
  <c r="E122" i="2" s="1"/>
  <c r="F22" i="13"/>
  <c r="C22" i="13" s="1"/>
  <c r="C19" i="13"/>
  <c r="C10" i="13"/>
  <c r="C9" i="13"/>
  <c r="L353" i="1"/>
  <c r="L354" i="1"/>
  <c r="G625" i="1"/>
  <c r="J625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6" i="1"/>
  <c r="L397" i="1"/>
  <c r="L398" i="1"/>
  <c r="L399" i="1" s="1"/>
  <c r="C132" i="2" s="1"/>
  <c r="L258" i="1"/>
  <c r="J52" i="1"/>
  <c r="G48" i="2" s="1"/>
  <c r="G55" i="2" s="1"/>
  <c r="G96" i="2" s="1"/>
  <c r="G51" i="2"/>
  <c r="G53" i="2"/>
  <c r="G54" i="2"/>
  <c r="F2" i="11"/>
  <c r="L603" i="1"/>
  <c r="H653" i="1" s="1"/>
  <c r="L602" i="1"/>
  <c r="G653" i="1"/>
  <c r="L601" i="1"/>
  <c r="F653" i="1"/>
  <c r="C40" i="10"/>
  <c r="F52" i="1"/>
  <c r="G52" i="1"/>
  <c r="H52" i="1"/>
  <c r="E48" i="2" s="1"/>
  <c r="I52" i="1"/>
  <c r="F71" i="1"/>
  <c r="F104" i="1" s="1"/>
  <c r="F86" i="1"/>
  <c r="F103" i="1"/>
  <c r="G103" i="1"/>
  <c r="H71" i="1"/>
  <c r="E49" i="2" s="1"/>
  <c r="E54" i="2" s="1"/>
  <c r="H86" i="1"/>
  <c r="E50" i="2" s="1"/>
  <c r="H103" i="1"/>
  <c r="H104" i="1" s="1"/>
  <c r="I103" i="1"/>
  <c r="J103" i="1"/>
  <c r="H113" i="1"/>
  <c r="H128" i="1"/>
  <c r="H132" i="1"/>
  <c r="I113" i="1"/>
  <c r="I128" i="1"/>
  <c r="I132" i="1" s="1"/>
  <c r="J113" i="1"/>
  <c r="J128" i="1"/>
  <c r="J132" i="1"/>
  <c r="F139" i="1"/>
  <c r="F161" i="1" s="1"/>
  <c r="F154" i="1"/>
  <c r="G139" i="1"/>
  <c r="D77" i="2" s="1"/>
  <c r="D83" i="2" s="1"/>
  <c r="G154" i="1"/>
  <c r="G161" i="1"/>
  <c r="H139" i="1"/>
  <c r="E77" i="2"/>
  <c r="E79" i="2"/>
  <c r="E80" i="2"/>
  <c r="E81" i="2"/>
  <c r="E83" i="2"/>
  <c r="H154" i="1"/>
  <c r="H161" i="1" s="1"/>
  <c r="I139" i="1"/>
  <c r="I154" i="1"/>
  <c r="I161" i="1"/>
  <c r="C20" i="10"/>
  <c r="L242" i="1"/>
  <c r="C23" i="10" s="1"/>
  <c r="C105" i="2"/>
  <c r="L324" i="1"/>
  <c r="L246" i="1"/>
  <c r="C25" i="10"/>
  <c r="L260" i="1"/>
  <c r="C134" i="2"/>
  <c r="L261" i="1"/>
  <c r="L341" i="1"/>
  <c r="L342" i="1"/>
  <c r="E135" i="2" s="1"/>
  <c r="C26" i="10"/>
  <c r="I655" i="1"/>
  <c r="I660" i="1"/>
  <c r="F651" i="1"/>
  <c r="I659" i="1"/>
  <c r="C5" i="10"/>
  <c r="C42" i="10"/>
  <c r="L366" i="1"/>
  <c r="L367" i="1"/>
  <c r="L368" i="1"/>
  <c r="L369" i="1"/>
  <c r="F122" i="2" s="1"/>
  <c r="F136" i="2" s="1"/>
  <c r="F137" i="2" s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F542" i="1" s="1"/>
  <c r="L512" i="1"/>
  <c r="F540" i="1"/>
  <c r="L513" i="1"/>
  <c r="F541" i="1" s="1"/>
  <c r="L516" i="1"/>
  <c r="G539" i="1"/>
  <c r="G542" i="1" s="1"/>
  <c r="L517" i="1"/>
  <c r="L519" i="1" s="1"/>
  <c r="G540" i="1"/>
  <c r="L518" i="1"/>
  <c r="G541" i="1"/>
  <c r="L521" i="1"/>
  <c r="H539" i="1"/>
  <c r="L522" i="1"/>
  <c r="H540" i="1" s="1"/>
  <c r="L523" i="1"/>
  <c r="H541" i="1" s="1"/>
  <c r="L526" i="1"/>
  <c r="I539" i="1" s="1"/>
  <c r="L527" i="1"/>
  <c r="I540" i="1" s="1"/>
  <c r="L528" i="1"/>
  <c r="I541" i="1" s="1"/>
  <c r="L531" i="1"/>
  <c r="J539" i="1" s="1"/>
  <c r="J542" i="1" s="1"/>
  <c r="L532" i="1"/>
  <c r="J540" i="1" s="1"/>
  <c r="L533" i="1"/>
  <c r="J541" i="1"/>
  <c r="K262" i="1"/>
  <c r="J262" i="1"/>
  <c r="I262" i="1"/>
  <c r="H262" i="1"/>
  <c r="G262" i="1"/>
  <c r="F262" i="1"/>
  <c r="L262" i="1"/>
  <c r="A1" i="2"/>
  <c r="A2" i="2"/>
  <c r="C9" i="2"/>
  <c r="D9" i="2"/>
  <c r="E9" i="2"/>
  <c r="E19" i="2" s="1"/>
  <c r="F9" i="2"/>
  <c r="C10" i="2"/>
  <c r="D10" i="2"/>
  <c r="E10" i="2"/>
  <c r="E12" i="2"/>
  <c r="E13" i="2"/>
  <c r="E14" i="2"/>
  <c r="E16" i="2"/>
  <c r="E17" i="2"/>
  <c r="E18" i="2"/>
  <c r="F10" i="2"/>
  <c r="I432" i="1"/>
  <c r="J10" i="1" s="1"/>
  <c r="G10" i="2" s="1"/>
  <c r="C11" i="2"/>
  <c r="C12" i="2"/>
  <c r="C19" i="2" s="1"/>
  <c r="D12" i="2"/>
  <c r="F12" i="2"/>
  <c r="I433" i="1"/>
  <c r="J12" i="1"/>
  <c r="G12" i="2" s="1"/>
  <c r="C13" i="2"/>
  <c r="D13" i="2"/>
  <c r="F13" i="2"/>
  <c r="I434" i="1"/>
  <c r="J13" i="1"/>
  <c r="G13" i="2" s="1"/>
  <c r="C14" i="2"/>
  <c r="D14" i="2"/>
  <c r="F14" i="2"/>
  <c r="I435" i="1"/>
  <c r="J14" i="1"/>
  <c r="G14" i="2" s="1"/>
  <c r="F15" i="2"/>
  <c r="C16" i="2"/>
  <c r="D16" i="2"/>
  <c r="F16" i="2"/>
  <c r="C17" i="2"/>
  <c r="D17" i="2"/>
  <c r="F17" i="2"/>
  <c r="F19" i="2" s="1"/>
  <c r="I436" i="1"/>
  <c r="J17" i="1" s="1"/>
  <c r="G17" i="2" s="1"/>
  <c r="C18" i="2"/>
  <c r="D18" i="2"/>
  <c r="F18" i="2"/>
  <c r="I437" i="1"/>
  <c r="J18" i="1"/>
  <c r="G18" i="2" s="1"/>
  <c r="C22" i="2"/>
  <c r="C32" i="2" s="1"/>
  <c r="D22" i="2"/>
  <c r="D32" i="2" s="1"/>
  <c r="D23" i="2"/>
  <c r="D24" i="2"/>
  <c r="D25" i="2"/>
  <c r="D28" i="2"/>
  <c r="D29" i="2"/>
  <c r="D30" i="2"/>
  <c r="D31" i="2"/>
  <c r="E22" i="2"/>
  <c r="F22" i="2"/>
  <c r="F32" i="2" s="1"/>
  <c r="I440" i="1"/>
  <c r="I444" i="1" s="1"/>
  <c r="I451" i="1" s="1"/>
  <c r="H632" i="1" s="1"/>
  <c r="J23" i="1"/>
  <c r="G22" i="2" s="1"/>
  <c r="C23" i="2"/>
  <c r="E23" i="2"/>
  <c r="F23" i="2"/>
  <c r="I441" i="1"/>
  <c r="J24" i="1" s="1"/>
  <c r="G23" i="2" s="1"/>
  <c r="C24" i="2"/>
  <c r="E24" i="2"/>
  <c r="E32" i="2" s="1"/>
  <c r="F24" i="2"/>
  <c r="I442" i="1"/>
  <c r="J25" i="1" s="1"/>
  <c r="G24" i="2" s="1"/>
  <c r="C25" i="2"/>
  <c r="E25" i="2"/>
  <c r="F25" i="2"/>
  <c r="C26" i="2"/>
  <c r="F26" i="2"/>
  <c r="C27" i="2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I443" i="1"/>
  <c r="J32" i="1" s="1"/>
  <c r="G31" i="2" s="1"/>
  <c r="C34" i="2"/>
  <c r="D34" i="2"/>
  <c r="D42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2" i="2"/>
  <c r="C43" i="2" s="1"/>
  <c r="C48" i="2"/>
  <c r="C49" i="2"/>
  <c r="C54" i="2" s="1"/>
  <c r="C55" i="2" s="1"/>
  <c r="C50" i="2"/>
  <c r="C51" i="2"/>
  <c r="C53" i="2"/>
  <c r="D51" i="2"/>
  <c r="D54" i="2" s="1"/>
  <c r="D55" i="2" s="1"/>
  <c r="E51" i="2"/>
  <c r="F51" i="2"/>
  <c r="F54" i="2" s="1"/>
  <c r="D52" i="2"/>
  <c r="D53" i="2"/>
  <c r="E53" i="2"/>
  <c r="F53" i="2"/>
  <c r="C58" i="2"/>
  <c r="C59" i="2"/>
  <c r="C61" i="2"/>
  <c r="D61" i="2"/>
  <c r="D62" i="2" s="1"/>
  <c r="E61" i="2"/>
  <c r="E62" i="2" s="1"/>
  <c r="F61" i="2"/>
  <c r="F62" i="2" s="1"/>
  <c r="G61" i="2"/>
  <c r="C62" i="2"/>
  <c r="G62" i="2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F68" i="2"/>
  <c r="C69" i="2"/>
  <c r="D69" i="2"/>
  <c r="E69" i="2"/>
  <c r="E70" i="2" s="1"/>
  <c r="F69" i="2"/>
  <c r="G69" i="2"/>
  <c r="G70" i="2" s="1"/>
  <c r="G73" i="2" s="1"/>
  <c r="D70" i="2"/>
  <c r="D73" i="2" s="1"/>
  <c r="D71" i="2"/>
  <c r="C71" i="2"/>
  <c r="E71" i="2"/>
  <c r="C72" i="2"/>
  <c r="E72" i="2"/>
  <c r="F77" i="2"/>
  <c r="C79" i="2"/>
  <c r="F79" i="2"/>
  <c r="C80" i="2"/>
  <c r="D80" i="2"/>
  <c r="F80" i="2"/>
  <c r="C81" i="2"/>
  <c r="D81" i="2"/>
  <c r="F81" i="2"/>
  <c r="C82" i="2"/>
  <c r="C85" i="2"/>
  <c r="F85" i="2"/>
  <c r="F95" i="2" s="1"/>
  <c r="C86" i="2"/>
  <c r="F86" i="2"/>
  <c r="D88" i="2"/>
  <c r="D95" i="2" s="1"/>
  <c r="E88" i="2"/>
  <c r="F88" i="2"/>
  <c r="G88" i="2"/>
  <c r="G95" i="2" s="1"/>
  <c r="C89" i="2"/>
  <c r="D89" i="2"/>
  <c r="E89" i="2"/>
  <c r="E90" i="2"/>
  <c r="E91" i="2"/>
  <c r="E92" i="2"/>
  <c r="E95" i="2" s="1"/>
  <c r="E93" i="2"/>
  <c r="E94" i="2"/>
  <c r="F89" i="2"/>
  <c r="G89" i="2"/>
  <c r="C90" i="2"/>
  <c r="D90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E103" i="2"/>
  <c r="C104" i="2"/>
  <c r="E104" i="2"/>
  <c r="E105" i="2"/>
  <c r="D107" i="2"/>
  <c r="D137" i="2" s="1"/>
  <c r="F107" i="2"/>
  <c r="G107" i="2"/>
  <c r="C114" i="2"/>
  <c r="C115" i="2"/>
  <c r="C117" i="2"/>
  <c r="F120" i="2"/>
  <c r="G120" i="2"/>
  <c r="C122" i="2"/>
  <c r="F126" i="2"/>
  <c r="D126" i="2"/>
  <c r="K411" i="1"/>
  <c r="K419" i="1"/>
  <c r="K425" i="1"/>
  <c r="K426" i="1" s="1"/>
  <c r="G126" i="2" s="1"/>
  <c r="G136" i="2" s="1"/>
  <c r="G137" i="2" s="1"/>
  <c r="L255" i="1"/>
  <c r="C127" i="2"/>
  <c r="L256" i="1"/>
  <c r="C128" i="2" s="1"/>
  <c r="L257" i="1"/>
  <c r="C129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C153" i="2"/>
  <c r="D153" i="2"/>
  <c r="F153" i="2"/>
  <c r="G490" i="1"/>
  <c r="K490" i="1" s="1"/>
  <c r="H490" i="1"/>
  <c r="I490" i="1"/>
  <c r="E153" i="2" s="1"/>
  <c r="J490" i="1"/>
  <c r="B154" i="2"/>
  <c r="C154" i="2"/>
  <c r="D154" i="2"/>
  <c r="G154" i="2" s="1"/>
  <c r="E154" i="2"/>
  <c r="F154" i="2"/>
  <c r="B155" i="2"/>
  <c r="G155" i="2" s="1"/>
  <c r="C155" i="2"/>
  <c r="D155" i="2"/>
  <c r="E155" i="2"/>
  <c r="F155" i="2"/>
  <c r="F493" i="1"/>
  <c r="B156" i="2" s="1"/>
  <c r="G493" i="1"/>
  <c r="K493" i="1" s="1"/>
  <c r="H493" i="1"/>
  <c r="D156" i="2" s="1"/>
  <c r="I493" i="1"/>
  <c r="E156" i="2" s="1"/>
  <c r="J493" i="1"/>
  <c r="F156" i="2" s="1"/>
  <c r="F19" i="1"/>
  <c r="G607" i="1" s="1"/>
  <c r="G19" i="1"/>
  <c r="H19" i="1"/>
  <c r="G609" i="1"/>
  <c r="J609" i="1" s="1"/>
  <c r="I19" i="1"/>
  <c r="G610" i="1" s="1"/>
  <c r="F33" i="1"/>
  <c r="F44" i="1" s="1"/>
  <c r="H607" i="1" s="1"/>
  <c r="G33" i="1"/>
  <c r="H33" i="1"/>
  <c r="I33" i="1"/>
  <c r="F43" i="1"/>
  <c r="G43" i="1"/>
  <c r="H43" i="1"/>
  <c r="H44" i="1" s="1"/>
  <c r="H609" i="1" s="1"/>
  <c r="I43" i="1"/>
  <c r="G615" i="1" s="1"/>
  <c r="G44" i="1"/>
  <c r="H608" i="1" s="1"/>
  <c r="F169" i="1"/>
  <c r="I169" i="1"/>
  <c r="F175" i="1"/>
  <c r="F184" i="1" s="1"/>
  <c r="G175" i="1"/>
  <c r="G184" i="1" s="1"/>
  <c r="H175" i="1"/>
  <c r="I175" i="1"/>
  <c r="J175" i="1"/>
  <c r="J184" i="1" s="1"/>
  <c r="F180" i="1"/>
  <c r="G180" i="1"/>
  <c r="H180" i="1"/>
  <c r="H184" i="1" s="1"/>
  <c r="I180" i="1"/>
  <c r="I184" i="1"/>
  <c r="F203" i="1"/>
  <c r="G203" i="1"/>
  <c r="H203" i="1"/>
  <c r="I203" i="1"/>
  <c r="J203" i="1"/>
  <c r="K203" i="1"/>
  <c r="K249" i="1" s="1"/>
  <c r="K263" i="1" s="1"/>
  <c r="F221" i="1"/>
  <c r="F249" i="1" s="1"/>
  <c r="F263" i="1" s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J249" i="1" s="1"/>
  <c r="K239" i="1"/>
  <c r="F248" i="1"/>
  <c r="G248" i="1"/>
  <c r="H248" i="1"/>
  <c r="I248" i="1"/>
  <c r="J248" i="1"/>
  <c r="K248" i="1"/>
  <c r="H249" i="1"/>
  <c r="H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I385" i="1"/>
  <c r="F393" i="1"/>
  <c r="F400" i="1" s="1"/>
  <c r="H633" i="1" s="1"/>
  <c r="J633" i="1" s="1"/>
  <c r="G393" i="1"/>
  <c r="G400" i="1" s="1"/>
  <c r="H635" i="1" s="1"/>
  <c r="H393" i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/>
  <c r="L413" i="1"/>
  <c r="L414" i="1"/>
  <c r="L415" i="1"/>
  <c r="L416" i="1"/>
  <c r="L417" i="1"/>
  <c r="L418" i="1"/>
  <c r="F419" i="1"/>
  <c r="G419" i="1"/>
  <c r="G426" i="1" s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F438" i="1"/>
  <c r="G629" i="1"/>
  <c r="H438" i="1"/>
  <c r="G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G460" i="1"/>
  <c r="G466" i="1" s="1"/>
  <c r="H613" i="1" s="1"/>
  <c r="J613" i="1" s="1"/>
  <c r="H460" i="1"/>
  <c r="H466" i="1"/>
  <c r="H614" i="1" s="1"/>
  <c r="I460" i="1"/>
  <c r="J460" i="1"/>
  <c r="J466" i="1" s="1"/>
  <c r="H616" i="1" s="1"/>
  <c r="F464" i="1"/>
  <c r="F466" i="1" s="1"/>
  <c r="H612" i="1" s="1"/>
  <c r="J612" i="1" s="1"/>
  <c r="G464" i="1"/>
  <c r="H464" i="1"/>
  <c r="I464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K514" i="1"/>
  <c r="K535" i="1" s="1"/>
  <c r="L514" i="1"/>
  <c r="F519" i="1"/>
  <c r="G519" i="1"/>
  <c r="H519" i="1"/>
  <c r="I519" i="1"/>
  <c r="J519" i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L547" i="1"/>
  <c r="L548" i="1"/>
  <c r="L549" i="1"/>
  <c r="F550" i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I561" i="1" s="1"/>
  <c r="J555" i="1"/>
  <c r="K555" i="1"/>
  <c r="K561" i="1" s="1"/>
  <c r="L557" i="1"/>
  <c r="L558" i="1"/>
  <c r="L559" i="1"/>
  <c r="F560" i="1"/>
  <c r="F561" i="1" s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G612" i="1"/>
  <c r="G613" i="1"/>
  <c r="G614" i="1"/>
  <c r="J614" i="1" s="1"/>
  <c r="H617" i="1"/>
  <c r="H618" i="1"/>
  <c r="H619" i="1"/>
  <c r="H620" i="1"/>
  <c r="H622" i="1"/>
  <c r="H623" i="1"/>
  <c r="G624" i="1"/>
  <c r="H625" i="1"/>
  <c r="H626" i="1"/>
  <c r="H627" i="1"/>
  <c r="G633" i="1"/>
  <c r="G634" i="1"/>
  <c r="H639" i="1"/>
  <c r="G640" i="1"/>
  <c r="J640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31" i="13"/>
  <c r="K330" i="1"/>
  <c r="K344" i="1"/>
  <c r="G651" i="1"/>
  <c r="C21" i="10"/>
  <c r="G652" i="1"/>
  <c r="C12" i="10"/>
  <c r="L560" i="1"/>
  <c r="L550" i="1"/>
  <c r="L561" i="1" s="1"/>
  <c r="J535" i="1"/>
  <c r="G149" i="2"/>
  <c r="L419" i="1"/>
  <c r="L248" i="1"/>
  <c r="I249" i="1"/>
  <c r="I263" i="1"/>
  <c r="F42" i="2"/>
  <c r="F43" i="2" s="1"/>
  <c r="C32" i="10"/>
  <c r="G33" i="13"/>
  <c r="I450" i="1"/>
  <c r="I104" i="1"/>
  <c r="I185" i="1" s="1"/>
  <c r="G620" i="1" s="1"/>
  <c r="J620" i="1" s="1"/>
  <c r="F48" i="2"/>
  <c r="F55" i="2" s="1"/>
  <c r="C35" i="10"/>
  <c r="G104" i="1"/>
  <c r="G185" i="1" s="1"/>
  <c r="G618" i="1" s="1"/>
  <c r="J618" i="1" s="1"/>
  <c r="D48" i="2"/>
  <c r="E112" i="2"/>
  <c r="D119" i="2"/>
  <c r="D120" i="2"/>
  <c r="E106" i="2"/>
  <c r="C95" i="2"/>
  <c r="F83" i="2"/>
  <c r="D19" i="2"/>
  <c r="H651" i="1"/>
  <c r="I651" i="1"/>
  <c r="C27" i="10"/>
  <c r="A22" i="12"/>
  <c r="C25" i="13"/>
  <c r="C29" i="10"/>
  <c r="E116" i="2"/>
  <c r="L426" i="1" l="1"/>
  <c r="G628" i="1" s="1"/>
  <c r="J628" i="1" s="1"/>
  <c r="D96" i="2"/>
  <c r="H542" i="1"/>
  <c r="E136" i="2"/>
  <c r="J631" i="1"/>
  <c r="J615" i="1"/>
  <c r="J607" i="1"/>
  <c r="E43" i="2"/>
  <c r="J629" i="1"/>
  <c r="D43" i="2"/>
  <c r="F185" i="1"/>
  <c r="G617" i="1" s="1"/>
  <c r="J617" i="1" s="1"/>
  <c r="E107" i="2"/>
  <c r="E137" i="2" s="1"/>
  <c r="J634" i="1"/>
  <c r="J43" i="1"/>
  <c r="G36" i="2"/>
  <c r="G42" i="2" s="1"/>
  <c r="D31" i="13"/>
  <c r="C31" i="13" s="1"/>
  <c r="L330" i="1"/>
  <c r="L344" i="1" s="1"/>
  <c r="G623" i="1" s="1"/>
  <c r="J623" i="1" s="1"/>
  <c r="E55" i="2"/>
  <c r="E96" i="2" s="1"/>
  <c r="F96" i="2"/>
  <c r="C5" i="13"/>
  <c r="L400" i="1"/>
  <c r="C130" i="2"/>
  <c r="C136" i="2" s="1"/>
  <c r="J608" i="1"/>
  <c r="C133" i="2"/>
  <c r="J638" i="1"/>
  <c r="J263" i="1"/>
  <c r="H638" i="1"/>
  <c r="K541" i="1"/>
  <c r="C8" i="13"/>
  <c r="E33" i="13"/>
  <c r="D35" i="13" s="1"/>
  <c r="E73" i="2"/>
  <c r="G32" i="2"/>
  <c r="I542" i="1"/>
  <c r="K540" i="1"/>
  <c r="H185" i="1"/>
  <c r="G619" i="1" s="1"/>
  <c r="J619" i="1" s="1"/>
  <c r="I653" i="1"/>
  <c r="C39" i="10"/>
  <c r="G641" i="1"/>
  <c r="J641" i="1" s="1"/>
  <c r="L534" i="1"/>
  <c r="C156" i="2"/>
  <c r="G156" i="2" s="1"/>
  <c r="D12" i="13"/>
  <c r="C12" i="13" s="1"/>
  <c r="C17" i="10"/>
  <c r="L221" i="1"/>
  <c r="G650" i="1" s="1"/>
  <c r="G654" i="1" s="1"/>
  <c r="L524" i="1"/>
  <c r="L535" i="1" s="1"/>
  <c r="H385" i="1"/>
  <c r="H400" i="1" s="1"/>
  <c r="H634" i="1" s="1"/>
  <c r="I361" i="1"/>
  <c r="H624" i="1" s="1"/>
  <c r="J624" i="1" s="1"/>
  <c r="C113" i="2"/>
  <c r="C102" i="2"/>
  <c r="C107" i="2" s="1"/>
  <c r="C137" i="2" s="1"/>
  <c r="C16" i="10"/>
  <c r="C112" i="2"/>
  <c r="C120" i="2" s="1"/>
  <c r="C77" i="2"/>
  <c r="C83" i="2" s="1"/>
  <c r="C96" i="2" s="1"/>
  <c r="I431" i="1"/>
  <c r="D6" i="13"/>
  <c r="C6" i="13" s="1"/>
  <c r="C19" i="10"/>
  <c r="L239" i="1"/>
  <c r="H650" i="1" s="1"/>
  <c r="H654" i="1" s="1"/>
  <c r="G639" i="1"/>
  <c r="J639" i="1" s="1"/>
  <c r="C111" i="2"/>
  <c r="J33" i="1"/>
  <c r="H628" i="1"/>
  <c r="L374" i="1"/>
  <c r="G626" i="1" s="1"/>
  <c r="J626" i="1" s="1"/>
  <c r="D17" i="13"/>
  <c r="C17" i="13" s="1"/>
  <c r="F33" i="13"/>
  <c r="C15" i="10"/>
  <c r="K539" i="1"/>
  <c r="H637" i="1"/>
  <c r="J637" i="1" s="1"/>
  <c r="I44" i="1"/>
  <c r="H610" i="1" s="1"/>
  <c r="J610" i="1" s="1"/>
  <c r="G635" i="1"/>
  <c r="J635" i="1" s="1"/>
  <c r="L203" i="1"/>
  <c r="C106" i="2"/>
  <c r="J104" i="1"/>
  <c r="J185" i="1" s="1"/>
  <c r="C116" i="2"/>
  <c r="F652" i="1"/>
  <c r="I652" i="1" s="1"/>
  <c r="H636" i="1" l="1"/>
  <c r="G627" i="1"/>
  <c r="J627" i="1" s="1"/>
  <c r="G621" i="1"/>
  <c r="J621" i="1" s="1"/>
  <c r="G636" i="1"/>
  <c r="J44" i="1"/>
  <c r="H611" i="1" s="1"/>
  <c r="G616" i="1"/>
  <c r="J616" i="1" s="1"/>
  <c r="D19" i="10"/>
  <c r="D17" i="10"/>
  <c r="D33" i="13"/>
  <c r="D36" i="13" s="1"/>
  <c r="G43" i="2"/>
  <c r="F650" i="1"/>
  <c r="L249" i="1"/>
  <c r="L263" i="1" s="1"/>
  <c r="G622" i="1" s="1"/>
  <c r="J622" i="1" s="1"/>
  <c r="H657" i="1"/>
  <c r="H662" i="1"/>
  <c r="C6" i="10" s="1"/>
  <c r="C28" i="10"/>
  <c r="K542" i="1"/>
  <c r="D15" i="10"/>
  <c r="I438" i="1"/>
  <c r="G632" i="1" s="1"/>
  <c r="J632" i="1" s="1"/>
  <c r="J9" i="1"/>
  <c r="C36" i="10"/>
  <c r="G662" i="1"/>
  <c r="G657" i="1"/>
  <c r="D16" i="10"/>
  <c r="C41" i="10" l="1"/>
  <c r="J19" i="1"/>
  <c r="G611" i="1" s="1"/>
  <c r="G9" i="2"/>
  <c r="G19" i="2" s="1"/>
  <c r="F654" i="1"/>
  <c r="I650" i="1"/>
  <c r="I654" i="1" s="1"/>
  <c r="J636" i="1"/>
  <c r="D22" i="10"/>
  <c r="D25" i="10"/>
  <c r="C30" i="10"/>
  <c r="D27" i="10"/>
  <c r="D12" i="10"/>
  <c r="D18" i="10"/>
  <c r="D11" i="10"/>
  <c r="D20" i="10"/>
  <c r="D10" i="10"/>
  <c r="D13" i="10"/>
  <c r="D23" i="10"/>
  <c r="D24" i="10"/>
  <c r="D21" i="10"/>
  <c r="D26" i="10"/>
  <c r="D40" i="10" l="1"/>
  <c r="D35" i="10"/>
  <c r="D41" i="10" s="1"/>
  <c r="D37" i="10"/>
  <c r="D38" i="10"/>
  <c r="D39" i="10"/>
  <c r="D36" i="10"/>
  <c r="I662" i="1"/>
  <c r="C7" i="10" s="1"/>
  <c r="I657" i="1"/>
  <c r="D28" i="10"/>
  <c r="F662" i="1"/>
  <c r="C4" i="10" s="1"/>
  <c r="F657" i="1"/>
  <c r="J611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0D46E00-670C-4FDE-A953-639E9831950B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15D42B7-16B4-4C00-B69C-3A8BB1C10BB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CBD41FD-85EF-43C6-A55F-80CC175317BA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8896FB2-8150-4134-A271-AF397DC345A2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10670EE-54B5-460F-A3A1-C7D2C28785B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E62FA8E-1E35-443A-A17C-AA3B9AAC0C47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91E07E41-694B-4E3B-B8EE-E008967A812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CDE91C5-6E0F-4A9E-85D4-0F8EA9F87E1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B89E8B34-7DB3-465B-BDCC-C41B62B6B1F9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6C6C8DC7-3729-43B5-9B59-6F3473820B0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BA4A458A-DB44-46FA-BBF2-3E344B950FA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97B89CE-5A3A-4CF2-BCFE-9E45929AD027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<sst xmlns="http://schemas.openxmlformats.org/spreadsheetml/2006/main" count="3862" uniqueCount="899">
  <si>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</si>
  <si>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</si>
  <si>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</si>
  <si>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</si>
  <si>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</si>
  <si>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</si>
  <si>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</si>
  <si>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</si>
  <si>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</si>
  <si>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</si>
  <si>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</si>
  <si>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</si>
  <si>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</si>
  <si>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</si>
  <si>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</si>
  <si>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</si>
  <si>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</si>
  <si>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</si>
  <si>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</si>
  <si>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</si>
  <si>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</si>
  <si>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</si>
  <si>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</si>
  <si>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</si>
  <si>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</si>
  <si>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</si>
  <si>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</si>
  <si>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</si>
  <si>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</si>
  <si>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</si>
  <si>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</si>
  <si>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</si>
  <si>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</si>
  <si>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</si>
  <si>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</si>
  <si>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</si>
  <si>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</si>
  <si>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</si>
  <si>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</si>
  <si>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</si>
  <si>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</si>
  <si>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</si>
  <si>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</si>
  <si>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</si>
  <si>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</si>
  <si>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</si>
  <si>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</si>
  <si>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</si>
  <si>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</si>
  <si>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</si>
  <si>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</si>
  <si>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</si>
  <si>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</si>
  <si>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</si>
  <si>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</si>
  <si>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</si>
  <si>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</si>
  <si>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</si>
  <si>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</si>
  <si>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</si>
  <si>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</si>
  <si>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</si>
  <si>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</si>
  <si>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</si>
  <si>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</si>
  <si>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</si>
  <si>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</si>
  <si>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</si>
  <si>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</si>
  <si>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</si>
  <si>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</si>
  <si>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</si>
  <si>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</si>
  <si>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</si>
  <si>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</si>
  <si>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</si>
  <si>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</si>
  <si>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</si>
  <si>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</si>
  <si>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</si>
  <si>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</si>
  <si>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</si>
  <si>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</si>
  <si>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</si>
  <si>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</si>
  <si>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</si>
  <si>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</si>
  <si>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</si>
  <si>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</si>
  <si>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</si>
  <si>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</si>
  <si>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</si>
  <si>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</si>
  <si>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</si>
  <si>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</si>
  <si>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</si>
  <si>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</si>
  <si>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</si>
  <si>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</si>
  <si>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</si>
  <si>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</si>
  <si>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</si>
  <si>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</si>
  <si>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</si>
  <si>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</si>
  <si>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</si>
  <si>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</si>
  <si>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</si>
  <si>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</si>
  <si>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</si>
  <si>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</si>
  <si>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</si>
  <si>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</si>
  <si>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</si>
  <si>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</si>
  <si>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</si>
  <si>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</si>
  <si>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</si>
  <si>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</si>
  <si>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</si>
  <si>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</si>
  <si>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</si>
  <si>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</si>
  <si>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</si>
  <si>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</si>
  <si>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</si>
  <si>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</si>
  <si>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</si>
  <si>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</si>
  <si>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</si>
  <si>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</si>
  <si>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</si>
  <si>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</si>
  <si>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</si>
  <si>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</si>
  <si>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</si>
  <si>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</si>
  <si>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</si>
  <si>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</si>
  <si>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</si>
  <si>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</si>
  <si>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</si>
  <si>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</si>
  <si>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</si>
  <si>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</si>
  <si>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</si>
  <si>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</si>
  <si>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</si>
  <si>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</si>
  <si>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</si>
  <si>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</si>
  <si>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</si>
  <si>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</si>
  <si>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</si>
  <si>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</si>
  <si>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</si>
  <si>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</si>
  <si>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</si>
  <si>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</si>
  <si>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</si>
  <si>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</si>
  <si>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</si>
  <si>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</si>
  <si>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</si>
  <si>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</si>
  <si>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</si>
  <si>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</si>
  <si>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</si>
  <si>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</si>
  <si>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</si>
  <si>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</si>
  <si>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</si>
  <si>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</si>
  <si>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</si>
  <si>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</si>
  <si>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</si>
  <si>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</si>
  <si>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</si>
  <si>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</si>
  <si>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</si>
  <si>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</si>
  <si>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</si>
  <si>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</si>
  <si>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</si>
  <si>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</si>
  <si>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</si>
  <si>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</si>
  <si>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</si>
  <si>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</si>
  <si>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</si>
  <si>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</si>
  <si>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</si>
  <si>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</si>
  <si>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</si>
  <si>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</si>
  <si>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</si>
  <si>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</si>
  <si>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</si>
  <si>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</si>
  <si>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</si>
  <si>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</si>
  <si>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</si>
  <si>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</si>
  <si>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</si>
  <si>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</si>
  <si>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</si>
  <si>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</si>
  <si>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</si>
  <si>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</si>
  <si>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</si>
  <si>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</si>
  <si>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</si>
  <si>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</si>
  <si>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</si>
  <si>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</si>
  <si>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</si>
  <si>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</si>
  <si>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</si>
  <si>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</si>
  <si>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</si>
  <si>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</si>
  <si>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</si>
  <si>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</si>
  <si>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</si>
  <si>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</si>
  <si>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</si>
  <si>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</si>
  <si>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</si>
  <si>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</si>
  <si>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</si>
  <si>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</si>
  <si>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</si>
  <si>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</si>
  <si>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</si>
  <si>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</si>
  <si>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</si>
  <si>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</si>
  <si>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</si>
  <si>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</si>
  <si>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</si>
  <si>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</si>
  <si>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</si>
  <si>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</si>
  <si>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</si>
  <si>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</si>
  <si>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</si>
  <si>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</si>
  <si>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</si>
  <si>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</si>
  <si>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</si>
  <si>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</si>
  <si>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</si>
  <si>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</si>
  <si>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</si>
  <si>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</si>
  <si>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</si>
  <si>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</si>
  <si>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</si>
  <si>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</si>
  <si>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</si>
  <si>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</si>
  <si>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</si>
  <si>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</si>
  <si>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</si>
  <si>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</si>
  <si>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</si>
  <si>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</si>
  <si>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</si>
  <si>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</si>
  <si>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</si>
  <si>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</si>
  <si>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</si>
  <si>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</si>
  <si>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</si>
  <si>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</si>
  <si>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</si>
  <si>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</si>
  <si>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</si>
  <si>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</si>
  <si>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</si>
  <si>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</si>
  <si>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</si>
  <si>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</si>
  <si>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</si>
  <si>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</si>
  <si>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</si>
  <si>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</si>
  <si>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</si>
  <si>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</si>
  <si>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</si>
  <si>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</si>
  <si>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</si>
  <si>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</si>
  <si>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</si>
  <si>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</si>
  <si>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</si>
  <si>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</si>
  <si>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</si>
  <si>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</si>
  <si>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</si>
  <si>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</si>
  <si>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</si>
  <si>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</si>
  <si>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</si>
  <si>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</si>
  <si>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</si>
  <si>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</si>
  <si>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</si>
  <si>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</si>
  <si>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</si>
  <si>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</si>
  <si>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</si>
  <si>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</si>
  <si>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</si>
  <si>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</si>
  <si>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</si>
  <si>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</si>
  <si>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</si>
  <si>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</si>
  <si>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</si>
  <si>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</si>
  <si>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</si>
  <si>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</si>
  <si>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</si>
  <si>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</si>
  <si>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</si>
  <si>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</si>
  <si>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</si>
  <si>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</si>
  <si>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</si>
  <si>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</si>
  <si>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</si>
  <si>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</si>
  <si>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</si>
  <si>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</si>
  <si>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</si>
  <si>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</si>
  <si>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</si>
  <si>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</si>
  <si>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</si>
  <si>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</si>
  <si>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</si>
  <si>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</si>
  <si>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</si>
  <si>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</si>
  <si>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</si>
  <si>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</si>
  <si>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</si>
  <si>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</si>
  <si>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</si>
  <si>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</si>
  <si>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</si>
  <si>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</si>
  <si>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</si>
  <si>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</si>
  <si>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</si>
  <si>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</si>
  <si>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</si>
  <si>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</si>
  <si>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</si>
  <si>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</si>
  <si>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</si>
  <si>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</si>
  <si>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</si>
  <si>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</si>
  <si>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</si>
  <si>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</si>
  <si>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</si>
  <si>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</si>
  <si>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</si>
  <si>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</si>
  <si>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</si>
  <si>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</si>
  <si>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</si>
  <si>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</si>
  <si>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</si>
  <si>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</si>
  <si>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</si>
  <si>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</si>
  <si>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</si>
  <si>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</si>
  <si>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</si>
  <si>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</si>
  <si>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</si>
  <si>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</si>
  <si>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</si>
  <si>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</si>
  <si>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</si>
  <si>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</si>
  <si>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</si>
  <si>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</si>
  <si>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</si>
  <si>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</si>
  <si>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</si>
  <si>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</si>
  <si>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</si>
  <si>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</si>
  <si>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</si>
  <si>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</si>
  <si>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</si>
  <si>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</si>
  <si>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</si>
  <si>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</si>
  <si>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</si>
  <si>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</si>
  <si>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</si>
  <si>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</si>
  <si>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</si>
  <si>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</si>
  <si>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</si>
  <si>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</si>
  <si>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</si>
  <si>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</si>
  <si>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</si>
  <si>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</si>
  <si>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</si>
  <si>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</si>
  <si>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</si>
  <si>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</si>
  <si>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</si>
  <si>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</si>
  <si>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</si>
  <si>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</si>
  <si>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</si>
  <si>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</si>
  <si>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</si>
  <si>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</si>
  <si>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</si>
  <si>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</si>
  <si>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</si>
  <si>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</si>
  <si>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</si>
  <si>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</si>
  <si>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</si>
  <si>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</si>
  <si>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</si>
  <si>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</si>
  <si>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</si>
  <si>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</si>
  <si>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</si>
  <si>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</si>
  <si>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</si>
  <si>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</si>
  <si>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</si>
  <si>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</si>
  <si>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</si>
  <si>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</si>
  <si>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</si>
  <si>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</si>
  <si>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</si>
  <si>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</si>
  <si>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</si>
  <si>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</si>
  <si>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</si>
  <si>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</si>
  <si>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</si>
  <si>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</si>
  <si>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</si>
  <si>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</si>
  <si>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</si>
  <si>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</si>
  <si>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</si>
  <si>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</si>
  <si>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</si>
  <si>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</si>
  <si>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</si>
  <si>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</si>
  <si>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</si>
  <si>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</si>
  <si>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</si>
  <si>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</si>
  <si>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</si>
  <si>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</si>
  <si>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</si>
  <si>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</si>
  <si>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</si>
  <si>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</si>
  <si>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</si>
  <si>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</si>
  <si>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</si>
  <si>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</si>
  <si>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</si>
  <si>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</si>
  <si>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</si>
  <si>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</si>
  <si>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</si>
  <si>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</si>
  <si>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</si>
  <si>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</si>
  <si>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</si>
  <si>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</si>
  <si>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</si>
  <si>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</si>
  <si>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</si>
  <si>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</si>
  <si>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</si>
  <si>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</si>
  <si>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</si>
  <si>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</si>
  <si>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</si>
  <si>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</si>
  <si>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</si>
  <si>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</si>
  <si>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</si>
  <si>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</si>
  <si>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</si>
  <si>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</si>
  <si>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</si>
  <si>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</si>
  <si>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</si>
  <si>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</si>
  <si>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</si>
  <si>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</si>
  <si>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</si>
  <si>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</si>
  <si>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</si>
  <si>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</si>
  <si>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</si>
  <si>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</si>
  <si>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</si>
  <si>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</si>
  <si>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</si>
  <si>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</si>
  <si>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</si>
  <si>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</si>
  <si>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</si>
  <si>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</si>
  <si>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</si>
  <si>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</si>
  <si>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</si>
  <si>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</si>
  <si>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</si>
  <si>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</si>
  <si>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</si>
  <si>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</si>
  <si>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</si>
  <si>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</si>
  <si>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</si>
  <si>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</si>
  <si>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</si>
  <si>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</si>
  <si>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</si>
  <si>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</si>
  <si>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</si>
  <si>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</si>
  <si>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</si>
  <si>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</si>
  <si>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</si>
  <si>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</si>
  <si>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</si>
  <si>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</si>
  <si>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</si>
  <si>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</si>
  <si>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</si>
  <si>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</si>
  <si>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</si>
  <si>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</si>
  <si>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</si>
  <si>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</si>
  <si>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</si>
  <si>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</si>
  <si>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</si>
  <si>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</si>
  <si>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</si>
  <si>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</si>
  <si>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</si>
  <si>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</si>
  <si>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</si>
  <si>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</si>
  <si>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</si>
  <si>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</si>
  <si>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</si>
  <si>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</si>
  <si>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</si>
  <si>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</si>
  <si>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</si>
  <si>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</si>
  <si>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</si>
  <si>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</si>
  <si>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</si>
  <si>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</si>
  <si>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</si>
  <si>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</si>
  <si>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</si>
  <si>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</si>
  <si>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</si>
  <si>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</si>
  <si>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</si>
  <si>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</si>
  <si>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</si>
  <si>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</si>
  <si>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</si>
  <si>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</si>
  <si>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</si>
  <si>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</si>
  <si>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</si>
  <si>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</si>
  <si>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</si>
  <si>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</si>
  <si>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</si>
  <si>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</si>
  <si>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</si>
  <si>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</si>
  <si>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</si>
  <si>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</si>
  <si>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</si>
  <si>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</si>
  <si>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</si>
  <si>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</si>
  <si>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</si>
  <si>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</si>
  <si>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</si>
  <si>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</si>
  <si>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</si>
  <si>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</si>
  <si>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</si>
  <si>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</si>
  <si>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</si>
  <si>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</si>
  <si>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</si>
  <si>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</si>
  <si>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</si>
  <si>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</si>
  <si>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</si>
  <si>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</si>
  <si>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</si>
  <si>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</si>
  <si>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</si>
  <si>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</si>
  <si>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</si>
  <si>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</si>
  <si>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</si>
  <si>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</si>
  <si>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</si>
  <si>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</si>
  <si>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</si>
  <si>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</si>
  <si>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</si>
  <si>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</si>
  <si>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</si>
  <si>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</si>
  <si>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</si>
  <si>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</si>
  <si>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</si>
  <si>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</si>
  <si>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</si>
  <si>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</si>
  <si>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</si>
  <si>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</si>
  <si>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</si>
  <si>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</si>
  <si>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</si>
  <si>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</si>
  <si>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</si>
  <si>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</si>
  <si>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</si>
  <si>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</si>
  <si>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</si>
  <si>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</si>
  <si>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</si>
  <si>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</si>
  <si>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</si>
  <si>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</si>
  <si>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</si>
  <si>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</si>
  <si>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</si>
  <si>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</si>
  <si>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</si>
  <si>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</si>
  <si>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</si>
  <si>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</si>
  <si>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</si>
  <si>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</si>
  <si>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</si>
  <si>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</si>
  <si>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</si>
  <si>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</si>
  <si>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</si>
  <si>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</si>
  <si>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</si>
  <si>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</si>
  <si>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</si>
  <si>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</si>
  <si>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</si>
  <si>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</si>
  <si>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</si>
  <si>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</si>
  <si>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</si>
  <si>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</si>
  <si>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</si>
  <si>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</si>
  <si>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</si>
  <si>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</si>
  <si>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</si>
  <si>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</si>
  <si>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</si>
  <si>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</si>
  <si>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</si>
  <si>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</si>
  <si>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</si>
  <si>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</si>
  <si>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</si>
  <si>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</si>
  <si>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</si>
  <si>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</si>
  <si>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</si>
  <si>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</si>
  <si>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</si>
  <si>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</si>
  <si>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</si>
  <si>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</si>
  <si>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</si>
  <si>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</si>
  <si>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</si>
  <si>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</si>
  <si>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</si>
  <si>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</si>
  <si>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</si>
  <si>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</si>
  <si>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</si>
  <si>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</si>
  <si>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</si>
  <si>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</si>
  <si>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</si>
  <si>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</si>
  <si>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</si>
  <si>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</si>
  <si>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</si>
  <si>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</si>
  <si>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</si>
  <si>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</si>
  <si>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</si>
  <si>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</si>
  <si>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</si>
  <si>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</si>
  <si>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</si>
  <si>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</si>
  <si>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</si>
  <si>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</si>
  <si>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</si>
  <si>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</si>
  <si>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</si>
  <si>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</si>
  <si>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</si>
  <si>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</si>
  <si>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</si>
  <si>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</si>
  <si>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</si>
  <si>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</si>
  <si>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</si>
  <si>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</si>
  <si>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</si>
  <si>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</si>
  <si>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</si>
  <si>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</si>
  <si>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</si>
  <si>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</si>
  <si>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</si>
  <si>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</si>
  <si>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</si>
  <si>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</si>
  <si>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</si>
  <si>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</si>
  <si>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</si>
  <si>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</si>
  <si>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</si>
  <si>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</si>
  <si>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</si>
  <si>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</si>
  <si>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</si>
  <si>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</si>
  <si>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</si>
  <si>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</si>
  <si>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</si>
  <si>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</si>
  <si>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</si>
  <si>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</si>
  <si>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</si>
  <si>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</si>
  <si>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</si>
  <si>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</si>
  <si>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</si>
  <si>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</si>
  <si>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</si>
  <si>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</si>
  <si>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</si>
  <si>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</si>
  <si>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</si>
  <si>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</si>
  <si>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</si>
  <si>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</si>
  <si>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</si>
  <si>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</si>
  <si>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</si>
  <si>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</si>
  <si>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</si>
  <si>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</si>
  <si>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</si>
  <si>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</si>
  <si>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</si>
  <si>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</si>
  <si>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</si>
  <si>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</si>
  <si>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</si>
  <si>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</si>
  <si>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</si>
  <si>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</si>
  <si>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</si>
  <si>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</si>
  <si>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</si>
  <si>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</si>
  <si>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</si>
  <si>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</si>
  <si>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</si>
  <si>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</si>
  <si>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</si>
  <si>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</si>
  <si>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</si>
  <si>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</si>
  <si>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</si>
  <si>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</si>
  <si>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</si>
  <si>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</si>
  <si>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</si>
  <si>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</si>
  <si>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</si>
  <si>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</si>
  <si>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</si>
  <si>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</si>
  <si>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</si>
  <si>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</si>
  <si>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</si>
  <si>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</si>
  <si>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</si>
  <si>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</si>
  <si>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</si>
  <si>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</si>
  <si>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</si>
  <si>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</si>
  <si>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</si>
  <si>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</si>
  <si>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</si>
  <si>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</si>
  <si>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</si>
  <si>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</si>
  <si>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</si>
  <si>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</si>
  <si>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</si>
  <si>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</si>
  <si>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</si>
  <si>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</si>
  <si>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</si>
  <si>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</si>
  <si>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</si>
  <si>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</si>
  <si>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</si>
  <si>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</si>
  <si>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</si>
  <si>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</si>
  <si>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</si>
  <si>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</si>
  <si>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</si>
  <si>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</si>
  <si>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</si>
  <si>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</si>
  <si>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</si>
  <si>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</si>
  <si>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</si>
  <si>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</si>
  <si>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</si>
  <si>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</si>
  <si>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</si>
  <si>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</si>
  <si>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</si>
  <si>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</si>
  <si>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</si>
  <si>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</si>
  <si>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</si>
  <si>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</si>
  <si>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</si>
  <si>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</si>
  <si>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</si>
  <si>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</si>
  <si>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</si>
  <si>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</si>
  <si>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</si>
  <si>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</si>
  <si>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</si>
  <si>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</si>
  <si>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</si>
  <si>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</si>
  <si>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</si>
  <si>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</si>
  <si>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</si>
  <si>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Food Service Beginning Fund Balance has been adjusted per our auditors.  Our auditors proposed an entry in FY11 </t>
  </si>
  <si>
    <t>to bring on our prior year inventory.  Our FY10 books were not adjusted.</t>
  </si>
  <si>
    <t>07/01</t>
  </si>
  <si>
    <t>08/10</t>
  </si>
  <si>
    <t>Pelham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</si>
</sst>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08E5-D09C-4B3D-AAE4-005131F41C3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activeCell="F483" sqref="F483"/>
      <selection pane="topRight" activeCell="F483" sqref="F483"/>
      <selection pane="bottomLeft" activeCell="F483" sqref="F483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425</v>
      </c>
      <c r="C2" s="21">
        <v>425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653857.05000000005</v>
      </c>
      <c r="G9" s="18"/>
      <c r="H9" s="18"/>
      <c r="I9" s="18"/>
      <c r="J9" s="67">
        <f>SUM(I431)</f>
        <v>230659.19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142896.65</v>
      </c>
      <c r="G12" s="18">
        <v>126683.72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18392.25</v>
      </c>
      <c r="G13" s="18">
        <v>10297.68</v>
      </c>
      <c r="H13" s="18">
        <v>271274.57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1436.48</v>
      </c>
      <c r="G14" s="18">
        <v>1232.29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22798.9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816582.43</v>
      </c>
      <c r="G19" s="41">
        <f>SUM(G9:G18)</f>
        <v>161012.59</v>
      </c>
      <c r="H19" s="41">
        <f>SUM(H9:H18)</f>
        <v>271274.57</v>
      </c>
      <c r="I19" s="41">
        <f>SUM(I9:I18)</f>
        <v>0</v>
      </c>
      <c r="J19" s="41">
        <f>SUM(J9:J18)</f>
        <v>230659.19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271274.57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100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10672.78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638322.76</v>
      </c>
      <c r="G31" s="18">
        <v>14648.89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649095.54</v>
      </c>
      <c r="G33" s="41">
        <f>SUM(G23:G32)</f>
        <v>14648.89</v>
      </c>
      <c r="H33" s="41">
        <f>SUM(H23:H32)</f>
        <v>271274.57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50000</v>
      </c>
      <c r="G41" s="18">
        <v>146363.70000000001</v>
      </c>
      <c r="H41" s="18"/>
      <c r="I41" s="18"/>
      <c r="J41" s="13">
        <f>SUM(I449)</f>
        <v>230659.19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117486.89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167486.89000000001</v>
      </c>
      <c r="G43" s="41">
        <f>SUM(G35:G42)</f>
        <v>146363.70000000001</v>
      </c>
      <c r="H43" s="41">
        <f>SUM(H35:H42)</f>
        <v>0</v>
      </c>
      <c r="I43" s="41">
        <f>SUM(I35:I42)</f>
        <v>0</v>
      </c>
      <c r="J43" s="41">
        <f>SUM(J35:J42)</f>
        <v>230659.19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816582.43</v>
      </c>
      <c r="G44" s="41">
        <f>G43+G33</f>
        <v>161012.59000000003</v>
      </c>
      <c r="H44" s="41">
        <f>H43+H33</f>
        <v>271274.57</v>
      </c>
      <c r="I44" s="41">
        <f>I43+I33</f>
        <v>0</v>
      </c>
      <c r="J44" s="41">
        <f>J43+J33</f>
        <v>230659.19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14090163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14090163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34870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34870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2419.9699999999998</v>
      </c>
      <c r="G88" s="18"/>
      <c r="H88" s="18"/>
      <c r="I88" s="18"/>
      <c r="J88" s="18">
        <v>1166.58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658857.31999999995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15557.5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11274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850177.98</v>
      </c>
      <c r="G102" s="18">
        <v>8300.1200000000008</v>
      </c>
      <c r="H102" s="18"/>
      <c r="I102" s="18"/>
      <c r="J102" s="18">
        <v>1068.32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879429.45</v>
      </c>
      <c r="G103" s="41">
        <f>SUM(G88:G102)</f>
        <v>667157.43999999994</v>
      </c>
      <c r="H103" s="41">
        <f>SUM(H88:H102)</f>
        <v>0</v>
      </c>
      <c r="I103" s="41">
        <f>SUM(I88:I102)</f>
        <v>0</v>
      </c>
      <c r="J103" s="41">
        <f>SUM(J88:J102)</f>
        <v>2234.8999999999996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15004462.449999999</v>
      </c>
      <c r="G104" s="41">
        <f>G52+G103</f>
        <v>667157.43999999994</v>
      </c>
      <c r="H104" s="41">
        <f>H52+H71+H86+H103</f>
        <v>0</v>
      </c>
      <c r="I104" s="41">
        <f>I52+I103</f>
        <v>0</v>
      </c>
      <c r="J104" s="41">
        <f>J52+J103</f>
        <v>2234.8999999999996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3464204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3450734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125646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45614.71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7040584</v>
      </c>
      <c r="G113" s="41">
        <f>SUM(G109:G112)</f>
        <v>45614.71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309900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154050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124200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267086.61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11526.45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10611.86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12000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878763.05999999994</v>
      </c>
      <c r="G128" s="41">
        <f>SUM(G115:G127)</f>
        <v>10611.86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7919347.0599999996</v>
      </c>
      <c r="G132" s="41">
        <f>G113+SUM(G128:G129)</f>
        <v>56226.57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138776.51999999999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79169.399999999994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116683.38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543245.14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97822.31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97822.31</v>
      </c>
      <c r="G154" s="41">
        <f>SUM(G142:G153)</f>
        <v>116683.38</v>
      </c>
      <c r="H154" s="41">
        <f>SUM(H142:H153)</f>
        <v>761191.06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97822.31</v>
      </c>
      <c r="G161" s="41">
        <f>G139+G154+SUM(G155:G160)</f>
        <v>116683.38</v>
      </c>
      <c r="H161" s="41">
        <f>H139+H154+SUM(H155:H160)</f>
        <v>761191.06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23021631.819999997</v>
      </c>
      <c r="G185" s="47">
        <f>G104+G132+G161+G184</f>
        <v>840067.3899999999</v>
      </c>
      <c r="H185" s="47">
        <f>H104+H132+H161+H184</f>
        <v>761191.06</v>
      </c>
      <c r="I185" s="47">
        <f>I104+I132+I161+I184</f>
        <v>0</v>
      </c>
      <c r="J185" s="47">
        <f>J104+J132+J184</f>
        <v>52234.9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3845767.71</v>
      </c>
      <c r="G189" s="18">
        <v>1697574.9</v>
      </c>
      <c r="H189" s="18">
        <v>65255.57</v>
      </c>
      <c r="I189" s="18">
        <v>241850.55</v>
      </c>
      <c r="J189" s="18">
        <v>34465.760000000002</v>
      </c>
      <c r="K189" s="18">
        <v>5305.85</v>
      </c>
      <c r="L189" s="19">
        <f>SUM(F189:K189)</f>
        <v>5890220.3399999989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1713409.59</v>
      </c>
      <c r="G190" s="18">
        <v>733851.18</v>
      </c>
      <c r="H190" s="18">
        <v>524590</v>
      </c>
      <c r="I190" s="18">
        <v>11160.55</v>
      </c>
      <c r="J190" s="18">
        <v>6910.05</v>
      </c>
      <c r="K190" s="18">
        <v>10878.56</v>
      </c>
      <c r="L190" s="19">
        <f>SUM(F190:K190)</f>
        <v>3000799.9299999997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63701.61</v>
      </c>
      <c r="G192" s="18"/>
      <c r="H192" s="18">
        <v>17880.03</v>
      </c>
      <c r="I192" s="18">
        <v>1283.0999999999999</v>
      </c>
      <c r="J192" s="18"/>
      <c r="K192" s="18"/>
      <c r="L192" s="19">
        <f>SUM(F192:K192)</f>
        <v>82864.740000000005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696134.59</v>
      </c>
      <c r="G194" s="18">
        <v>291012.84000000003</v>
      </c>
      <c r="H194" s="18">
        <v>394142.12</v>
      </c>
      <c r="I194" s="18">
        <v>36206.36</v>
      </c>
      <c r="J194" s="18">
        <v>15476.9</v>
      </c>
      <c r="K194" s="18">
        <v>0</v>
      </c>
      <c r="L194" s="19">
        <f t="shared" ref="L194:L200" si="0">SUM(F194:K194)</f>
        <v>1432972.8099999998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123856.98</v>
      </c>
      <c r="G195" s="18">
        <v>83412.539999999994</v>
      </c>
      <c r="H195" s="18">
        <v>95465.14</v>
      </c>
      <c r="I195" s="18">
        <v>29305.78</v>
      </c>
      <c r="J195" s="18">
        <v>80608.08</v>
      </c>
      <c r="K195" s="18"/>
      <c r="L195" s="19">
        <f t="shared" si="0"/>
        <v>412648.51999999996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124154.29</v>
      </c>
      <c r="G196" s="18">
        <v>48502.14</v>
      </c>
      <c r="H196" s="18">
        <v>513243.96</v>
      </c>
      <c r="I196" s="18">
        <v>5072.8999999999996</v>
      </c>
      <c r="J196" s="18">
        <v>0</v>
      </c>
      <c r="K196" s="18">
        <v>11096.54</v>
      </c>
      <c r="L196" s="19">
        <f t="shared" si="0"/>
        <v>702069.83000000007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520149.61</v>
      </c>
      <c r="G197" s="18">
        <v>245281.89</v>
      </c>
      <c r="H197" s="18">
        <v>5773.86</v>
      </c>
      <c r="I197" s="18">
        <v>10626.11</v>
      </c>
      <c r="J197" s="18"/>
      <c r="K197" s="18">
        <v>4027</v>
      </c>
      <c r="L197" s="19">
        <f t="shared" si="0"/>
        <v>785858.47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324953.11</v>
      </c>
      <c r="G199" s="18">
        <v>145506.42000000001</v>
      </c>
      <c r="H199" s="18">
        <v>345128.5</v>
      </c>
      <c r="I199" s="18">
        <v>310004.07</v>
      </c>
      <c r="J199" s="18">
        <v>1378</v>
      </c>
      <c r="K199" s="18"/>
      <c r="L199" s="19">
        <f t="shared" si="0"/>
        <v>1126970.1000000001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5688.2</v>
      </c>
      <c r="G200" s="18"/>
      <c r="H200" s="18">
        <v>693441.96</v>
      </c>
      <c r="I200" s="18"/>
      <c r="J200" s="18"/>
      <c r="K200" s="18"/>
      <c r="L200" s="19">
        <f t="shared" si="0"/>
        <v>699130.15999999992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35275.800000000003</v>
      </c>
      <c r="I201" s="18"/>
      <c r="J201" s="18"/>
      <c r="K201" s="18"/>
      <c r="L201" s="19">
        <f>SUM(F201:K201)</f>
        <v>35275.800000000003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7417815.6900000013</v>
      </c>
      <c r="G203" s="41">
        <f t="shared" si="1"/>
        <v>3245141.91</v>
      </c>
      <c r="H203" s="41">
        <f t="shared" si="1"/>
        <v>2690196.9399999995</v>
      </c>
      <c r="I203" s="41">
        <f t="shared" si="1"/>
        <v>645509.41999999993</v>
      </c>
      <c r="J203" s="41">
        <f t="shared" si="1"/>
        <v>138838.79</v>
      </c>
      <c r="K203" s="41">
        <f t="shared" si="1"/>
        <v>31307.95</v>
      </c>
      <c r="L203" s="41">
        <f t="shared" si="1"/>
        <v>14168810.700000001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2331216.6800000002</v>
      </c>
      <c r="G225" s="18">
        <v>970042.8</v>
      </c>
      <c r="H225" s="18">
        <v>23488.1</v>
      </c>
      <c r="I225" s="18">
        <v>77908.78</v>
      </c>
      <c r="J225" s="18">
        <v>9763.1200000000008</v>
      </c>
      <c r="K225" s="18">
        <v>2273.9499999999998</v>
      </c>
      <c r="L225" s="19">
        <f>SUM(F225:K225)</f>
        <v>3414693.4300000006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587146.59</v>
      </c>
      <c r="G226" s="18">
        <v>245218.88</v>
      </c>
      <c r="H226" s="18">
        <v>224824.29</v>
      </c>
      <c r="I226" s="18">
        <v>3549.59</v>
      </c>
      <c r="J226" s="18">
        <v>2107.44</v>
      </c>
      <c r="K226" s="18">
        <v>4662.24</v>
      </c>
      <c r="L226" s="19">
        <f>SUM(F226:K226)</f>
        <v>1067509.03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/>
      <c r="H227" s="18">
        <v>43913.13</v>
      </c>
      <c r="I227" s="18">
        <v>0</v>
      </c>
      <c r="J227" s="18">
        <v>0</v>
      </c>
      <c r="K227" s="18"/>
      <c r="L227" s="19">
        <f>SUM(F227:K227)</f>
        <v>43913.13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204548.35</v>
      </c>
      <c r="G228" s="18">
        <v>98472.4</v>
      </c>
      <c r="H228" s="18">
        <v>57389.79</v>
      </c>
      <c r="I228" s="18">
        <v>49667.35</v>
      </c>
      <c r="J228" s="18">
        <v>0</v>
      </c>
      <c r="K228" s="18">
        <v>1336</v>
      </c>
      <c r="L228" s="19">
        <f>SUM(F228:K228)</f>
        <v>411413.88999999996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384194.21</v>
      </c>
      <c r="G230" s="18">
        <v>145506.42000000001</v>
      </c>
      <c r="H230" s="18">
        <v>149278.34</v>
      </c>
      <c r="I230" s="18">
        <v>13140.11</v>
      </c>
      <c r="J230" s="18">
        <v>5468.81</v>
      </c>
      <c r="K230" s="18">
        <v>0</v>
      </c>
      <c r="L230" s="19">
        <f t="shared" ref="L230:L236" si="4">SUM(F230:K230)</f>
        <v>697587.89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42596.71</v>
      </c>
      <c r="G231" s="18">
        <v>14961.6</v>
      </c>
      <c r="H231" s="18">
        <v>53899.83</v>
      </c>
      <c r="I231" s="18">
        <v>26747.1</v>
      </c>
      <c r="J231" s="18">
        <v>34197.919999999998</v>
      </c>
      <c r="K231" s="18">
        <v>0</v>
      </c>
      <c r="L231" s="19">
        <f t="shared" si="4"/>
        <v>172403.15999999997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26143.41</v>
      </c>
      <c r="G232" s="18">
        <v>0</v>
      </c>
      <c r="H232" s="18">
        <v>219640.92</v>
      </c>
      <c r="I232" s="18">
        <v>1513.28</v>
      </c>
      <c r="J232" s="18">
        <v>0</v>
      </c>
      <c r="K232" s="18">
        <v>4755.66</v>
      </c>
      <c r="L232" s="19">
        <f t="shared" si="4"/>
        <v>252053.27000000002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233301.1</v>
      </c>
      <c r="G233" s="18">
        <v>97004.28</v>
      </c>
      <c r="H233" s="18">
        <v>7363.54</v>
      </c>
      <c r="I233" s="18">
        <v>11639.59</v>
      </c>
      <c r="J233" s="18">
        <v>0</v>
      </c>
      <c r="K233" s="18">
        <v>11682.63</v>
      </c>
      <c r="L233" s="19">
        <f t="shared" si="4"/>
        <v>360991.14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/>
      <c r="H234" s="18"/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249953.86</v>
      </c>
      <c r="G235" s="18">
        <v>97004.28</v>
      </c>
      <c r="H235" s="18">
        <v>115519.95</v>
      </c>
      <c r="I235" s="18">
        <v>205051.5</v>
      </c>
      <c r="J235" s="18">
        <v>0</v>
      </c>
      <c r="K235" s="18">
        <v>0</v>
      </c>
      <c r="L235" s="19">
        <f t="shared" si="4"/>
        <v>667529.59000000008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2437.8000000000002</v>
      </c>
      <c r="G236" s="18"/>
      <c r="H236" s="18">
        <v>484640.52</v>
      </c>
      <c r="I236" s="18">
        <v>0</v>
      </c>
      <c r="J236" s="18">
        <v>0</v>
      </c>
      <c r="K236" s="18">
        <v>0</v>
      </c>
      <c r="L236" s="19">
        <f t="shared" si="4"/>
        <v>487078.32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/>
      <c r="H237" s="18">
        <v>15118.2</v>
      </c>
      <c r="I237" s="18">
        <v>0</v>
      </c>
      <c r="J237" s="18">
        <v>0</v>
      </c>
      <c r="K237" s="18">
        <v>0</v>
      </c>
      <c r="L237" s="19">
        <f>SUM(F237:K237)</f>
        <v>15118.2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4061538.71</v>
      </c>
      <c r="G239" s="41">
        <f t="shared" si="5"/>
        <v>1668210.6600000001</v>
      </c>
      <c r="H239" s="41">
        <f t="shared" si="5"/>
        <v>1395076.61</v>
      </c>
      <c r="I239" s="41">
        <f t="shared" si="5"/>
        <v>389217.30000000005</v>
      </c>
      <c r="J239" s="41">
        <f t="shared" si="5"/>
        <v>51537.29</v>
      </c>
      <c r="K239" s="41">
        <f t="shared" si="5"/>
        <v>24710.479999999996</v>
      </c>
      <c r="L239" s="41">
        <f t="shared" si="5"/>
        <v>7590291.0500000007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248780.79999999999</v>
      </c>
      <c r="I247" s="18"/>
      <c r="J247" s="18"/>
      <c r="K247" s="18"/>
      <c r="L247" s="19">
        <f t="shared" si="6"/>
        <v>248780.79999999999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248780.79999999999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248780.79999999999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11479354.400000002</v>
      </c>
      <c r="G249" s="41">
        <f t="shared" si="8"/>
        <v>4913352.57</v>
      </c>
      <c r="H249" s="41">
        <f t="shared" si="8"/>
        <v>4334054.3499999996</v>
      </c>
      <c r="I249" s="41">
        <f t="shared" si="8"/>
        <v>1034726.72</v>
      </c>
      <c r="J249" s="41">
        <f t="shared" si="8"/>
        <v>190376.08000000002</v>
      </c>
      <c r="K249" s="41">
        <f t="shared" si="8"/>
        <v>56018.429999999993</v>
      </c>
      <c r="L249" s="41">
        <f t="shared" si="8"/>
        <v>22007882.550000001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1033000</v>
      </c>
      <c r="L252" s="19">
        <f>SUM(F252:K252)</f>
        <v>1033000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25825</v>
      </c>
      <c r="L253" s="19">
        <f>SUM(F253:K253)</f>
        <v>25825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1108825</v>
      </c>
      <c r="L262" s="41">
        <f t="shared" si="9"/>
        <v>1108825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11479354.400000002</v>
      </c>
      <c r="G263" s="42">
        <f t="shared" si="11"/>
        <v>4913352.57</v>
      </c>
      <c r="H263" s="42">
        <f t="shared" si="11"/>
        <v>4334054.3499999996</v>
      </c>
      <c r="I263" s="42">
        <f t="shared" si="11"/>
        <v>1034726.72</v>
      </c>
      <c r="J263" s="42">
        <f t="shared" si="11"/>
        <v>190376.08000000002</v>
      </c>
      <c r="K263" s="42">
        <f t="shared" si="11"/>
        <v>1164843.43</v>
      </c>
      <c r="L263" s="42">
        <f t="shared" si="11"/>
        <v>23116707.550000001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96428.4</v>
      </c>
      <c r="G268" s="18">
        <v>15783.6</v>
      </c>
      <c r="H268" s="18">
        <v>44038.22</v>
      </c>
      <c r="I268" s="18">
        <v>5182.16</v>
      </c>
      <c r="J268" s="18">
        <v>0</v>
      </c>
      <c r="K268" s="18">
        <v>0</v>
      </c>
      <c r="L268" s="19">
        <f>SUM(F268:K268)</f>
        <v>161432.38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233248.6</v>
      </c>
      <c r="G269" s="18">
        <v>33926.959999999999</v>
      </c>
      <c r="H269" s="18">
        <v>64794.01</v>
      </c>
      <c r="I269" s="18">
        <v>1420.93</v>
      </c>
      <c r="J269" s="18">
        <v>0</v>
      </c>
      <c r="K269" s="18">
        <v>0</v>
      </c>
      <c r="L269" s="19">
        <f>SUM(F269:K269)</f>
        <v>333390.5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19362.37</v>
      </c>
      <c r="G274" s="18">
        <v>3034.08</v>
      </c>
      <c r="H274" s="18">
        <v>4910.93</v>
      </c>
      <c r="I274" s="18">
        <v>2705.18</v>
      </c>
      <c r="J274" s="18">
        <v>0</v>
      </c>
      <c r="K274" s="18">
        <v>0</v>
      </c>
      <c r="L274" s="19">
        <f t="shared" si="12"/>
        <v>30012.559999999998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24206</v>
      </c>
      <c r="G275" s="18">
        <v>27578.6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51784.6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>
        <v>0</v>
      </c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373245.37</v>
      </c>
      <c r="G282" s="42">
        <f t="shared" si="13"/>
        <v>80323.239999999991</v>
      </c>
      <c r="H282" s="42">
        <f t="shared" si="13"/>
        <v>113743.16</v>
      </c>
      <c r="I282" s="42">
        <f t="shared" si="13"/>
        <v>9308.27</v>
      </c>
      <c r="J282" s="42">
        <f t="shared" si="13"/>
        <v>0</v>
      </c>
      <c r="K282" s="42">
        <f t="shared" si="13"/>
        <v>0</v>
      </c>
      <c r="L282" s="41">
        <f t="shared" si="13"/>
        <v>576620.03999999992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2449.5100000000002</v>
      </c>
      <c r="G306" s="18">
        <v>340.93</v>
      </c>
      <c r="H306" s="18">
        <v>5504.52</v>
      </c>
      <c r="I306" s="18">
        <v>439.98</v>
      </c>
      <c r="J306" s="18">
        <v>0</v>
      </c>
      <c r="K306" s="18"/>
      <c r="L306" s="19">
        <f>SUM(F306:K306)</f>
        <v>8734.94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99963.69</v>
      </c>
      <c r="G307" s="18">
        <v>13931.12</v>
      </c>
      <c r="H307" s="18">
        <v>26276.36</v>
      </c>
      <c r="I307" s="18">
        <v>608.97</v>
      </c>
      <c r="J307" s="18">
        <v>0</v>
      </c>
      <c r="K307" s="18">
        <v>0</v>
      </c>
      <c r="L307" s="19">
        <f>SUM(F307:K307)</f>
        <v>140780.13999999998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0</v>
      </c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8298.16</v>
      </c>
      <c r="G312" s="18">
        <v>1300.32</v>
      </c>
      <c r="H312" s="18">
        <v>2104.69</v>
      </c>
      <c r="I312" s="18">
        <v>1159.3699999999999</v>
      </c>
      <c r="J312" s="18">
        <v>0</v>
      </c>
      <c r="K312" s="18">
        <v>0</v>
      </c>
      <c r="L312" s="19">
        <f t="shared" si="16"/>
        <v>12862.54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10374</v>
      </c>
      <c r="G313" s="18">
        <v>11819.4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22193.4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121085.36</v>
      </c>
      <c r="G320" s="42">
        <f t="shared" si="17"/>
        <v>27391.77</v>
      </c>
      <c r="H320" s="42">
        <f t="shared" si="17"/>
        <v>33885.57</v>
      </c>
      <c r="I320" s="42">
        <f t="shared" si="17"/>
        <v>2208.3199999999997</v>
      </c>
      <c r="J320" s="42">
        <f t="shared" si="17"/>
        <v>0</v>
      </c>
      <c r="K320" s="42">
        <f t="shared" si="17"/>
        <v>0</v>
      </c>
      <c r="L320" s="41">
        <f t="shared" si="17"/>
        <v>184571.02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494330.73</v>
      </c>
      <c r="G330" s="41">
        <f t="shared" si="20"/>
        <v>107715.01</v>
      </c>
      <c r="H330" s="41">
        <f t="shared" si="20"/>
        <v>147628.73000000001</v>
      </c>
      <c r="I330" s="41">
        <f t="shared" si="20"/>
        <v>11516.59</v>
      </c>
      <c r="J330" s="41">
        <f t="shared" si="20"/>
        <v>0</v>
      </c>
      <c r="K330" s="41">
        <f t="shared" si="20"/>
        <v>0</v>
      </c>
      <c r="L330" s="41">
        <f t="shared" si="20"/>
        <v>761191.05999999994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494330.73</v>
      </c>
      <c r="G344" s="41">
        <f>G330</f>
        <v>107715.01</v>
      </c>
      <c r="H344" s="41">
        <f>H330</f>
        <v>147628.73000000001</v>
      </c>
      <c r="I344" s="41">
        <f>I330</f>
        <v>11516.59</v>
      </c>
      <c r="J344" s="41">
        <f>J330</f>
        <v>0</v>
      </c>
      <c r="K344" s="47">
        <f>K330+K343</f>
        <v>0</v>
      </c>
      <c r="L344" s="41">
        <f>L330+L343</f>
        <v>761191.05999999994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175047.87</v>
      </c>
      <c r="G350" s="18">
        <v>96466.47</v>
      </c>
      <c r="H350" s="18">
        <v>17202.88</v>
      </c>
      <c r="I350" s="18">
        <v>289402.51</v>
      </c>
      <c r="J350" s="18">
        <v>5941.28</v>
      </c>
      <c r="K350" s="18">
        <v>411.85</v>
      </c>
      <c r="L350" s="13">
        <f>SUM(F350:K350)</f>
        <v>584472.86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76894.97</v>
      </c>
      <c r="G352" s="18">
        <v>41342.769999999997</v>
      </c>
      <c r="H352" s="18">
        <v>4027.69</v>
      </c>
      <c r="I352" s="18">
        <v>121268.79</v>
      </c>
      <c r="J352" s="18">
        <v>5382.5</v>
      </c>
      <c r="K352" s="18">
        <v>77.400000000000006</v>
      </c>
      <c r="L352" s="19">
        <f>SUM(F352:K352)</f>
        <v>248994.11999999997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251942.84</v>
      </c>
      <c r="G354" s="47">
        <f t="shared" si="22"/>
        <v>137809.24</v>
      </c>
      <c r="H354" s="47">
        <f t="shared" si="22"/>
        <v>21230.57</v>
      </c>
      <c r="I354" s="47">
        <f t="shared" si="22"/>
        <v>410671.3</v>
      </c>
      <c r="J354" s="47">
        <f t="shared" si="22"/>
        <v>11323.779999999999</v>
      </c>
      <c r="K354" s="47">
        <f t="shared" si="22"/>
        <v>489.25</v>
      </c>
      <c r="L354" s="47">
        <f t="shared" si="22"/>
        <v>833466.98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270854.18</v>
      </c>
      <c r="G359" s="18"/>
      <c r="H359" s="18">
        <v>115463.64</v>
      </c>
      <c r="I359" s="56">
        <f>SUM(F359:H359)</f>
        <v>386317.82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18548.330000000002</v>
      </c>
      <c r="G360" s="63"/>
      <c r="H360" s="63">
        <v>5805.15</v>
      </c>
      <c r="I360" s="56">
        <f>SUM(F360:H360)</f>
        <v>24353.480000000003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289402.51</v>
      </c>
      <c r="G361" s="47">
        <f>SUM(G359:G360)</f>
        <v>0</v>
      </c>
      <c r="H361" s="47">
        <f>SUM(H359:H360)</f>
        <v>121268.79</v>
      </c>
      <c r="I361" s="47">
        <f>SUM(I359:I360)</f>
        <v>410671.3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f>12.49+5.74</f>
        <v>18.23</v>
      </c>
      <c r="I379" s="18"/>
      <c r="J379" s="24" t="s">
        <v>312</v>
      </c>
      <c r="K379" s="24" t="s">
        <v>312</v>
      </c>
      <c r="L379" s="56">
        <f t="shared" ref="L379:L384" si="25">SUM(F379:K379)</f>
        <v>18.23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f>44.74</f>
        <v>44.74</v>
      </c>
      <c r="I383" s="18"/>
      <c r="J383" s="24" t="s">
        <v>312</v>
      </c>
      <c r="K383" s="24" t="s">
        <v>312</v>
      </c>
      <c r="L383" s="56">
        <f t="shared" si="25"/>
        <v>44.74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62.97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62.97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f>185.32+105.01</f>
        <v>290.33</v>
      </c>
      <c r="I388" s="18">
        <v>1068.32</v>
      </c>
      <c r="J388" s="24" t="s">
        <v>312</v>
      </c>
      <c r="K388" s="24" t="s">
        <v>312</v>
      </c>
      <c r="L388" s="56">
        <f t="shared" si="26"/>
        <v>51358.65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30.68+217.71+130.74+216.82+108.47+108.86</f>
        <v>813.28000000000009</v>
      </c>
      <c r="I392" s="18"/>
      <c r="J392" s="24" t="s">
        <v>312</v>
      </c>
      <c r="K392" s="24" t="s">
        <v>312</v>
      </c>
      <c r="L392" s="56">
        <f t="shared" si="26"/>
        <v>813.28000000000009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1103.6100000000001</v>
      </c>
      <c r="I393" s="47">
        <f>SUM(I387:I392)</f>
        <v>1068.32</v>
      </c>
      <c r="J393" s="45" t="s">
        <v>312</v>
      </c>
      <c r="K393" s="45" t="s">
        <v>312</v>
      </c>
      <c r="L393" s="47">
        <f>SUM(L387:L392)</f>
        <v>52171.93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1166.5800000000002</v>
      </c>
      <c r="I400" s="47">
        <f>I385+I393+I399</f>
        <v>1068.32</v>
      </c>
      <c r="J400" s="24" t="s">
        <v>312</v>
      </c>
      <c r="K400" s="24" t="s">
        <v>312</v>
      </c>
      <c r="L400" s="47">
        <f>L385+L393+L399</f>
        <v>52234.9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>
        <f>300+327.26</f>
        <v>627.26</v>
      </c>
      <c r="J418" s="18"/>
      <c r="K418" s="18"/>
      <c r="L418" s="56">
        <f t="shared" si="29"/>
        <v>627.26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627.26</v>
      </c>
      <c r="J419" s="47">
        <f t="shared" si="30"/>
        <v>0</v>
      </c>
      <c r="K419" s="47">
        <f t="shared" si="30"/>
        <v>0</v>
      </c>
      <c r="L419" s="47">
        <f t="shared" si="30"/>
        <v>627.26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627.26</v>
      </c>
      <c r="J426" s="47">
        <f t="shared" si="32"/>
        <v>0</v>
      </c>
      <c r="K426" s="47">
        <f t="shared" si="32"/>
        <v>0</v>
      </c>
      <c r="L426" s="47">
        <f t="shared" si="32"/>
        <v>627.26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36146.79+10030.29+4627.47</f>
        <v>50804.55</v>
      </c>
      <c r="G431" s="18">
        <f>25301.63+10441.03+6181.83+10199.7+5588.27+5060.02+111860.31+5221.85</f>
        <v>179854.64</v>
      </c>
      <c r="H431" s="18"/>
      <c r="I431" s="56">
        <f t="shared" ref="I431:I437" si="33">SUM(F431:H431)</f>
        <v>230659.19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50804.55</v>
      </c>
      <c r="G438" s="13">
        <f>SUM(G431:G437)</f>
        <v>179854.64</v>
      </c>
      <c r="H438" s="13">
        <f>SUM(H431:H437)</f>
        <v>0</v>
      </c>
      <c r="I438" s="13">
        <f>SUM(I431:I437)</f>
        <v>230659.19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50804.55</v>
      </c>
      <c r="G449" s="18">
        <v>179854.64</v>
      </c>
      <c r="H449" s="18"/>
      <c r="I449" s="56">
        <f>SUM(F449:H449)</f>
        <v>230659.19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50804.55</v>
      </c>
      <c r="G450" s="83">
        <f>SUM(G446:G449)</f>
        <v>179854.64</v>
      </c>
      <c r="H450" s="83">
        <f>SUM(H446:H449)</f>
        <v>0</v>
      </c>
      <c r="I450" s="83">
        <f>SUM(I446:I449)</f>
        <v>230659.19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50804.55</v>
      </c>
      <c r="G451" s="42">
        <f>G444+G450</f>
        <v>179854.64</v>
      </c>
      <c r="H451" s="42">
        <f>H444+H450</f>
        <v>0</v>
      </c>
      <c r="I451" s="42">
        <f>I444+I450</f>
        <v>230659.19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262562.62</v>
      </c>
      <c r="G455" s="18">
        <f>116964.39+22798.9</f>
        <v>139763.29</v>
      </c>
      <c r="H455" s="18"/>
      <c r="I455" s="18"/>
      <c r="J455" s="18">
        <v>179051.55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23021631.82</v>
      </c>
      <c r="G458" s="18">
        <v>840067.39</v>
      </c>
      <c r="H458" s="18">
        <v>761191.06</v>
      </c>
      <c r="I458" s="18"/>
      <c r="J458" s="18">
        <f>50000+1068.32+1166.58</f>
        <v>52234.9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23021631.82</v>
      </c>
      <c r="G460" s="53">
        <f>SUM(G458:G459)</f>
        <v>840067.39</v>
      </c>
      <c r="H460" s="53">
        <f>SUM(H458:H459)</f>
        <v>761191.06</v>
      </c>
      <c r="I460" s="53">
        <f>SUM(I458:I459)</f>
        <v>0</v>
      </c>
      <c r="J460" s="53">
        <f>SUM(J458:J459)</f>
        <v>52234.9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23116707.550000001</v>
      </c>
      <c r="G462" s="18">
        <v>833466.98</v>
      </c>
      <c r="H462" s="18">
        <v>761191.06</v>
      </c>
      <c r="I462" s="18"/>
      <c r="J462" s="18">
        <f>300+327.26</f>
        <v>627.26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23116707.550000001</v>
      </c>
      <c r="G464" s="53">
        <f>SUM(G462:G463)</f>
        <v>833466.98</v>
      </c>
      <c r="H464" s="53">
        <f>SUM(H462:H463)</f>
        <v>761191.06</v>
      </c>
      <c r="I464" s="53">
        <f>SUM(I462:I463)</f>
        <v>0</v>
      </c>
      <c r="J464" s="53">
        <f>SUM(J462:J463)</f>
        <v>627.26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167486.8900000006</v>
      </c>
      <c r="G466" s="53">
        <f>(G455+G460)- G464</f>
        <v>146363.70000000007</v>
      </c>
      <c r="H466" s="53">
        <f>(H455+H460)- H464</f>
        <v>0</v>
      </c>
      <c r="I466" s="53">
        <f>(I455+I460)- I464</f>
        <v>0</v>
      </c>
      <c r="J466" s="53">
        <f>(J455+J460)- J464</f>
        <v>230659.18999999997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10373000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1033000</v>
      </c>
      <c r="G485" s="18"/>
      <c r="H485" s="18"/>
      <c r="I485" s="18"/>
      <c r="J485" s="18"/>
      <c r="K485" s="53">
        <f>SUM(F485:J485)</f>
        <v>1033000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1033000</v>
      </c>
      <c r="G487" s="18"/>
      <c r="H487" s="18"/>
      <c r="I487" s="18"/>
      <c r="J487" s="18"/>
      <c r="K487" s="53">
        <f t="shared" si="34"/>
        <v>1033000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1713409.59</v>
      </c>
      <c r="G511" s="18">
        <v>733851.18</v>
      </c>
      <c r="H511" s="18">
        <v>524590</v>
      </c>
      <c r="I511" s="18">
        <v>11160.55</v>
      </c>
      <c r="J511" s="18">
        <v>6910.05</v>
      </c>
      <c r="K511" s="18">
        <v>10878.56</v>
      </c>
      <c r="L511" s="88">
        <f>SUM(F511:K511)</f>
        <v>3000799.9299999997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587146.59</v>
      </c>
      <c r="G513" s="18">
        <v>148214.6</v>
      </c>
      <c r="H513" s="18">
        <v>224824.29</v>
      </c>
      <c r="I513" s="18">
        <v>3549.59</v>
      </c>
      <c r="J513" s="18">
        <v>2107.44</v>
      </c>
      <c r="K513" s="18">
        <v>4662.24</v>
      </c>
      <c r="L513" s="88">
        <f>SUM(F513:K513)</f>
        <v>970504.74999999988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2300556.1800000002</v>
      </c>
      <c r="G514" s="108">
        <f t="shared" ref="G514:L514" si="35">SUM(G511:G513)</f>
        <v>882065.78</v>
      </c>
      <c r="H514" s="108">
        <f t="shared" si="35"/>
        <v>749414.29</v>
      </c>
      <c r="I514" s="108">
        <f t="shared" si="35"/>
        <v>14710.14</v>
      </c>
      <c r="J514" s="108">
        <f t="shared" si="35"/>
        <v>9017.49</v>
      </c>
      <c r="K514" s="108">
        <f t="shared" si="35"/>
        <v>15540.8</v>
      </c>
      <c r="L514" s="89">
        <f t="shared" si="35"/>
        <v>3971304.6799999997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696134.59</v>
      </c>
      <c r="G516" s="18">
        <v>339514.98</v>
      </c>
      <c r="H516" s="18">
        <v>394142.12</v>
      </c>
      <c r="I516" s="18">
        <v>36206.36</v>
      </c>
      <c r="J516" s="18">
        <v>15476.9</v>
      </c>
      <c r="K516" s="18">
        <v>0</v>
      </c>
      <c r="L516" s="88">
        <f>SUM(F516:K516)</f>
        <v>1481474.95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384194.21</v>
      </c>
      <c r="G518" s="18">
        <v>145506.42000000001</v>
      </c>
      <c r="H518" s="18">
        <v>149278.34</v>
      </c>
      <c r="I518" s="18">
        <v>13140.11</v>
      </c>
      <c r="J518" s="18">
        <v>5468.81</v>
      </c>
      <c r="K518" s="18">
        <v>0</v>
      </c>
      <c r="L518" s="88">
        <f>SUM(F518:K518)</f>
        <v>697587.89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1080328.8</v>
      </c>
      <c r="G519" s="89">
        <f t="shared" ref="G519:L519" si="36">SUM(G516:G518)</f>
        <v>485021.4</v>
      </c>
      <c r="H519" s="89">
        <f t="shared" si="36"/>
        <v>543420.46</v>
      </c>
      <c r="I519" s="89">
        <f t="shared" si="36"/>
        <v>49346.47</v>
      </c>
      <c r="J519" s="89">
        <f t="shared" si="36"/>
        <v>20945.71</v>
      </c>
      <c r="K519" s="89">
        <f t="shared" si="36"/>
        <v>0</v>
      </c>
      <c r="L519" s="89">
        <f t="shared" si="36"/>
        <v>2179062.84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114332.1</v>
      </c>
      <c r="G521" s="18">
        <v>48502.14</v>
      </c>
      <c r="H521" s="18">
        <v>1815.33</v>
      </c>
      <c r="I521" s="18">
        <v>2125.98</v>
      </c>
      <c r="J521" s="18">
        <v>0</v>
      </c>
      <c r="K521" s="18">
        <v>371</v>
      </c>
      <c r="L521" s="88">
        <f>SUM(F521:K521)</f>
        <v>167146.54999999999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21933.9</v>
      </c>
      <c r="G523" s="18">
        <v>97004.28</v>
      </c>
      <c r="H523" s="18">
        <v>457.22</v>
      </c>
      <c r="I523" s="18">
        <v>250.31</v>
      </c>
      <c r="J523" s="18">
        <v>0</v>
      </c>
      <c r="K523" s="18">
        <v>4755.66</v>
      </c>
      <c r="L523" s="88">
        <f>SUM(F523:K523)</f>
        <v>124401.37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136266</v>
      </c>
      <c r="G524" s="89">
        <f t="shared" ref="G524:L524" si="37">SUM(G521:G523)</f>
        <v>145506.41999999998</v>
      </c>
      <c r="H524" s="89">
        <f t="shared" si="37"/>
        <v>2272.5500000000002</v>
      </c>
      <c r="I524" s="89">
        <f t="shared" si="37"/>
        <v>2376.29</v>
      </c>
      <c r="J524" s="89">
        <f t="shared" si="37"/>
        <v>0</v>
      </c>
      <c r="K524" s="89">
        <f t="shared" si="37"/>
        <v>5126.66</v>
      </c>
      <c r="L524" s="89">
        <f t="shared" si="37"/>
        <v>291547.92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259899.56</v>
      </c>
      <c r="I531" s="18"/>
      <c r="J531" s="18"/>
      <c r="K531" s="18"/>
      <c r="L531" s="88">
        <f>SUM(F531:K531)</f>
        <v>259899.56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111385.52</v>
      </c>
      <c r="I533" s="18"/>
      <c r="J533" s="18"/>
      <c r="K533" s="18"/>
      <c r="L533" s="88">
        <f>SUM(F533:K533)</f>
        <v>111385.52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371285.08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371285.08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3517150.9800000004</v>
      </c>
      <c r="G535" s="89">
        <f t="shared" ref="G535:L535" si="40">G514+G519+G524+G529+G534</f>
        <v>1512593.6</v>
      </c>
      <c r="H535" s="89">
        <f t="shared" si="40"/>
        <v>1666392.3800000001</v>
      </c>
      <c r="I535" s="89">
        <f t="shared" si="40"/>
        <v>66432.899999999994</v>
      </c>
      <c r="J535" s="89">
        <f t="shared" si="40"/>
        <v>29963.199999999997</v>
      </c>
      <c r="K535" s="89">
        <f t="shared" si="40"/>
        <v>20667.46</v>
      </c>
      <c r="L535" s="89">
        <f t="shared" si="40"/>
        <v>6813200.5199999996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3000799.9299999997</v>
      </c>
      <c r="G539" s="87">
        <f>L516</f>
        <v>1481474.95</v>
      </c>
      <c r="H539" s="87">
        <f>L521</f>
        <v>167146.54999999999</v>
      </c>
      <c r="I539" s="87">
        <f>L526</f>
        <v>0</v>
      </c>
      <c r="J539" s="87">
        <f>L531</f>
        <v>259899.56</v>
      </c>
      <c r="K539" s="87">
        <f>SUM(F539:J539)</f>
        <v>4909320.9899999993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970504.74999999988</v>
      </c>
      <c r="G541" s="87">
        <f>L518</f>
        <v>697587.89</v>
      </c>
      <c r="H541" s="87">
        <f>L523</f>
        <v>124401.37</v>
      </c>
      <c r="I541" s="87">
        <f>L528</f>
        <v>0</v>
      </c>
      <c r="J541" s="87">
        <f>L533</f>
        <v>111385.52</v>
      </c>
      <c r="K541" s="87">
        <f>SUM(F541:J541)</f>
        <v>1903879.5299999998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3971304.6799999997</v>
      </c>
      <c r="G542" s="89">
        <f t="shared" si="41"/>
        <v>2179062.84</v>
      </c>
      <c r="H542" s="89">
        <f t="shared" si="41"/>
        <v>291547.92</v>
      </c>
      <c r="I542" s="89">
        <f t="shared" si="41"/>
        <v>0</v>
      </c>
      <c r="J542" s="89">
        <f t="shared" si="41"/>
        <v>371285.08</v>
      </c>
      <c r="K542" s="89">
        <f t="shared" si="41"/>
        <v>6813200.5199999996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/>
      <c r="H569" s="18">
        <v>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462749.78</v>
      </c>
      <c r="G572" s="18"/>
      <c r="H572" s="18">
        <v>115687.44</v>
      </c>
      <c r="I572" s="87">
        <f t="shared" si="46"/>
        <v>578437.22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23526.25</v>
      </c>
      <c r="I573" s="87">
        <f t="shared" si="46"/>
        <v>23526.25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43913.13</v>
      </c>
      <c r="I574" s="87">
        <f t="shared" si="46"/>
        <v>43913.13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421968.4</v>
      </c>
      <c r="I581" s="18"/>
      <c r="J581" s="18">
        <v>180843.6</v>
      </c>
      <c r="K581" s="104">
        <f t="shared" ref="K581:K587" si="47">SUM(H581:J581)</f>
        <v>602812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259899.56</v>
      </c>
      <c r="I582" s="18"/>
      <c r="J582" s="18">
        <v>111385.52</v>
      </c>
      <c r="K582" s="104">
        <f t="shared" si="47"/>
        <v>371285.08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129466.5</v>
      </c>
      <c r="K583" s="104">
        <f t="shared" si="47"/>
        <v>129466.5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17262.2</v>
      </c>
      <c r="I585" s="18"/>
      <c r="J585" s="18">
        <v>65382.7</v>
      </c>
      <c r="K585" s="104">
        <f t="shared" si="47"/>
        <v>82644.899999999994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699130.15999999992</v>
      </c>
      <c r="I588" s="108">
        <f>SUM(I581:I587)</f>
        <v>0</v>
      </c>
      <c r="J588" s="108">
        <f>SUM(J581:J587)</f>
        <v>487078.32</v>
      </c>
      <c r="K588" s="108">
        <f>SUM(K581:K587)</f>
        <v>1186208.48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138838.79</v>
      </c>
      <c r="I594" s="18"/>
      <c r="J594" s="18">
        <v>51537.29</v>
      </c>
      <c r="K594" s="104">
        <f>SUM(H594:J594)</f>
        <v>190376.08000000002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138838.79</v>
      </c>
      <c r="I595" s="108">
        <f>SUM(I592:I594)</f>
        <v>0</v>
      </c>
      <c r="J595" s="108">
        <f>SUM(J592:J594)</f>
        <v>51537.29</v>
      </c>
      <c r="K595" s="108">
        <f>SUM(K592:K594)</f>
        <v>190376.08000000002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66601.899999999994</v>
      </c>
      <c r="G601" s="18">
        <v>0</v>
      </c>
      <c r="H601" s="18">
        <v>0</v>
      </c>
      <c r="I601" s="18">
        <v>177</v>
      </c>
      <c r="J601" s="18">
        <v>0</v>
      </c>
      <c r="K601" s="18">
        <v>0</v>
      </c>
      <c r="L601" s="88">
        <f>SUM(F601:K601)</f>
        <v>66778.899999999994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22611.82</v>
      </c>
      <c r="G603" s="18">
        <v>0</v>
      </c>
      <c r="H603" s="18">
        <v>0</v>
      </c>
      <c r="I603" s="18">
        <v>75.86</v>
      </c>
      <c r="J603" s="18">
        <v>0</v>
      </c>
      <c r="K603" s="18">
        <v>0</v>
      </c>
      <c r="L603" s="88">
        <f>SUM(F603:K603)</f>
        <v>22687.68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89213.72</v>
      </c>
      <c r="G604" s="108">
        <f t="shared" si="48"/>
        <v>0</v>
      </c>
      <c r="H604" s="108">
        <f t="shared" si="48"/>
        <v>0</v>
      </c>
      <c r="I604" s="108">
        <f t="shared" si="48"/>
        <v>252.86</v>
      </c>
      <c r="J604" s="108">
        <f t="shared" si="48"/>
        <v>0</v>
      </c>
      <c r="K604" s="108">
        <f t="shared" si="48"/>
        <v>0</v>
      </c>
      <c r="L604" s="89">
        <f t="shared" si="48"/>
        <v>89466.579999999987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816582.43</v>
      </c>
      <c r="H607" s="109">
        <f>SUM(F44)</f>
        <v>816582.43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161012.59</v>
      </c>
      <c r="H608" s="109">
        <f>SUM(G44)</f>
        <v>161012.59000000003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271274.57</v>
      </c>
      <c r="H609" s="109">
        <f>SUM(H44)</f>
        <v>271274.57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230659.19</v>
      </c>
      <c r="H611" s="109">
        <f>SUM(J44)</f>
        <v>230659.19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167486.89000000001</v>
      </c>
      <c r="H612" s="109">
        <f>F466</f>
        <v>167486.8900000006</v>
      </c>
      <c r="I612" s="121" t="s">
        <v>106</v>
      </c>
      <c r="J612" s="109">
        <f t="shared" ref="J612:J645" si="49">G612-H612</f>
        <v>-5.8207660913467407E-10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146363.70000000001</v>
      </c>
      <c r="H613" s="109">
        <f>G466</f>
        <v>146363.70000000007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230659.19</v>
      </c>
      <c r="H616" s="109">
        <f>J466</f>
        <v>230659.18999999997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23021631.819999997</v>
      </c>
      <c r="H617" s="104">
        <f>SUM(F458)</f>
        <v>23021631.82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840067.3899999999</v>
      </c>
      <c r="H618" s="104">
        <f>SUM(G458)</f>
        <v>840067.39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761191.06</v>
      </c>
      <c r="H619" s="104">
        <f>SUM(H458)</f>
        <v>761191.06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52234.9</v>
      </c>
      <c r="H621" s="104">
        <f>SUM(J458)</f>
        <v>52234.9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23116707.550000001</v>
      </c>
      <c r="H622" s="104">
        <f>SUM(F462)</f>
        <v>23116707.550000001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761191.05999999994</v>
      </c>
      <c r="H623" s="104">
        <f>SUM(H462)</f>
        <v>761191.06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410671.3</v>
      </c>
      <c r="H624" s="104">
        <f>I361</f>
        <v>410671.3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833466.98</v>
      </c>
      <c r="H625" s="104">
        <f>SUM(G462)</f>
        <v>833466.98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52234.9</v>
      </c>
      <c r="H627" s="164">
        <f>SUM(J458)</f>
        <v>52234.9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627.26</v>
      </c>
      <c r="H628" s="164">
        <f>SUM(J462)</f>
        <v>627.26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50804.55</v>
      </c>
      <c r="H629" s="104">
        <f>SUM(F451)</f>
        <v>50804.55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179854.64</v>
      </c>
      <c r="H630" s="104">
        <f>SUM(G451)</f>
        <v>179854.64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230659.19</v>
      </c>
      <c r="H632" s="104">
        <f>SUM(I451)</f>
        <v>230659.19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1166.58</v>
      </c>
      <c r="H634" s="104">
        <f>H400</f>
        <v>1166.5800000000002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52234.9</v>
      </c>
      <c r="H636" s="104">
        <f>L400</f>
        <v>52234.9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1186208.48</v>
      </c>
      <c r="H637" s="104">
        <f>L200+L218+L236</f>
        <v>1186208.48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190376.08000000002</v>
      </c>
      <c r="H638" s="104">
        <f>(J249+J330)-(J247+J328)</f>
        <v>190376.08000000002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699130.15999999992</v>
      </c>
      <c r="H639" s="104">
        <f>H588</f>
        <v>699130.15999999992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487078.32</v>
      </c>
      <c r="H641" s="104">
        <f>J588</f>
        <v>487078.32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15329903.6</v>
      </c>
      <c r="G650" s="19">
        <f>(L221+L301+L351)</f>
        <v>0</v>
      </c>
      <c r="H650" s="19">
        <f>(L239+L320+L352)</f>
        <v>8023856.1900000004</v>
      </c>
      <c r="I650" s="19">
        <f>SUM(F650:H650)</f>
        <v>23353759.789999999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467847.46892681741</v>
      </c>
      <c r="G651" s="19">
        <f>(L351/IF(SUM(L350:L352)=0,1,SUM(L350:L352))*(SUM(G89:G102)))</f>
        <v>0</v>
      </c>
      <c r="H651" s="19">
        <f>(L352/IF(SUM(L350:L352)=0,1,SUM(L350:L352))*(SUM(G89:G102)))</f>
        <v>199309.9710731825</v>
      </c>
      <c r="I651" s="19">
        <f>SUM(F651:H651)</f>
        <v>667157.43999999994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699130.15999999992</v>
      </c>
      <c r="G652" s="19">
        <f>(L218+L298)-(J218+J298)</f>
        <v>0</v>
      </c>
      <c r="H652" s="19">
        <f>(L236+L317)-(J236+J317)</f>
        <v>487078.32</v>
      </c>
      <c r="I652" s="19">
        <f>SUM(F652:H652)</f>
        <v>1186208.48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668367.47000000009</v>
      </c>
      <c r="G653" s="200">
        <f>SUM(G565:G577)+SUM(I592:I594)+L602</f>
        <v>0</v>
      </c>
      <c r="H653" s="200">
        <f>SUM(H565:H577)+SUM(J592:J594)+L603</f>
        <v>257351.79</v>
      </c>
      <c r="I653" s="19">
        <f>SUM(F653:H653)</f>
        <v>925719.26000000013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13494558.501073182</v>
      </c>
      <c r="G654" s="19">
        <f>G650-SUM(G651:G653)</f>
        <v>0</v>
      </c>
      <c r="H654" s="19">
        <f>H650-SUM(H651:H653)</f>
        <v>7080116.1089268178</v>
      </c>
      <c r="I654" s="19">
        <f>I650-SUM(I651:I653)</f>
        <v>20574674.609999999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1441.45</v>
      </c>
      <c r="G655" s="249"/>
      <c r="H655" s="249">
        <v>606.91999999999996</v>
      </c>
      <c r="I655" s="19">
        <f>SUM(F655:H655)</f>
        <v>2048.37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9361.7900000000009</v>
      </c>
      <c r="G657" s="19" t="e">
        <f>ROUND(G654/G655,2)</f>
        <v>#DIV/0!</v>
      </c>
      <c r="H657" s="19">
        <f>ROUND(H654/H655,2)</f>
        <v>11665.65</v>
      </c>
      <c r="I657" s="19">
        <f>ROUND(I654/I655,2)</f>
        <v>10044.41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-16.57</v>
      </c>
      <c r="I660" s="19">
        <f>SUM(F660:H660)</f>
        <v>-16.57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9361.7900000000009</v>
      </c>
      <c r="G662" s="19" t="e">
        <f>ROUND((G654+G659)/(G655+G660),2)</f>
        <v>#DIV/0!</v>
      </c>
      <c r="H662" s="19">
        <f>ROUND((H654+H659)/(H655+H660),2)</f>
        <v>11993.08</v>
      </c>
      <c r="I662" s="19">
        <f>ROUND((I654+I659)/(I655+I660),2)</f>
        <v>10126.33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3D6B-7A2B-4339-AB11-A1705E170898}">
  <sheetPr>
    <tabColor indexed="20"/>
  </sheetPr>
  <dimension ref="A1:C52"/>
  <sheetViews>
    <sheetView workbookViewId="0">
      <selection activeCell="F483" sqref="F48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Pelham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6275862.3000000007</v>
      </c>
      <c r="C9" s="230">
        <f>'DOE25'!G189+'DOE25'!G207+'DOE25'!G225+'DOE25'!G268+'DOE25'!G287+'DOE25'!G306</f>
        <v>2683742.2300000004</v>
      </c>
    </row>
    <row r="10" spans="1:3" x14ac:dyDescent="0.2">
      <c r="A10" t="s">
        <v>810</v>
      </c>
      <c r="B10" s="241">
        <v>5848546.8899999997</v>
      </c>
      <c r="C10" s="241">
        <f>2683742.23*0.93</f>
        <v>2495880.2738999999</v>
      </c>
    </row>
    <row r="11" spans="1:3" x14ac:dyDescent="0.2">
      <c r="A11" t="s">
        <v>811</v>
      </c>
      <c r="B11" s="241">
        <v>163466.70000000001</v>
      </c>
      <c r="C11" s="241">
        <f>2683742.23*0.03</f>
        <v>80512.266900000002</v>
      </c>
    </row>
    <row r="12" spans="1:3" x14ac:dyDescent="0.2">
      <c r="A12" t="s">
        <v>812</v>
      </c>
      <c r="B12" s="241">
        <v>263848.71000000002</v>
      </c>
      <c r="C12" s="241">
        <f>2683742.23*0.04</f>
        <v>107349.68920000001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6275862.2999999998</v>
      </c>
      <c r="C13" s="232">
        <f>SUM(C10:C12)</f>
        <v>2683742.23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2633768.4700000002</v>
      </c>
      <c r="C18" s="230">
        <f>'DOE25'!G190+'DOE25'!G208+'DOE25'!G226+'DOE25'!G269+'DOE25'!G288+'DOE25'!G307</f>
        <v>1026928.14</v>
      </c>
    </row>
    <row r="19" spans="1:3" x14ac:dyDescent="0.2">
      <c r="A19" t="s">
        <v>810</v>
      </c>
      <c r="B19" s="241">
        <v>892678.67</v>
      </c>
      <c r="C19" s="241">
        <f>1026928.14*0.34</f>
        <v>349155.56760000001</v>
      </c>
    </row>
    <row r="20" spans="1:3" x14ac:dyDescent="0.2">
      <c r="A20" t="s">
        <v>811</v>
      </c>
      <c r="B20" s="241">
        <v>1336403.67</v>
      </c>
      <c r="C20" s="241">
        <f>1026928.14*0.51</f>
        <v>523733.35140000004</v>
      </c>
    </row>
    <row r="21" spans="1:3" x14ac:dyDescent="0.2">
      <c r="A21" t="s">
        <v>812</v>
      </c>
      <c r="B21" s="241">
        <v>404686.13</v>
      </c>
      <c r="C21" s="241">
        <f>1026928.14*0.15</f>
        <v>154039.22099999999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2633768.4699999997</v>
      </c>
      <c r="C22" s="232">
        <f>SUM(C19:C21)</f>
        <v>1026928.14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268249.96000000002</v>
      </c>
      <c r="C36" s="236">
        <f>'DOE25'!G192+'DOE25'!G210+'DOE25'!G228+'DOE25'!G271+'DOE25'!G290+'DOE25'!G309</f>
        <v>98472.4</v>
      </c>
    </row>
    <row r="37" spans="1:3" x14ac:dyDescent="0.2">
      <c r="A37" t="s">
        <v>810</v>
      </c>
      <c r="B37" s="241">
        <v>268249.96000000002</v>
      </c>
      <c r="C37" s="241">
        <v>98472.4</v>
      </c>
    </row>
    <row r="38" spans="1:3" x14ac:dyDescent="0.2">
      <c r="A38" t="s">
        <v>811</v>
      </c>
      <c r="B38" s="241">
        <v>0</v>
      </c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268249.96000000002</v>
      </c>
      <c r="C40" s="232">
        <f>SUM(C37:C39)</f>
        <v>98472.4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BFCE-7858-4247-AB51-7D5E06118146}">
  <sheetPr>
    <tabColor indexed="11"/>
  </sheetPr>
  <dimension ref="A1:I51"/>
  <sheetViews>
    <sheetView workbookViewId="0">
      <pane ySplit="4" topLeftCell="A5" activePane="bottomLeft" state="frozen"/>
      <selection activeCell="F483" sqref="F483"/>
      <selection pane="bottomLeft" activeCell="F483" sqref="F48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Pelham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13911414.49</v>
      </c>
      <c r="D5" s="20">
        <f>SUM('DOE25'!L189:L192)+SUM('DOE25'!L207:L210)+SUM('DOE25'!L225:L228)-F5-G5</f>
        <v>13833711.520000001</v>
      </c>
      <c r="E5" s="244"/>
      <c r="F5" s="256">
        <f>SUM('DOE25'!J189:J192)+SUM('DOE25'!J207:J210)+SUM('DOE25'!J225:J228)</f>
        <v>53246.37000000001</v>
      </c>
      <c r="G5" s="53">
        <f>SUM('DOE25'!K189:K192)+SUM('DOE25'!K207:K210)+SUM('DOE25'!K225:K228)</f>
        <v>24456.6</v>
      </c>
      <c r="H5" s="260"/>
    </row>
    <row r="6" spans="1:9" x14ac:dyDescent="0.2">
      <c r="A6" s="32">
        <v>2100</v>
      </c>
      <c r="B6" t="s">
        <v>832</v>
      </c>
      <c r="C6" s="246">
        <f t="shared" si="0"/>
        <v>2130560.6999999997</v>
      </c>
      <c r="D6" s="20">
        <f>'DOE25'!L194+'DOE25'!L212+'DOE25'!L230-F6-G6</f>
        <v>2109614.9899999998</v>
      </c>
      <c r="E6" s="244"/>
      <c r="F6" s="256">
        <f>'DOE25'!J194+'DOE25'!J212+'DOE25'!J230</f>
        <v>20945.71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585051.67999999993</v>
      </c>
      <c r="D7" s="20">
        <f>'DOE25'!L195+'DOE25'!L213+'DOE25'!L231-F7-G7</f>
        <v>470245.67999999993</v>
      </c>
      <c r="E7" s="244"/>
      <c r="F7" s="256">
        <f>'DOE25'!J195+'DOE25'!J213+'DOE25'!J231</f>
        <v>114806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756971.88840000005</v>
      </c>
      <c r="D8" s="244"/>
      <c r="E8" s="20">
        <f>'DOE25'!L196+'DOE25'!L214+'DOE25'!L232-F8-G8-D9-D11</f>
        <v>741119.6884000001</v>
      </c>
      <c r="F8" s="256">
        <f>'DOE25'!J196+'DOE25'!J214+'DOE25'!J232</f>
        <v>0</v>
      </c>
      <c r="G8" s="53">
        <f>'DOE25'!K196+'DOE25'!K214+'DOE25'!K232</f>
        <v>15852.2</v>
      </c>
      <c r="H8" s="260"/>
    </row>
    <row r="9" spans="1:9" x14ac:dyDescent="0.2">
      <c r="A9" s="32">
        <v>2310</v>
      </c>
      <c r="B9" t="s">
        <v>849</v>
      </c>
      <c r="C9" s="246">
        <f t="shared" si="0"/>
        <v>26945.89</v>
      </c>
      <c r="D9" s="245">
        <v>26945.89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18500</v>
      </c>
      <c r="D10" s="244"/>
      <c r="E10" s="245">
        <v>18500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170205.3216</v>
      </c>
      <c r="D11" s="245">
        <f>354594.42*0.48</f>
        <v>170205.3216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1146849.6099999999</v>
      </c>
      <c r="D12" s="20">
        <f>'DOE25'!L197+'DOE25'!L215+'DOE25'!L233-F12-G12</f>
        <v>1131139.98</v>
      </c>
      <c r="E12" s="244"/>
      <c r="F12" s="256">
        <f>'DOE25'!J197+'DOE25'!J215+'DOE25'!J233</f>
        <v>0</v>
      </c>
      <c r="G12" s="53">
        <f>'DOE25'!K197+'DOE25'!K215+'DOE25'!K233</f>
        <v>15709.63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1794499.6900000002</v>
      </c>
      <c r="D14" s="20">
        <f>'DOE25'!L199+'DOE25'!L217+'DOE25'!L235-F14-G14</f>
        <v>1793121.6900000002</v>
      </c>
      <c r="E14" s="244"/>
      <c r="F14" s="256">
        <f>'DOE25'!J199+'DOE25'!J217+'DOE25'!J235</f>
        <v>1378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1186208.48</v>
      </c>
      <c r="D15" s="20">
        <f>'DOE25'!L200+'DOE25'!L218+'DOE25'!L236-F15-G15</f>
        <v>1186208.48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50394</v>
      </c>
      <c r="D16" s="244"/>
      <c r="E16" s="20">
        <f>'DOE25'!L201+'DOE25'!L219+'DOE25'!L237-F16-G16</f>
        <v>50394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248780.79999999999</v>
      </c>
      <c r="D22" s="244"/>
      <c r="E22" s="244"/>
      <c r="F22" s="256">
        <f>'DOE25'!L247+'DOE25'!L328</f>
        <v>248780.79999999999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1058825</v>
      </c>
      <c r="D25" s="244"/>
      <c r="E25" s="244"/>
      <c r="F25" s="259"/>
      <c r="G25" s="257"/>
      <c r="H25" s="258">
        <f>'DOE25'!L252+'DOE25'!L253+'DOE25'!L333+'DOE25'!L334</f>
        <v>1058825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447149.16000000003</v>
      </c>
      <c r="D29" s="20">
        <f>'DOE25'!L350+'DOE25'!L351+'DOE25'!L352-'DOE25'!I359-F29-G29</f>
        <v>435336.13</v>
      </c>
      <c r="E29" s="244"/>
      <c r="F29" s="256">
        <f>'DOE25'!J350+'DOE25'!J351+'DOE25'!J352</f>
        <v>11323.779999999999</v>
      </c>
      <c r="G29" s="53">
        <f>'DOE25'!K350+'DOE25'!K351+'DOE25'!K352</f>
        <v>489.25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761191.05999999994</v>
      </c>
      <c r="D31" s="20">
        <f>'DOE25'!L282+'DOE25'!L301+'DOE25'!L320+'DOE25'!L325+'DOE25'!L326+'DOE25'!L327-F31-G31</f>
        <v>761191.05999999994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21917720.741599999</v>
      </c>
      <c r="E33" s="247">
        <f>SUM(E5:E31)</f>
        <v>810013.6884000001</v>
      </c>
      <c r="F33" s="247">
        <f>SUM(F5:F31)</f>
        <v>450480.66000000003</v>
      </c>
      <c r="G33" s="247">
        <f>SUM(G5:G31)</f>
        <v>56507.68</v>
      </c>
      <c r="H33" s="247">
        <f>SUM(H5:H31)</f>
        <v>1058825</v>
      </c>
    </row>
    <row r="35" spans="2:8" ht="12" thickBot="1" x14ac:dyDescent="0.25">
      <c r="B35" s="254" t="s">
        <v>878</v>
      </c>
      <c r="D35" s="255">
        <f>E33</f>
        <v>810013.6884000001</v>
      </c>
      <c r="E35" s="250"/>
    </row>
    <row r="36" spans="2:8" ht="12" thickTop="1" x14ac:dyDescent="0.2">
      <c r="B36" t="s">
        <v>846</v>
      </c>
      <c r="D36" s="20">
        <f>D33</f>
        <v>21917720.741599999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2706-375C-4FC4-921D-49E9D0D9D8F0}">
  <sheetPr transitionEvaluation="1" codeName="Sheet2">
    <tabColor indexed="10"/>
  </sheetPr>
  <dimension ref="A1:I156"/>
  <sheetViews>
    <sheetView zoomScale="75" workbookViewId="0">
      <pane ySplit="2" topLeftCell="A2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653857.05000000005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230659.19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142896.65</v>
      </c>
      <c r="D12" s="95">
        <f>'DOE25'!G12</f>
        <v>126683.72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18392.25</v>
      </c>
      <c r="D13" s="95">
        <f>'DOE25'!G13</f>
        <v>10297.68</v>
      </c>
      <c r="E13" s="95">
        <f>'DOE25'!H13</f>
        <v>271274.57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1436.48</v>
      </c>
      <c r="D14" s="95">
        <f>'DOE25'!G14</f>
        <v>1232.29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22798.9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816582.43</v>
      </c>
      <c r="D19" s="41">
        <f>SUM(D9:D18)</f>
        <v>161012.59</v>
      </c>
      <c r="E19" s="41">
        <f>SUM(E9:E18)</f>
        <v>271274.57</v>
      </c>
      <c r="F19" s="41">
        <f>SUM(F9:F18)</f>
        <v>0</v>
      </c>
      <c r="G19" s="41">
        <f>SUM(G9:G18)</f>
        <v>230659.19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271274.57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100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10672.78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638322.76</v>
      </c>
      <c r="D30" s="95">
        <f>'DOE25'!G31</f>
        <v>14648.89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649095.54</v>
      </c>
      <c r="D32" s="41">
        <f>SUM(D22:D31)</f>
        <v>14648.89</v>
      </c>
      <c r="E32" s="41">
        <f>SUM(E22:E31)</f>
        <v>271274.57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50000</v>
      </c>
      <c r="D40" s="95">
        <f>'DOE25'!G41</f>
        <v>146363.70000000001</v>
      </c>
      <c r="E40" s="95">
        <f>'DOE25'!H41</f>
        <v>0</v>
      </c>
      <c r="F40" s="95">
        <f>'DOE25'!I41</f>
        <v>0</v>
      </c>
      <c r="G40" s="95">
        <f>'DOE25'!J41</f>
        <v>230659.19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117486.89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167486.89000000001</v>
      </c>
      <c r="D42" s="41">
        <f>SUM(D34:D41)</f>
        <v>146363.70000000001</v>
      </c>
      <c r="E42" s="41">
        <f>SUM(E34:E41)</f>
        <v>0</v>
      </c>
      <c r="F42" s="41">
        <f>SUM(F34:F41)</f>
        <v>0</v>
      </c>
      <c r="G42" s="41">
        <f>SUM(G34:G41)</f>
        <v>230659.19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816582.43</v>
      </c>
      <c r="D43" s="41">
        <f>D42+D32</f>
        <v>161012.59000000003</v>
      </c>
      <c r="E43" s="41">
        <f>E42+E32</f>
        <v>271274.57</v>
      </c>
      <c r="F43" s="41">
        <f>F42+F32</f>
        <v>0</v>
      </c>
      <c r="G43" s="41">
        <f>G42+G32</f>
        <v>230659.19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14090163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34870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2419.9699999999998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1166.58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658857.31999999995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877009.48</v>
      </c>
      <c r="D53" s="95">
        <f>SUM('DOE25'!G90:G102)</f>
        <v>8300.1200000000008</v>
      </c>
      <c r="E53" s="95">
        <f>SUM('DOE25'!H90:H102)</f>
        <v>0</v>
      </c>
      <c r="F53" s="95">
        <f>SUM('DOE25'!I90:I102)</f>
        <v>0</v>
      </c>
      <c r="G53" s="95">
        <f>SUM('DOE25'!J90:J102)</f>
        <v>1068.32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914299.45</v>
      </c>
      <c r="D54" s="130">
        <f>SUM(D49:D53)</f>
        <v>667157.43999999994</v>
      </c>
      <c r="E54" s="130">
        <f>SUM(E49:E53)</f>
        <v>0</v>
      </c>
      <c r="F54" s="130">
        <f>SUM(F49:F53)</f>
        <v>0</v>
      </c>
      <c r="G54" s="130">
        <f>SUM(G49:G53)</f>
        <v>2234.8999999999996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15004462.449999999</v>
      </c>
      <c r="D55" s="22">
        <f>D48+D54</f>
        <v>667157.43999999994</v>
      </c>
      <c r="E55" s="22">
        <f>E48+E54</f>
        <v>0</v>
      </c>
      <c r="F55" s="22">
        <f>F48+F54</f>
        <v>0</v>
      </c>
      <c r="G55" s="22">
        <f>G48+G54</f>
        <v>2234.8999999999996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3464204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3450734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125646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45614.71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7040584</v>
      </c>
      <c r="D62" s="139">
        <f>D61</f>
        <v>45614.71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309900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154050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124200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267086.61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11526.45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12000</v>
      </c>
      <c r="D69" s="95">
        <f>SUM('DOE25'!G123:G127)</f>
        <v>10611.86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878763.05999999994</v>
      </c>
      <c r="D70" s="130">
        <f>SUM(D64:D69)</f>
        <v>10611.86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7919347.0599999996</v>
      </c>
      <c r="D73" s="130">
        <f>SUM(D71:D72)+D70+D62</f>
        <v>56226.57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97822.31</v>
      </c>
      <c r="D80" s="95">
        <f>SUM('DOE25'!G145:G153)</f>
        <v>116683.38</v>
      </c>
      <c r="E80" s="95">
        <f>SUM('DOE25'!H145:H153)</f>
        <v>761191.06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97822.31</v>
      </c>
      <c r="D83" s="131">
        <f>SUM(D77:D82)</f>
        <v>116683.38</v>
      </c>
      <c r="E83" s="131">
        <f>SUM(E77:E82)</f>
        <v>761191.06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23021631.819999997</v>
      </c>
      <c r="D96" s="86">
        <f>D55+D73+D83+D95</f>
        <v>840067.3899999999</v>
      </c>
      <c r="E96" s="86">
        <f>E55+E73+E83+E95</f>
        <v>761191.06</v>
      </c>
      <c r="F96" s="86">
        <f>F55+F73+F83+F95</f>
        <v>0</v>
      </c>
      <c r="G96" s="86">
        <f>G55+G73+G95</f>
        <v>52234.9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9304913.7699999996</v>
      </c>
      <c r="D101" s="24" t="s">
        <v>312</v>
      </c>
      <c r="E101" s="95">
        <f>('DOE25'!L268)+('DOE25'!L287)+('DOE25'!L306)</f>
        <v>170167.32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4068308.96</v>
      </c>
      <c r="D102" s="24" t="s">
        <v>312</v>
      </c>
      <c r="E102" s="95">
        <f>('DOE25'!L269)+('DOE25'!L288)+('DOE25'!L307)</f>
        <v>474170.64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43913.13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494278.62999999995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13911414.490000002</v>
      </c>
      <c r="D107" s="86">
        <f>SUM(D101:D106)</f>
        <v>0</v>
      </c>
      <c r="E107" s="86">
        <f>SUM(E101:E106)</f>
        <v>644337.96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2130560.6999999997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585051.67999999993</v>
      </c>
      <c r="D111" s="24" t="s">
        <v>312</v>
      </c>
      <c r="E111" s="95">
        <f>+('DOE25'!L274)+('DOE25'!L293)+('DOE25'!L312)</f>
        <v>42875.1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954123.10000000009</v>
      </c>
      <c r="D112" s="24" t="s">
        <v>312</v>
      </c>
      <c r="E112" s="95">
        <f>+('DOE25'!L275)+('DOE25'!L294)+('DOE25'!L313)</f>
        <v>73978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1146849.6099999999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1794499.6900000002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1186208.48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50394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833466.98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7847687.2599999998</v>
      </c>
      <c r="D120" s="86">
        <f>SUM(D110:D119)</f>
        <v>833466.98</v>
      </c>
      <c r="E120" s="86">
        <f>SUM(E110:E119)</f>
        <v>116853.1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248780.79999999999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1033000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25825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62.97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52171.93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-2234.9000000000015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1357605.8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23116707.550000001</v>
      </c>
      <c r="D137" s="86">
        <f>(D107+D120+D136)</f>
        <v>833466.98</v>
      </c>
      <c r="E137" s="86">
        <f>(E107+E120+E136)</f>
        <v>761191.05999999994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10373000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1033000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1033000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1033000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1033000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93B0-8ED4-4734-BE6D-A3FBF86DD4FB}">
  <sheetPr codeName="Sheet3">
    <tabColor indexed="43"/>
  </sheetPr>
  <dimension ref="A1:D42"/>
  <sheetViews>
    <sheetView topLeftCell="A10" workbookViewId="0">
      <selection activeCell="F483" sqref="F48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Pelham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9362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11993</v>
      </c>
    </row>
    <row r="7" spans="1:4" x14ac:dyDescent="0.2">
      <c r="B7" t="s">
        <v>736</v>
      </c>
      <c r="C7" s="179">
        <f>IF('DOE25'!I655+'DOE25'!I660=0,0,ROUND('DOE25'!I662,0))</f>
        <v>10126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9475081</v>
      </c>
      <c r="D10" s="182">
        <f>ROUND((C10/$C$28)*100,1)</f>
        <v>41.7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4542480</v>
      </c>
      <c r="D11" s="182">
        <f>ROUND((C11/$C$28)*100,1)</f>
        <v>20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43913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494279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2130561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627927</v>
      </c>
      <c r="D16" s="182">
        <f t="shared" si="0"/>
        <v>2.8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1078495</v>
      </c>
      <c r="D17" s="182">
        <f t="shared" si="0"/>
        <v>4.7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1146850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1794500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1186208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25825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166309.56000000006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22712428.559999999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248781</v>
      </c>
    </row>
    <row r="30" spans="1:4" x14ac:dyDescent="0.2">
      <c r="B30" s="187" t="s">
        <v>760</v>
      </c>
      <c r="C30" s="180">
        <f>SUM(C28:C29)</f>
        <v>22961209.559999999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1033000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14090163</v>
      </c>
      <c r="D35" s="182">
        <f t="shared" ref="D35:D40" si="1">ROUND((C35/$C$41)*100,1)</f>
        <v>58.8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916534.34999999963</v>
      </c>
      <c r="D36" s="182">
        <f t="shared" si="1"/>
        <v>3.8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7040584</v>
      </c>
      <c r="D37" s="182">
        <f t="shared" si="1"/>
        <v>29.4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934990</v>
      </c>
      <c r="D38" s="182">
        <f t="shared" si="1"/>
        <v>3.9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975697</v>
      </c>
      <c r="D39" s="182">
        <f t="shared" si="1"/>
        <v>4.0999999999999996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23957968.350000001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9DBE-69EB-432C-998C-E1E727D2AFF4}">
  <sheetPr>
    <tabColor indexed="17"/>
  </sheetPr>
  <dimension ref="A1:IV90"/>
  <sheetViews>
    <sheetView workbookViewId="0">
      <pane ySplit="3" topLeftCell="A4" activePane="bottomLeft" state="frozen"/>
      <selection activeCell="F483" sqref="F483"/>
      <selection pane="bottomLeft" activeCell="F483" sqref="F48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Pelham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1</v>
      </c>
      <c r="C4" s="281" t="s">
        <v>894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895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4" t="s">
        <v>879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78:M78"/>
    <mergeCell ref="C79:M79"/>
    <mergeCell ref="C82:M82"/>
    <mergeCell ref="C88:M88"/>
    <mergeCell ref="C83:M83"/>
    <mergeCell ref="C84:M84"/>
    <mergeCell ref="C85:M85"/>
    <mergeCell ref="C75:M75"/>
    <mergeCell ref="C76:M76"/>
    <mergeCell ref="C86:M86"/>
    <mergeCell ref="C87:M87"/>
    <mergeCell ref="C77:M77"/>
    <mergeCell ref="C70:M70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59:M59"/>
    <mergeCell ref="A72:E72"/>
    <mergeCell ref="C73:M73"/>
    <mergeCell ref="C74:M74"/>
    <mergeCell ref="C62:M62"/>
    <mergeCell ref="C63:M63"/>
    <mergeCell ref="C64:M64"/>
    <mergeCell ref="C67:M67"/>
    <mergeCell ref="C68:M68"/>
    <mergeCell ref="C69:M69"/>
    <mergeCell ref="C34:M34"/>
    <mergeCell ref="C65:M65"/>
    <mergeCell ref="C66:M66"/>
    <mergeCell ref="C53:M53"/>
    <mergeCell ref="C54:M54"/>
    <mergeCell ref="C55:M55"/>
    <mergeCell ref="C56:M56"/>
    <mergeCell ref="C61:M61"/>
    <mergeCell ref="C60:M60"/>
    <mergeCell ref="C58:M58"/>
    <mergeCell ref="C57:M57"/>
    <mergeCell ref="C36:M36"/>
    <mergeCell ref="C43:M43"/>
    <mergeCell ref="C52:M52"/>
    <mergeCell ref="C44:M44"/>
    <mergeCell ref="C42:M42"/>
    <mergeCell ref="C18:M18"/>
    <mergeCell ref="C19:M19"/>
    <mergeCell ref="C24:M24"/>
    <mergeCell ref="C28:M28"/>
    <mergeCell ref="C21:M21"/>
    <mergeCell ref="C22:M22"/>
    <mergeCell ref="C23:M23"/>
    <mergeCell ref="A2:E2"/>
    <mergeCell ref="A1:I1"/>
    <mergeCell ref="C3:M3"/>
    <mergeCell ref="C4:M4"/>
    <mergeCell ref="F2:I2"/>
    <mergeCell ref="C35:M35"/>
    <mergeCell ref="C14:M14"/>
    <mergeCell ref="C15:M15"/>
    <mergeCell ref="C16:M16"/>
    <mergeCell ref="C17:M17"/>
    <mergeCell ref="C5:M5"/>
    <mergeCell ref="C6:M6"/>
    <mergeCell ref="C7:M7"/>
    <mergeCell ref="P29:Z29"/>
    <mergeCell ref="C8:M8"/>
    <mergeCell ref="C9:M9"/>
    <mergeCell ref="C12:M12"/>
    <mergeCell ref="C13:M13"/>
    <mergeCell ref="C10:M10"/>
    <mergeCell ref="C11:M11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IC29:IM29"/>
    <mergeCell ref="IP29:IV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30:I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DC30:DM30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P30:HZ30"/>
    <mergeCell ref="BC31:BM31"/>
    <mergeCell ref="BC32:BM32"/>
    <mergeCell ref="BP32:BZ32"/>
    <mergeCell ref="BC39:BM39"/>
    <mergeCell ref="HC30:HM30"/>
    <mergeCell ref="BC30:BM30"/>
    <mergeCell ref="BP30:BZ30"/>
    <mergeCell ref="CC30:CM30"/>
    <mergeCell ref="CP30:CZ30"/>
    <mergeCell ref="EC31:E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BP31:BZ31"/>
    <mergeCell ref="CC31:CM31"/>
    <mergeCell ref="HP31:HZ31"/>
    <mergeCell ref="GC31:GM31"/>
    <mergeCell ref="GP31:GZ31"/>
    <mergeCell ref="HC31:HM31"/>
    <mergeCell ref="CP31:CZ31"/>
    <mergeCell ref="DC31:DM31"/>
    <mergeCell ref="EP31:EZ31"/>
    <mergeCell ref="DP31:DZ31"/>
    <mergeCell ref="HC32:HM32"/>
    <mergeCell ref="DC32:DM32"/>
    <mergeCell ref="DP32:DZ32"/>
    <mergeCell ref="FC31:FM31"/>
    <mergeCell ref="EP32:EZ32"/>
    <mergeCell ref="BP39:BZ39"/>
    <mergeCell ref="BC40:BM40"/>
    <mergeCell ref="BP40:BZ40"/>
    <mergeCell ref="AP40:AZ40"/>
    <mergeCell ref="AP32:AZ32"/>
    <mergeCell ref="P38:Z38"/>
    <mergeCell ref="AC40:AM40"/>
    <mergeCell ref="P32:Z32"/>
    <mergeCell ref="AC32:AM32"/>
    <mergeCell ref="CC32:CM32"/>
    <mergeCell ref="GP32:GZ32"/>
    <mergeCell ref="BC38:BM38"/>
    <mergeCell ref="BP38:BZ38"/>
    <mergeCell ref="CP38:CZ38"/>
    <mergeCell ref="DC38:DM38"/>
    <mergeCell ref="EC32:EM32"/>
    <mergeCell ref="EC38:EM38"/>
    <mergeCell ref="IC38:IM38"/>
    <mergeCell ref="EP38:EZ38"/>
    <mergeCell ref="FC38:FM38"/>
    <mergeCell ref="FP38:FZ38"/>
    <mergeCell ref="GC38:GM38"/>
    <mergeCell ref="C51:M51"/>
    <mergeCell ref="P39:Z39"/>
    <mergeCell ref="AC39:AM39"/>
    <mergeCell ref="AP39:AZ39"/>
    <mergeCell ref="C50:M50"/>
    <mergeCell ref="C47:M47"/>
    <mergeCell ref="C48:M48"/>
    <mergeCell ref="C49:M49"/>
    <mergeCell ref="P40:Z40"/>
    <mergeCell ref="CC38:CM38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IC40:IM40"/>
    <mergeCell ref="CC40:CM40"/>
    <mergeCell ref="CP40:CZ40"/>
    <mergeCell ref="DC40:DM40"/>
    <mergeCell ref="DP40:DZ40"/>
    <mergeCell ref="FC40:F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2011-11-10T12:54:39Z</cp:lastPrinted>
  <dcterms:created xsi:type="dcterms:W3CDTF">1997-12-04T19:04:30Z</dcterms:created>
  <dcterms:modified xsi:type="dcterms:W3CDTF">2025-01-10T20:13:33Z</dcterms:modified>
</cp:coreProperties>
</file>