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C54DB7B-4144-4864-B76D-DA404CF046E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62AA91A3-0AAA-4D8D-A6A4-13E38D4C5B0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32" i="1" s="1"/>
  <c r="F128" i="1"/>
  <c r="G128" i="1"/>
  <c r="G113" i="1"/>
  <c r="G132" i="1"/>
  <c r="H113" i="1"/>
  <c r="H128" i="1"/>
  <c r="H132" i="1"/>
  <c r="I113" i="1"/>
  <c r="I128" i="1"/>
  <c r="I132" i="1"/>
  <c r="I185" i="1" s="1"/>
  <c r="G620" i="1" s="1"/>
  <c r="J620" i="1" s="1"/>
  <c r="J113" i="1"/>
  <c r="J132" i="1" s="1"/>
  <c r="J128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E16" i="13" s="1"/>
  <c r="C16" i="13" s="1"/>
  <c r="L237" i="1"/>
  <c r="F5" i="13"/>
  <c r="D5" i="13" s="1"/>
  <c r="G5" i="13"/>
  <c r="G33" i="13" s="1"/>
  <c r="L189" i="1"/>
  <c r="L190" i="1"/>
  <c r="L191" i="1"/>
  <c r="L192" i="1"/>
  <c r="C104" i="2" s="1"/>
  <c r="L207" i="1"/>
  <c r="L208" i="1"/>
  <c r="C11" i="10" s="1"/>
  <c r="L209" i="1"/>
  <c r="L210" i="1"/>
  <c r="L225" i="1"/>
  <c r="L226" i="1"/>
  <c r="L227" i="1"/>
  <c r="L228" i="1"/>
  <c r="F6" i="13"/>
  <c r="G6" i="13"/>
  <c r="L194" i="1"/>
  <c r="D6" i="13" s="1"/>
  <c r="C6" i="13" s="1"/>
  <c r="L212" i="1"/>
  <c r="L230" i="1"/>
  <c r="L239" i="1" s="1"/>
  <c r="F7" i="13"/>
  <c r="G7" i="13"/>
  <c r="L195" i="1"/>
  <c r="L213" i="1"/>
  <c r="D7" i="13" s="1"/>
  <c r="C7" i="13" s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D15" i="13" s="1"/>
  <c r="C15" i="13" s="1"/>
  <c r="L218" i="1"/>
  <c r="L236" i="1"/>
  <c r="G641" i="1" s="1"/>
  <c r="J641" i="1" s="1"/>
  <c r="F17" i="13"/>
  <c r="G17" i="13"/>
  <c r="L243" i="1"/>
  <c r="D17" i="13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L351" i="1"/>
  <c r="F651" i="1" s="1"/>
  <c r="L352" i="1"/>
  <c r="I359" i="1"/>
  <c r="J282" i="1"/>
  <c r="J301" i="1"/>
  <c r="J320" i="1"/>
  <c r="F31" i="13"/>
  <c r="K282" i="1"/>
  <c r="K301" i="1"/>
  <c r="G31" i="13" s="1"/>
  <c r="K320" i="1"/>
  <c r="L268" i="1"/>
  <c r="C10" i="10" s="1"/>
  <c r="L269" i="1"/>
  <c r="L270" i="1"/>
  <c r="L271" i="1"/>
  <c r="L273" i="1"/>
  <c r="L274" i="1"/>
  <c r="L282" i="1" s="1"/>
  <c r="L275" i="1"/>
  <c r="L276" i="1"/>
  <c r="E113" i="2" s="1"/>
  <c r="L277" i="1"/>
  <c r="L278" i="1"/>
  <c r="L279" i="1"/>
  <c r="L280" i="1"/>
  <c r="L287" i="1"/>
  <c r="L288" i="1"/>
  <c r="L289" i="1"/>
  <c r="L290" i="1"/>
  <c r="L292" i="1"/>
  <c r="E110" i="2" s="1"/>
  <c r="L293" i="1"/>
  <c r="L294" i="1"/>
  <c r="E112" i="2" s="1"/>
  <c r="L295" i="1"/>
  <c r="L296" i="1"/>
  <c r="L297" i="1"/>
  <c r="L298" i="1"/>
  <c r="L299" i="1"/>
  <c r="L306" i="1"/>
  <c r="L307" i="1"/>
  <c r="L320" i="1" s="1"/>
  <c r="L308" i="1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H25" i="13" s="1"/>
  <c r="L253" i="1"/>
  <c r="L333" i="1"/>
  <c r="E123" i="2" s="1"/>
  <c r="L334" i="1"/>
  <c r="L247" i="1"/>
  <c r="L328" i="1"/>
  <c r="C29" i="10" s="1"/>
  <c r="C11" i="13"/>
  <c r="C10" i="13"/>
  <c r="C9" i="13"/>
  <c r="L353" i="1"/>
  <c r="B4" i="12"/>
  <c r="B36" i="12"/>
  <c r="C36" i="12"/>
  <c r="A40" i="12" s="1"/>
  <c r="B40" i="12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B22" i="12"/>
  <c r="A22" i="12" s="1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5" i="2" s="1"/>
  <c r="G51" i="2"/>
  <c r="G53" i="2"/>
  <c r="G54" i="2"/>
  <c r="F2" i="11"/>
  <c r="L603" i="1"/>
  <c r="H653" i="1" s="1"/>
  <c r="L602" i="1"/>
  <c r="G653" i="1" s="1"/>
  <c r="L601" i="1"/>
  <c r="F653" i="1" s="1"/>
  <c r="C40" i="10"/>
  <c r="F52" i="1"/>
  <c r="C35" i="10" s="1"/>
  <c r="G52" i="1"/>
  <c r="H52" i="1"/>
  <c r="E48" i="2" s="1"/>
  <c r="I52" i="1"/>
  <c r="F71" i="1"/>
  <c r="F86" i="1"/>
  <c r="F103" i="1"/>
  <c r="G103" i="1"/>
  <c r="G104" i="1" s="1"/>
  <c r="G185" i="1" s="1"/>
  <c r="G618" i="1" s="1"/>
  <c r="J618" i="1" s="1"/>
  <c r="H71" i="1"/>
  <c r="H86" i="1"/>
  <c r="E50" i="2" s="1"/>
  <c r="H103" i="1"/>
  <c r="H104" i="1"/>
  <c r="I103" i="1"/>
  <c r="I104" i="1"/>
  <c r="J103" i="1"/>
  <c r="F139" i="1"/>
  <c r="F154" i="1"/>
  <c r="F161" i="1" s="1"/>
  <c r="G139" i="1"/>
  <c r="G161" i="1" s="1"/>
  <c r="G154" i="1"/>
  <c r="H139" i="1"/>
  <c r="H161" i="1" s="1"/>
  <c r="H154" i="1"/>
  <c r="I139" i="1"/>
  <c r="I154" i="1"/>
  <c r="I161" i="1"/>
  <c r="C12" i="10"/>
  <c r="C19" i="10"/>
  <c r="C20" i="10"/>
  <c r="L242" i="1"/>
  <c r="C23" i="10" s="1"/>
  <c r="L324" i="1"/>
  <c r="L246" i="1"/>
  <c r="C25" i="10"/>
  <c r="L260" i="1"/>
  <c r="L261" i="1"/>
  <c r="L341" i="1"/>
  <c r="E134" i="2" s="1"/>
  <c r="L342" i="1"/>
  <c r="C26" i="10"/>
  <c r="I655" i="1"/>
  <c r="I660" i="1"/>
  <c r="G651" i="1"/>
  <c r="G652" i="1"/>
  <c r="H652" i="1"/>
  <c r="I659" i="1"/>
  <c r="C5" i="10"/>
  <c r="C42" i="10"/>
  <c r="C32" i="10"/>
  <c r="L366" i="1"/>
  <c r="L367" i="1"/>
  <c r="F122" i="2" s="1"/>
  <c r="F136" i="2" s="1"/>
  <c r="L368" i="1"/>
  <c r="L369" i="1"/>
  <c r="L370" i="1"/>
  <c r="L374" i="1" s="1"/>
  <c r="G626" i="1" s="1"/>
  <c r="J626" i="1" s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F540" i="1"/>
  <c r="K540" i="1" s="1"/>
  <c r="L513" i="1"/>
  <c r="F541" i="1"/>
  <c r="L516" i="1"/>
  <c r="G539" i="1"/>
  <c r="G542" i="1" s="1"/>
  <c r="L517" i="1"/>
  <c r="G540" i="1"/>
  <c r="L518" i="1"/>
  <c r="G541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 s="1"/>
  <c r="L531" i="1"/>
  <c r="J539" i="1"/>
  <c r="L532" i="1"/>
  <c r="J540" i="1"/>
  <c r="L533" i="1"/>
  <c r="L534" i="1" s="1"/>
  <c r="L535" i="1" s="1"/>
  <c r="E124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E19" i="2" s="1"/>
  <c r="F9" i="2"/>
  <c r="I431" i="1"/>
  <c r="J9" i="1"/>
  <c r="C10" i="2"/>
  <c r="D10" i="2"/>
  <c r="E10" i="2"/>
  <c r="F10" i="2"/>
  <c r="I432" i="1"/>
  <c r="J10" i="1"/>
  <c r="G10" i="2" s="1"/>
  <c r="C11" i="2"/>
  <c r="C12" i="2"/>
  <c r="D12" i="2"/>
  <c r="D19" i="2" s="1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19" i="2"/>
  <c r="C22" i="2"/>
  <c r="D22" i="2"/>
  <c r="E22" i="2"/>
  <c r="F22" i="2"/>
  <c r="I440" i="1"/>
  <c r="J23" i="1"/>
  <c r="G22" i="2" s="1"/>
  <c r="C23" i="2"/>
  <c r="C32" i="2" s="1"/>
  <c r="D23" i="2"/>
  <c r="D32" i="2" s="1"/>
  <c r="E23" i="2"/>
  <c r="F23" i="2"/>
  <c r="F32" i="2" s="1"/>
  <c r="F43" i="2" s="1"/>
  <c r="I441" i="1"/>
  <c r="J24" i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E32" i="2" s="1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E34" i="2"/>
  <c r="E42" i="2" s="1"/>
  <c r="F34" i="2"/>
  <c r="C35" i="2"/>
  <c r="D35" i="2"/>
  <c r="E35" i="2"/>
  <c r="F35" i="2"/>
  <c r="C36" i="2"/>
  <c r="D36" i="2"/>
  <c r="D42" i="2" s="1"/>
  <c r="D43" i="2" s="1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2" i="2"/>
  <c r="C48" i="2"/>
  <c r="C55" i="2" s="1"/>
  <c r="D48" i="2"/>
  <c r="F48" i="2"/>
  <c r="C49" i="2"/>
  <c r="E49" i="2"/>
  <c r="C50" i="2"/>
  <c r="C51" i="2"/>
  <c r="D51" i="2"/>
  <c r="D54" i="2" s="1"/>
  <c r="D55" i="2" s="1"/>
  <c r="D96" i="2" s="1"/>
  <c r="E51" i="2"/>
  <c r="F51" i="2"/>
  <c r="D52" i="2"/>
  <c r="C53" i="2"/>
  <c r="D53" i="2"/>
  <c r="E53" i="2"/>
  <c r="F53" i="2"/>
  <c r="C54" i="2"/>
  <c r="F54" i="2"/>
  <c r="F55" i="2"/>
  <c r="C58" i="2"/>
  <c r="C62" i="2" s="1"/>
  <c r="C59" i="2"/>
  <c r="C61" i="2"/>
  <c r="D61" i="2"/>
  <c r="E61" i="2"/>
  <c r="F61" i="2"/>
  <c r="G61" i="2"/>
  <c r="D62" i="2"/>
  <c r="E62" i="2"/>
  <c r="F62" i="2"/>
  <c r="G62" i="2"/>
  <c r="G73" i="2" s="1"/>
  <c r="C64" i="2"/>
  <c r="F64" i="2"/>
  <c r="F70" i="2" s="1"/>
  <c r="F73" i="2" s="1"/>
  <c r="C65" i="2"/>
  <c r="F65" i="2"/>
  <c r="C66" i="2"/>
  <c r="C70" i="2" s="1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D83" i="2" s="1"/>
  <c r="F77" i="2"/>
  <c r="C79" i="2"/>
  <c r="C83" i="2" s="1"/>
  <c r="E79" i="2"/>
  <c r="F79" i="2"/>
  <c r="F83" i="2" s="1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G95" i="2"/>
  <c r="C101" i="2"/>
  <c r="E101" i="2"/>
  <c r="E107" i="2" s="1"/>
  <c r="E102" i="2"/>
  <c r="C103" i="2"/>
  <c r="E103" i="2"/>
  <c r="C105" i="2"/>
  <c r="E105" i="2"/>
  <c r="D107" i="2"/>
  <c r="D137" i="2" s="1"/>
  <c r="F107" i="2"/>
  <c r="F137" i="2" s="1"/>
  <c r="G107" i="2"/>
  <c r="C111" i="2"/>
  <c r="C114" i="2"/>
  <c r="E114" i="2"/>
  <c r="C115" i="2"/>
  <c r="E115" i="2"/>
  <c r="E116" i="2"/>
  <c r="E117" i="2"/>
  <c r="D119" i="2"/>
  <c r="D120" i="2"/>
  <c r="F120" i="2"/>
  <c r="G120" i="2"/>
  <c r="C122" i="2"/>
  <c r="D126" i="2"/>
  <c r="E126" i="2"/>
  <c r="F126" i="2"/>
  <c r="K411" i="1"/>
  <c r="K419" i="1"/>
  <c r="K426" i="1" s="1"/>
  <c r="G126" i="2" s="1"/>
  <c r="G136" i="2" s="1"/>
  <c r="G137" i="2" s="1"/>
  <c r="K425" i="1"/>
  <c r="L255" i="1"/>
  <c r="C127" i="2"/>
  <c r="L256" i="1"/>
  <c r="C128" i="2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 s="1"/>
  <c r="I490" i="1"/>
  <c r="E153" i="2" s="1"/>
  <c r="J490" i="1"/>
  <c r="F153" i="2" s="1"/>
  <c r="B154" i="2"/>
  <c r="C154" i="2"/>
  <c r="D154" i="2"/>
  <c r="G154" i="2" s="1"/>
  <c r="E154" i="2"/>
  <c r="F154" i="2"/>
  <c r="B155" i="2"/>
  <c r="G155" i="2" s="1"/>
  <c r="C155" i="2"/>
  <c r="D155" i="2"/>
  <c r="E155" i="2"/>
  <c r="F155" i="2"/>
  <c r="F493" i="1"/>
  <c r="B156" i="2" s="1"/>
  <c r="G493" i="1"/>
  <c r="K493" i="1" s="1"/>
  <c r="H493" i="1"/>
  <c r="D156" i="2"/>
  <c r="I493" i="1"/>
  <c r="E156" i="2"/>
  <c r="J493" i="1"/>
  <c r="F156" i="2"/>
  <c r="F19" i="1"/>
  <c r="G19" i="1"/>
  <c r="H19" i="1"/>
  <c r="I19" i="1"/>
  <c r="G610" i="1" s="1"/>
  <c r="J610" i="1" s="1"/>
  <c r="F33" i="1"/>
  <c r="G33" i="1"/>
  <c r="H33" i="1"/>
  <c r="I33" i="1"/>
  <c r="I44" i="1" s="1"/>
  <c r="H610" i="1" s="1"/>
  <c r="F43" i="1"/>
  <c r="F44" i="1" s="1"/>
  <c r="H607" i="1" s="1"/>
  <c r="G43" i="1"/>
  <c r="G44" i="1" s="1"/>
  <c r="H608" i="1" s="1"/>
  <c r="J608" i="1" s="1"/>
  <c r="H43" i="1"/>
  <c r="I43" i="1"/>
  <c r="H44" i="1"/>
  <c r="F169" i="1"/>
  <c r="F184" i="1" s="1"/>
  <c r="I169" i="1"/>
  <c r="F175" i="1"/>
  <c r="G175" i="1"/>
  <c r="H175" i="1"/>
  <c r="H184" i="1" s="1"/>
  <c r="I175" i="1"/>
  <c r="J175" i="1"/>
  <c r="F180" i="1"/>
  <c r="G180" i="1"/>
  <c r="H180" i="1"/>
  <c r="I180" i="1"/>
  <c r="G184" i="1"/>
  <c r="I184" i="1"/>
  <c r="J184" i="1"/>
  <c r="F203" i="1"/>
  <c r="G203" i="1"/>
  <c r="G249" i="1" s="1"/>
  <c r="G263" i="1" s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F249" i="1"/>
  <c r="F263" i="1" s="1"/>
  <c r="H249" i="1"/>
  <c r="H263" i="1" s="1"/>
  <c r="J249" i="1"/>
  <c r="H638" i="1" s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G329" i="1"/>
  <c r="L329" i="1" s="1"/>
  <c r="H329" i="1"/>
  <c r="I329" i="1"/>
  <c r="J329" i="1"/>
  <c r="K329" i="1"/>
  <c r="K330" i="1" s="1"/>
  <c r="K344" i="1" s="1"/>
  <c r="J330" i="1"/>
  <c r="J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I393" i="1"/>
  <c r="I400" i="1" s="1"/>
  <c r="F399" i="1"/>
  <c r="G399" i="1"/>
  <c r="H399" i="1"/>
  <c r="I399" i="1"/>
  <c r="H400" i="1"/>
  <c r="H634" i="1" s="1"/>
  <c r="L405" i="1"/>
  <c r="L411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G426" i="1"/>
  <c r="H426" i="1"/>
  <c r="J426" i="1"/>
  <c r="F438" i="1"/>
  <c r="G629" i="1" s="1"/>
  <c r="J629" i="1" s="1"/>
  <c r="G438" i="1"/>
  <c r="H438" i="1"/>
  <c r="F444" i="1"/>
  <c r="G444" i="1"/>
  <c r="G451" i="1" s="1"/>
  <c r="H630" i="1" s="1"/>
  <c r="H444" i="1"/>
  <c r="I444" i="1"/>
  <c r="F450" i="1"/>
  <c r="G450" i="1"/>
  <c r="H450" i="1"/>
  <c r="H451" i="1" s="1"/>
  <c r="H631" i="1" s="1"/>
  <c r="F451" i="1"/>
  <c r="F460" i="1"/>
  <c r="G460" i="1"/>
  <c r="G466" i="1" s="1"/>
  <c r="H613" i="1" s="1"/>
  <c r="H460" i="1"/>
  <c r="I460" i="1"/>
  <c r="J460" i="1"/>
  <c r="J466" i="1" s="1"/>
  <c r="H616" i="1" s="1"/>
  <c r="F464" i="1"/>
  <c r="F466" i="1" s="1"/>
  <c r="H612" i="1" s="1"/>
  <c r="G464" i="1"/>
  <c r="H464" i="1"/>
  <c r="I464" i="1"/>
  <c r="I466" i="1" s="1"/>
  <c r="H615" i="1" s="1"/>
  <c r="J464" i="1"/>
  <c r="H466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J514" i="1"/>
  <c r="J535" i="1" s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G535" i="1"/>
  <c r="I535" i="1"/>
  <c r="K535" i="1"/>
  <c r="L547" i="1"/>
  <c r="L550" i="1" s="1"/>
  <c r="L548" i="1"/>
  <c r="L549" i="1"/>
  <c r="F550" i="1"/>
  <c r="F561" i="1" s="1"/>
  <c r="G550" i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H640" i="1" s="1"/>
  <c r="J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H609" i="1"/>
  <c r="J609" i="1" s="1"/>
  <c r="G614" i="1"/>
  <c r="J614" i="1" s="1"/>
  <c r="H614" i="1"/>
  <c r="G615" i="1"/>
  <c r="J615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H629" i="1"/>
  <c r="G630" i="1"/>
  <c r="G631" i="1"/>
  <c r="G633" i="1"/>
  <c r="G634" i="1"/>
  <c r="J634" i="1" s="1"/>
  <c r="G635" i="1"/>
  <c r="H637" i="1"/>
  <c r="H639" i="1"/>
  <c r="G640" i="1"/>
  <c r="H641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 s="1"/>
  <c r="G636" i="1" l="1"/>
  <c r="G621" i="1"/>
  <c r="J621" i="1" s="1"/>
  <c r="F96" i="2"/>
  <c r="E43" i="2"/>
  <c r="H185" i="1"/>
  <c r="G619" i="1" s="1"/>
  <c r="J619" i="1" s="1"/>
  <c r="C5" i="13"/>
  <c r="J631" i="1"/>
  <c r="L426" i="1"/>
  <c r="G628" i="1" s="1"/>
  <c r="J628" i="1" s="1"/>
  <c r="E54" i="2"/>
  <c r="E55" i="2" s="1"/>
  <c r="E96" i="2" s="1"/>
  <c r="I653" i="1"/>
  <c r="C130" i="2"/>
  <c r="C133" i="2" s="1"/>
  <c r="L400" i="1"/>
  <c r="J630" i="1"/>
  <c r="J43" i="1"/>
  <c r="G36" i="2"/>
  <c r="G42" i="2" s="1"/>
  <c r="G43" i="2" s="1"/>
  <c r="C43" i="2"/>
  <c r="E33" i="13"/>
  <c r="D35" i="13" s="1"/>
  <c r="C8" i="13"/>
  <c r="L561" i="1"/>
  <c r="J19" i="1"/>
  <c r="G611" i="1" s="1"/>
  <c r="C136" i="2"/>
  <c r="G32" i="2"/>
  <c r="I542" i="1"/>
  <c r="D31" i="13"/>
  <c r="C31" i="13" s="1"/>
  <c r="H650" i="1"/>
  <c r="C39" i="10"/>
  <c r="C25" i="13"/>
  <c r="H33" i="13"/>
  <c r="J635" i="1"/>
  <c r="G153" i="2"/>
  <c r="C73" i="2"/>
  <c r="C96" i="2" s="1"/>
  <c r="G96" i="2"/>
  <c r="C38" i="10"/>
  <c r="G613" i="1"/>
  <c r="J613" i="1" s="1"/>
  <c r="I450" i="1"/>
  <c r="I451" i="1" s="1"/>
  <c r="H632" i="1" s="1"/>
  <c r="J33" i="1"/>
  <c r="C102" i="2"/>
  <c r="G9" i="2"/>
  <c r="G19" i="2" s="1"/>
  <c r="J541" i="1"/>
  <c r="J542" i="1" s="1"/>
  <c r="L221" i="1"/>
  <c r="G650" i="1" s="1"/>
  <c r="G654" i="1" s="1"/>
  <c r="F22" i="13"/>
  <c r="L203" i="1"/>
  <c r="C17" i="10"/>
  <c r="L354" i="1"/>
  <c r="G612" i="1"/>
  <c r="J612" i="1" s="1"/>
  <c r="J263" i="1"/>
  <c r="C113" i="2"/>
  <c r="E77" i="2"/>
  <c r="E83" i="2" s="1"/>
  <c r="F542" i="1"/>
  <c r="L343" i="1"/>
  <c r="F652" i="1"/>
  <c r="I652" i="1" s="1"/>
  <c r="C16" i="10"/>
  <c r="D29" i="13"/>
  <c r="C29" i="13" s="1"/>
  <c r="J607" i="1"/>
  <c r="C106" i="2"/>
  <c r="C15" i="10"/>
  <c r="C156" i="2"/>
  <c r="G156" i="2" s="1"/>
  <c r="C112" i="2"/>
  <c r="H651" i="1"/>
  <c r="I651" i="1" s="1"/>
  <c r="C24" i="10"/>
  <c r="C13" i="10"/>
  <c r="F104" i="1"/>
  <c r="F185" i="1" s="1"/>
  <c r="G617" i="1" s="1"/>
  <c r="J617" i="1" s="1"/>
  <c r="L301" i="1"/>
  <c r="L330" i="1" s="1"/>
  <c r="L344" i="1" s="1"/>
  <c r="G623" i="1" s="1"/>
  <c r="J623" i="1" s="1"/>
  <c r="G639" i="1"/>
  <c r="J639" i="1" s="1"/>
  <c r="E111" i="2"/>
  <c r="E120" i="2" s="1"/>
  <c r="E137" i="2" s="1"/>
  <c r="C117" i="2"/>
  <c r="I438" i="1"/>
  <c r="G632" i="1" s="1"/>
  <c r="C116" i="2"/>
  <c r="C110" i="2"/>
  <c r="C18" i="10"/>
  <c r="E122" i="2"/>
  <c r="E136" i="2" s="1"/>
  <c r="C21" i="10"/>
  <c r="C120" i="2" l="1"/>
  <c r="C27" i="10"/>
  <c r="G625" i="1"/>
  <c r="J625" i="1" s="1"/>
  <c r="H654" i="1"/>
  <c r="J632" i="1"/>
  <c r="H646" i="1"/>
  <c r="L249" i="1"/>
  <c r="L263" i="1" s="1"/>
  <c r="G622" i="1" s="1"/>
  <c r="J622" i="1" s="1"/>
  <c r="F650" i="1"/>
  <c r="C22" i="13"/>
  <c r="F33" i="13"/>
  <c r="K541" i="1"/>
  <c r="K542" i="1" s="1"/>
  <c r="J636" i="1"/>
  <c r="G662" i="1"/>
  <c r="G657" i="1"/>
  <c r="G616" i="1"/>
  <c r="J616" i="1" s="1"/>
  <c r="J44" i="1"/>
  <c r="H611" i="1" s="1"/>
  <c r="J611" i="1" s="1"/>
  <c r="D33" i="13"/>
  <c r="D36" i="13" s="1"/>
  <c r="C36" i="10"/>
  <c r="C107" i="2"/>
  <c r="C137" i="2" s="1"/>
  <c r="G627" i="1"/>
  <c r="J627" i="1" s="1"/>
  <c r="H636" i="1"/>
  <c r="H657" i="1" l="1"/>
  <c r="H662" i="1"/>
  <c r="C6" i="10" s="1"/>
  <c r="D27" i="10"/>
  <c r="I650" i="1"/>
  <c r="I654" i="1" s="1"/>
  <c r="F654" i="1"/>
  <c r="C41" i="10"/>
  <c r="D36" i="10" s="1"/>
  <c r="C28" i="10"/>
  <c r="D19" i="10" l="1"/>
  <c r="C30" i="10"/>
  <c r="D22" i="10"/>
  <c r="D12" i="10"/>
  <c r="D25" i="10"/>
  <c r="D20" i="10"/>
  <c r="D11" i="10"/>
  <c r="D23" i="10"/>
  <c r="D26" i="10"/>
  <c r="D10" i="10"/>
  <c r="D13" i="10"/>
  <c r="D24" i="10"/>
  <c r="D15" i="10"/>
  <c r="D21" i="10"/>
  <c r="D16" i="10"/>
  <c r="D18" i="10"/>
  <c r="D17" i="10"/>
  <c r="F662" i="1"/>
  <c r="C4" i="10" s="1"/>
  <c r="F657" i="1"/>
  <c r="D37" i="10"/>
  <c r="D40" i="10"/>
  <c r="D35" i="10"/>
  <c r="D38" i="10"/>
  <c r="D39" i="10"/>
  <c r="I662" i="1"/>
  <c r="C7" i="10" s="1"/>
  <c r="I657" i="1"/>
  <c r="D41" i="10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4835C4D-CA9F-4E4E-8729-60F5F5FE375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3B1C5E8-D2B9-42B6-9697-5DEF5529FFF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856D72D-2F21-42A7-8731-BFE269C42FB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DAA9A44-DC06-4327-9DB6-FE1F817F275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21C5E1B-8EF4-416A-A2D5-DB31DE1AF36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8CFB231-15DA-46BB-BA23-769C18256ED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06E0992-925E-41D7-8677-536B8AE44E7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32A482D-DF0B-496B-AEB9-0E28A7E9692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81DB30A-4C3E-45D5-AB45-2A7A23E025D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44BB151-C069-4E55-BCB9-0644A437E31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058AEA4-A8BC-4893-95A3-0B56BD50FAA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7A19DF4-8765-4AB2-BE11-B8B9662EEED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<sst xmlns="http://schemas.openxmlformats.org/spreadsheetml/2006/main" count="3871" uniqueCount="902">
  <si>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</si>
  <si>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</si>
  <si>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</si>
  <si>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</si>
  <si>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</si>
  <si>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</si>
  <si>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</si>
  <si>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</si>
  <si>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</si>
  <si>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</si>
  <si>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</si>
  <si>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</si>
  <si>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</si>
  <si>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</si>
  <si>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</si>
  <si>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</si>
  <si>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</si>
  <si>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</si>
  <si>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</si>
  <si>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</si>
  <si>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</si>
  <si>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</si>
  <si>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</si>
  <si>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</si>
  <si>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</si>
  <si>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</si>
  <si>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</si>
  <si>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</si>
  <si>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</si>
  <si>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</si>
  <si>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</si>
  <si>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</si>
  <si>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</si>
  <si>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</si>
  <si>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</si>
  <si>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</si>
  <si>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</si>
  <si>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</si>
  <si>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</si>
  <si>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</si>
  <si>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</si>
  <si>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</si>
  <si>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</si>
  <si>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</si>
  <si>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</si>
  <si>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</si>
  <si>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</si>
  <si>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</si>
  <si>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</si>
  <si>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</si>
  <si>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</si>
  <si>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</si>
  <si>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</si>
  <si>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</si>
  <si>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</si>
  <si>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</si>
  <si>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</si>
  <si>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</si>
  <si>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</si>
  <si>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</si>
  <si>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</si>
  <si>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</si>
  <si>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</si>
  <si>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</si>
  <si>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</si>
  <si>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</si>
  <si>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</si>
  <si>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</si>
  <si>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</si>
  <si>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</si>
  <si>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</si>
  <si>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</si>
  <si>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</si>
  <si>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</si>
  <si>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</si>
  <si>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</si>
  <si>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</si>
  <si>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</si>
  <si>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</si>
  <si>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</si>
  <si>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</si>
  <si>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</si>
  <si>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</si>
  <si>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</si>
  <si>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</si>
  <si>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</si>
  <si>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</si>
  <si>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</si>
  <si>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</si>
  <si>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</si>
  <si>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</si>
  <si>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</si>
  <si>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</si>
  <si>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</si>
  <si>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</si>
  <si>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</si>
  <si>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</si>
  <si>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</si>
  <si>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</si>
  <si>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</si>
  <si>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</si>
  <si>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</si>
  <si>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</si>
  <si>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</si>
  <si>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</si>
  <si>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</si>
  <si>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</si>
  <si>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</si>
  <si>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</si>
  <si>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</si>
  <si>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</si>
  <si>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</si>
  <si>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</si>
  <si>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</si>
  <si>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</si>
  <si>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</si>
  <si>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</si>
  <si>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</si>
  <si>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</si>
  <si>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</si>
  <si>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</si>
  <si>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</si>
  <si>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</si>
  <si>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</si>
  <si>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</si>
  <si>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</si>
  <si>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</si>
  <si>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</si>
  <si>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</si>
  <si>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</si>
  <si>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</si>
  <si>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</si>
  <si>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</si>
  <si>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</si>
  <si>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</si>
  <si>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</si>
  <si>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</si>
  <si>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</si>
  <si>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</si>
  <si>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</si>
  <si>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</si>
  <si>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</si>
  <si>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</si>
  <si>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</si>
  <si>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</si>
  <si>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</si>
  <si>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</si>
  <si>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</si>
  <si>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</si>
  <si>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</si>
  <si>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</si>
  <si>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</si>
  <si>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</si>
  <si>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</si>
  <si>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</si>
  <si>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</si>
  <si>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</si>
  <si>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</si>
  <si>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</si>
  <si>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</si>
  <si>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</si>
  <si>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</si>
  <si>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</si>
  <si>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</si>
  <si>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</si>
  <si>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</si>
  <si>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</si>
  <si>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</si>
  <si>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</si>
  <si>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</si>
  <si>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</si>
  <si>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</si>
  <si>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</si>
  <si>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</si>
  <si>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</si>
  <si>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</si>
  <si>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</si>
  <si>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</si>
  <si>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</si>
  <si>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</si>
  <si>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</si>
  <si>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</si>
  <si>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</si>
  <si>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</si>
  <si>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</si>
  <si>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</si>
  <si>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</si>
  <si>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</si>
  <si>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</si>
  <si>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</si>
  <si>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</si>
  <si>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</si>
  <si>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</si>
  <si>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</si>
  <si>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</si>
  <si>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</si>
  <si>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</si>
  <si>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</si>
  <si>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</si>
  <si>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</si>
  <si>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</si>
  <si>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</si>
  <si>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</si>
  <si>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</si>
  <si>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</si>
  <si>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</si>
  <si>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</si>
  <si>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</si>
  <si>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</si>
  <si>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</si>
  <si>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</si>
  <si>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</si>
  <si>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</si>
  <si>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</si>
  <si>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</si>
  <si>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</si>
  <si>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</si>
  <si>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</si>
  <si>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</si>
  <si>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</si>
  <si>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</si>
  <si>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</si>
  <si>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</si>
  <si>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</si>
  <si>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</si>
  <si>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</si>
  <si>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</si>
  <si>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</si>
  <si>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</si>
  <si>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</si>
  <si>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</si>
  <si>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</si>
  <si>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</si>
  <si>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</si>
  <si>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</si>
  <si>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</si>
  <si>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</si>
  <si>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</si>
  <si>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</si>
  <si>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</si>
  <si>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</si>
  <si>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</si>
  <si>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</si>
  <si>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</si>
  <si>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</si>
  <si>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</si>
  <si>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</si>
  <si>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</si>
  <si>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</si>
  <si>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</si>
  <si>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</si>
  <si>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</si>
  <si>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</si>
  <si>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</si>
  <si>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</si>
  <si>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</si>
  <si>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</si>
  <si>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</si>
  <si>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</si>
  <si>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</si>
  <si>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</si>
  <si>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</si>
  <si>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</si>
  <si>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</si>
  <si>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</si>
  <si>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</si>
  <si>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</si>
  <si>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</si>
  <si>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</si>
  <si>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</si>
  <si>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</si>
  <si>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</si>
  <si>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</si>
  <si>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</si>
  <si>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</si>
  <si>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</si>
  <si>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</si>
  <si>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</si>
  <si>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</si>
  <si>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</si>
  <si>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</si>
  <si>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</si>
  <si>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</si>
  <si>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</si>
  <si>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</si>
  <si>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</si>
  <si>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</si>
  <si>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</si>
  <si>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</si>
  <si>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</si>
  <si>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</si>
  <si>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</si>
  <si>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</si>
  <si>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</si>
  <si>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</si>
  <si>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</si>
  <si>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</si>
  <si>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</si>
  <si>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</si>
  <si>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</si>
  <si>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</si>
  <si>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</si>
  <si>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</si>
  <si>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</si>
  <si>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</si>
  <si>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</si>
  <si>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</si>
  <si>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</si>
  <si>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</si>
  <si>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</si>
  <si>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</si>
  <si>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</si>
  <si>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</si>
  <si>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</si>
  <si>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</si>
  <si>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</si>
  <si>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</si>
  <si>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</si>
  <si>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</si>
  <si>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</si>
  <si>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</si>
  <si>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</si>
  <si>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</si>
  <si>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</si>
  <si>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</si>
  <si>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</si>
  <si>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</si>
  <si>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</si>
  <si>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</si>
  <si>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</si>
  <si>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</si>
  <si>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</si>
  <si>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</si>
  <si>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</si>
  <si>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</si>
  <si>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</si>
  <si>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</si>
  <si>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</si>
  <si>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</si>
  <si>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</si>
  <si>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</si>
  <si>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</si>
  <si>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</si>
  <si>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</si>
  <si>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</si>
  <si>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</si>
  <si>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</si>
  <si>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</si>
  <si>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</si>
  <si>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</si>
  <si>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</si>
  <si>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</si>
  <si>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</si>
  <si>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</si>
  <si>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</si>
  <si>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</si>
  <si>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</si>
  <si>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</si>
  <si>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</si>
  <si>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</si>
  <si>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</si>
  <si>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</si>
  <si>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</si>
  <si>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</si>
  <si>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</si>
  <si>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</si>
  <si>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</si>
  <si>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</si>
  <si>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</si>
  <si>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</si>
  <si>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</si>
  <si>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</si>
  <si>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</si>
  <si>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</si>
  <si>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</si>
  <si>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</si>
  <si>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</si>
  <si>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</si>
  <si>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</si>
  <si>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</si>
  <si>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</si>
  <si>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</si>
  <si>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</si>
  <si>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</si>
  <si>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</si>
  <si>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</si>
  <si>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</si>
  <si>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</si>
  <si>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</si>
  <si>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</si>
  <si>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</si>
  <si>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</si>
  <si>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</si>
  <si>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</si>
  <si>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</si>
  <si>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</si>
  <si>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</si>
  <si>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</si>
  <si>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</si>
  <si>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</si>
  <si>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</si>
  <si>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</si>
  <si>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</si>
  <si>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</si>
  <si>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</si>
  <si>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</si>
  <si>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</si>
  <si>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</si>
  <si>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</si>
  <si>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</si>
  <si>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</si>
  <si>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</si>
  <si>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</si>
  <si>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</si>
  <si>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</si>
  <si>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</si>
  <si>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</si>
  <si>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</si>
  <si>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</si>
  <si>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</si>
  <si>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</si>
  <si>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</si>
  <si>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</si>
  <si>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</si>
  <si>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</si>
  <si>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</si>
  <si>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</si>
  <si>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</si>
  <si>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</si>
  <si>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</si>
  <si>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</si>
  <si>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</si>
  <si>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</si>
  <si>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</si>
  <si>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</si>
  <si>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</si>
  <si>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</si>
  <si>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</si>
  <si>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</si>
  <si>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</si>
  <si>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</si>
  <si>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</si>
  <si>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</si>
  <si>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</si>
  <si>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</si>
  <si>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</si>
  <si>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</si>
  <si>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</si>
  <si>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</si>
  <si>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</si>
  <si>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</si>
  <si>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</si>
  <si>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</si>
  <si>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</si>
  <si>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</si>
  <si>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</si>
  <si>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</si>
  <si>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</si>
  <si>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</si>
  <si>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</si>
  <si>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</si>
  <si>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</si>
  <si>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</si>
  <si>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</si>
  <si>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</si>
  <si>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</si>
  <si>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</si>
  <si>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</si>
  <si>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</si>
  <si>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</si>
  <si>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</si>
  <si>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</si>
  <si>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</si>
  <si>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</si>
  <si>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</si>
  <si>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</si>
  <si>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</si>
  <si>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</si>
  <si>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</si>
  <si>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</si>
  <si>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</si>
  <si>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</si>
  <si>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</si>
  <si>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</si>
  <si>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</si>
  <si>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</si>
  <si>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</si>
  <si>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</si>
  <si>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</si>
  <si>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</si>
  <si>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</si>
  <si>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</si>
  <si>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</si>
  <si>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</si>
  <si>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</si>
  <si>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</si>
  <si>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</si>
  <si>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</si>
  <si>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</si>
  <si>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</si>
  <si>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</si>
  <si>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</si>
  <si>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</si>
  <si>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</si>
  <si>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</si>
  <si>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</si>
  <si>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</si>
  <si>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</si>
  <si>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</si>
  <si>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</si>
  <si>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</si>
  <si>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</si>
  <si>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</si>
  <si>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</si>
  <si>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</si>
  <si>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</si>
  <si>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</si>
  <si>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</si>
  <si>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</si>
  <si>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</si>
  <si>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</si>
  <si>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</si>
  <si>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</si>
  <si>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</si>
  <si>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</si>
  <si>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</si>
  <si>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</si>
  <si>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</si>
  <si>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</si>
  <si>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</si>
  <si>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</si>
  <si>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</si>
  <si>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</si>
  <si>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</si>
  <si>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</si>
  <si>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</si>
  <si>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</si>
  <si>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</si>
  <si>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</si>
  <si>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</si>
  <si>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</si>
  <si>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</si>
  <si>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</si>
  <si>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</si>
  <si>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</si>
  <si>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</si>
  <si>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</si>
  <si>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</si>
  <si>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</si>
  <si>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</si>
  <si>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</si>
  <si>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</si>
  <si>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</si>
  <si>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</si>
  <si>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</si>
  <si>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</si>
  <si>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</si>
  <si>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</si>
  <si>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</si>
  <si>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</si>
  <si>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</si>
  <si>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</si>
  <si>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</si>
  <si>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</si>
  <si>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</si>
  <si>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</si>
  <si>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</si>
  <si>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</si>
  <si>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</si>
  <si>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</si>
  <si>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</si>
  <si>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</si>
  <si>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</si>
  <si>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</si>
  <si>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</si>
  <si>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</si>
  <si>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</si>
  <si>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</si>
  <si>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</si>
  <si>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</si>
  <si>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</si>
  <si>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</si>
  <si>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</si>
  <si>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</si>
  <si>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</si>
  <si>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</si>
  <si>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</si>
  <si>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</si>
  <si>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</si>
  <si>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</si>
  <si>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</si>
  <si>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</si>
  <si>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</si>
  <si>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</si>
  <si>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</si>
  <si>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</si>
  <si>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</si>
  <si>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</si>
  <si>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</si>
  <si>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</si>
  <si>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</si>
  <si>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</si>
  <si>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</si>
  <si>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</si>
  <si>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</si>
  <si>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</si>
  <si>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</si>
  <si>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</si>
  <si>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</si>
  <si>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</si>
  <si>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</si>
  <si>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</si>
  <si>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</si>
  <si>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</si>
  <si>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</si>
  <si>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</si>
  <si>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</si>
  <si>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</si>
  <si>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</si>
  <si>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</si>
  <si>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</si>
  <si>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</si>
  <si>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</si>
  <si>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</si>
  <si>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</si>
  <si>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</si>
  <si>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</si>
  <si>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</si>
  <si>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</si>
  <si>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</si>
  <si>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</si>
  <si>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</si>
  <si>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</si>
  <si>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</si>
  <si>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</si>
  <si>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</si>
  <si>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</si>
  <si>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</si>
  <si>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</si>
  <si>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</si>
  <si>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</si>
  <si>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</si>
  <si>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</si>
  <si>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</si>
  <si>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</si>
  <si>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</si>
  <si>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</si>
  <si>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</si>
  <si>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</si>
  <si>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</si>
  <si>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</si>
  <si>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</si>
  <si>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</si>
  <si>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</si>
  <si>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</si>
  <si>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</si>
  <si>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</si>
  <si>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</si>
  <si>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</si>
  <si>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</si>
  <si>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</si>
  <si>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</si>
  <si>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</si>
  <si>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</si>
  <si>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</si>
  <si>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</si>
  <si>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</si>
  <si>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</si>
  <si>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</si>
  <si>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</si>
  <si>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</si>
  <si>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</si>
  <si>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</si>
  <si>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</si>
  <si>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</si>
  <si>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</si>
  <si>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</si>
  <si>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</si>
  <si>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</si>
  <si>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</si>
  <si>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</si>
  <si>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</si>
  <si>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</si>
  <si>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</si>
  <si>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</si>
  <si>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</si>
  <si>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</si>
  <si>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</si>
  <si>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</si>
  <si>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</si>
  <si>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</si>
  <si>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</si>
  <si>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</si>
  <si>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</si>
  <si>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</si>
  <si>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</si>
  <si>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</si>
  <si>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</si>
  <si>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</si>
  <si>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</si>
  <si>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</si>
  <si>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</si>
  <si>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</si>
  <si>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</si>
  <si>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</si>
  <si>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</si>
  <si>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</si>
  <si>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</si>
  <si>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</si>
  <si>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</si>
  <si>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</si>
  <si>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</si>
  <si>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</si>
  <si>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</si>
  <si>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</si>
  <si>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</si>
  <si>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</si>
  <si>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</si>
  <si>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</si>
  <si>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</si>
  <si>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</si>
  <si>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</si>
  <si>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</si>
  <si>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</si>
  <si>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</si>
  <si>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</si>
  <si>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</si>
  <si>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</si>
  <si>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</si>
  <si>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</si>
  <si>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</si>
  <si>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</si>
  <si>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</si>
  <si>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</si>
  <si>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</si>
  <si>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</si>
  <si>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</si>
  <si>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</si>
  <si>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</si>
  <si>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</si>
  <si>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</si>
  <si>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</si>
  <si>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</si>
  <si>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</si>
  <si>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</si>
  <si>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</si>
  <si>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</si>
  <si>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</si>
  <si>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</si>
  <si>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</si>
  <si>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</si>
  <si>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</si>
  <si>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</si>
  <si>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</si>
  <si>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</si>
  <si>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</si>
  <si>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</si>
  <si>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</si>
  <si>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</si>
  <si>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</si>
  <si>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</si>
  <si>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</si>
  <si>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</si>
  <si>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</si>
  <si>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</si>
  <si>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</si>
  <si>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</si>
  <si>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</si>
  <si>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</si>
  <si>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</si>
  <si>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</si>
  <si>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</si>
  <si>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</si>
  <si>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</si>
  <si>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</si>
  <si>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</si>
  <si>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</si>
  <si>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</si>
  <si>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</si>
  <si>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</si>
  <si>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</si>
  <si>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</si>
  <si>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</si>
  <si>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</si>
  <si>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</si>
  <si>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</si>
  <si>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</si>
  <si>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</si>
  <si>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</si>
  <si>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</si>
  <si>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</si>
  <si>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</si>
  <si>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</si>
  <si>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</si>
  <si>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</si>
  <si>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</si>
  <si>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</si>
  <si>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</si>
  <si>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</si>
  <si>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</si>
  <si>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</si>
  <si>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</si>
  <si>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</si>
  <si>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</si>
  <si>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</si>
  <si>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</si>
  <si>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</si>
  <si>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</si>
  <si>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</si>
  <si>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</si>
  <si>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</si>
  <si>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</si>
  <si>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</si>
  <si>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</si>
  <si>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</si>
  <si>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</si>
  <si>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</si>
  <si>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</si>
  <si>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</si>
  <si>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</si>
  <si>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</si>
  <si>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</si>
  <si>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</si>
  <si>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</si>
  <si>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</si>
  <si>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</si>
  <si>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</si>
  <si>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</si>
  <si>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</si>
  <si>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</si>
  <si>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</si>
  <si>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</si>
  <si>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</si>
  <si>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</si>
  <si>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</si>
  <si>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</si>
  <si>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</si>
  <si>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</si>
  <si>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</si>
  <si>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</si>
  <si>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</si>
  <si>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</si>
  <si>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</si>
  <si>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</si>
  <si>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</si>
  <si>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</si>
  <si>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</si>
  <si>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</si>
  <si>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</si>
  <si>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</si>
  <si>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</si>
  <si>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</si>
  <si>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</si>
  <si>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</si>
  <si>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</si>
  <si>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</si>
  <si>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</si>
  <si>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</si>
  <si>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</si>
  <si>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</si>
  <si>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</si>
  <si>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</si>
  <si>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</si>
  <si>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</si>
  <si>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</si>
  <si>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</si>
  <si>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</si>
  <si>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</si>
  <si>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</si>
  <si>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</si>
  <si>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</si>
  <si>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</si>
  <si>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</si>
  <si>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</si>
  <si>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</si>
  <si>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</si>
  <si>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</si>
  <si>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</si>
  <si>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</si>
  <si>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</si>
  <si>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</si>
  <si>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</si>
  <si>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</si>
  <si>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</si>
  <si>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</si>
  <si>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</si>
  <si>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</si>
  <si>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</si>
  <si>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</si>
  <si>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</si>
  <si>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</si>
  <si>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</si>
  <si>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</si>
  <si>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</si>
  <si>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09/99</t>
  </si>
  <si>
    <t>09/15</t>
  </si>
  <si>
    <t>08/07</t>
  </si>
  <si>
    <t>11/22</t>
  </si>
  <si>
    <t>01/23</t>
  </si>
  <si>
    <t>01/10</t>
  </si>
  <si>
    <t>07/25</t>
  </si>
  <si>
    <t>PEMBROKE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</si>
</sst>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CF39-84C4-4D72-A966-038083780AA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901</v>
      </c>
      <c r="B2" s="21">
        <v>427</v>
      </c>
      <c r="C2" s="21">
        <v>427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537882.92000000004</v>
      </c>
      <c r="G9" s="18">
        <v>217978.39</v>
      </c>
      <c r="H9" s="18"/>
      <c r="I9" s="18">
        <v>0</v>
      </c>
      <c r="J9" s="67">
        <f>SUM(I431)</f>
        <v>588079.02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211357.76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335636.08</v>
      </c>
      <c r="G13" s="18">
        <v>16768.3</v>
      </c>
      <c r="H13" s="18">
        <v>190034.91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6355.4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50</v>
      </c>
      <c r="G17" s="18">
        <v>2952.45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1084926.76</v>
      </c>
      <c r="G19" s="41">
        <f>SUM(G9:G18)</f>
        <v>244054.54</v>
      </c>
      <c r="H19" s="41">
        <f>SUM(H9:H18)</f>
        <v>190034.91</v>
      </c>
      <c r="I19" s="41">
        <f>SUM(I9:I18)</f>
        <v>0</v>
      </c>
      <c r="J19" s="41">
        <f>SUM(J9:J18)</f>
        <v>588079.02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 t="s">
        <v>310</v>
      </c>
      <c r="G23" s="18">
        <v>79723.600000000006</v>
      </c>
      <c r="H23" s="18">
        <v>131634.16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275408.76</v>
      </c>
      <c r="G24" s="18">
        <v>3188.43</v>
      </c>
      <c r="H24" s="18">
        <v>42938.75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75756.23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247222.27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3295.2</v>
      </c>
      <c r="G31" s="18"/>
      <c r="H31" s="18">
        <v>15462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601682.46</v>
      </c>
      <c r="G33" s="41">
        <f>SUM(G23:G32)</f>
        <v>82912.03</v>
      </c>
      <c r="H33" s="41">
        <f>SUM(H23:H32)</f>
        <v>190034.91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200000</v>
      </c>
      <c r="G41" s="18">
        <v>161142.51</v>
      </c>
      <c r="H41" s="18"/>
      <c r="I41" s="18"/>
      <c r="J41" s="13">
        <f>SUM(I449)</f>
        <v>588079.02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283244.3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483244.3</v>
      </c>
      <c r="G43" s="41">
        <f>SUM(G35:G42)</f>
        <v>161142.51</v>
      </c>
      <c r="H43" s="41">
        <f>SUM(H35:H42)</f>
        <v>0</v>
      </c>
      <c r="I43" s="41">
        <f>SUM(I35:I42)</f>
        <v>0</v>
      </c>
      <c r="J43" s="41">
        <f>SUM(J35:J42)</f>
        <v>588079.02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1084926.76</v>
      </c>
      <c r="G44" s="41">
        <f>G43+G33</f>
        <v>244054.54</v>
      </c>
      <c r="H44" s="41">
        <f>H43+H33</f>
        <v>190034.91</v>
      </c>
      <c r="I44" s="41">
        <f>I43+I33</f>
        <v>0</v>
      </c>
      <c r="J44" s="41">
        <f>J43+J33</f>
        <v>588079.02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9127260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9127260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38572.35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12134.35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21753.83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4951024.3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702500.03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5713850.5099999998</v>
      </c>
      <c r="G71" s="45" t="s">
        <v>312</v>
      </c>
      <c r="H71" s="41">
        <f>SUM(H55:H70)</f>
        <v>12134.35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1995.35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5941.08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7936.43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1964.85</v>
      </c>
      <c r="G88" s="18">
        <v>69.66</v>
      </c>
      <c r="H88" s="18"/>
      <c r="I88" s="18"/>
      <c r="J88" s="18">
        <v>614.74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441198.89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6492.3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32896.61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50576.800000000003</v>
      </c>
      <c r="G102" s="18">
        <v>595.29999999999995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91930.559999999998</v>
      </c>
      <c r="G103" s="41">
        <f>SUM(G88:G102)</f>
        <v>441863.85</v>
      </c>
      <c r="H103" s="41">
        <f>SUM(H88:H102)</f>
        <v>0</v>
      </c>
      <c r="I103" s="41">
        <f>SUM(I88:I102)</f>
        <v>0</v>
      </c>
      <c r="J103" s="41">
        <f>SUM(J88:J102)</f>
        <v>614.74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14940977.5</v>
      </c>
      <c r="G104" s="41">
        <f>G52+G103</f>
        <v>441863.85</v>
      </c>
      <c r="H104" s="41">
        <f>H52+H71+H86+H103</f>
        <v>12134.35</v>
      </c>
      <c r="I104" s="41">
        <f>I52+I103</f>
        <v>0</v>
      </c>
      <c r="J104" s="41">
        <f>J52+J103</f>
        <v>614.74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5332967.7699999996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1374341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193425.23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6900734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361726.78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498839.92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13742.79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6347.83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874309.49</v>
      </c>
      <c r="G128" s="41">
        <f>SUM(G115:G127)</f>
        <v>6347.83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7775043.4900000002</v>
      </c>
      <c r="G132" s="41">
        <f>G113+SUM(G128:G129)</f>
        <v>6347.83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361103.29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209932.88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31418.74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210284.33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266390.11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266390.11</v>
      </c>
      <c r="G154" s="41">
        <f>SUM(G142:G153)</f>
        <v>210284.33</v>
      </c>
      <c r="H154" s="41">
        <f>SUM(H142:H153)</f>
        <v>602454.90999999992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266390.11</v>
      </c>
      <c r="G161" s="41">
        <f>G139+G154+SUM(G155:G160)</f>
        <v>210284.33</v>
      </c>
      <c r="H161" s="41">
        <f>H139+H154+SUM(H155:H160)</f>
        <v>602454.90999999992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2087.67</v>
      </c>
      <c r="H171" s="18"/>
      <c r="I171" s="18"/>
      <c r="J171" s="18">
        <v>250000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2087.67</v>
      </c>
      <c r="H175" s="41">
        <f>SUM(H171:H174)</f>
        <v>0</v>
      </c>
      <c r="I175" s="41">
        <f>SUM(I171:I174)</f>
        <v>0</v>
      </c>
      <c r="J175" s="41">
        <f>SUM(J171:J174)</f>
        <v>250000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52707.75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123684.85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176392.6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176392.6</v>
      </c>
      <c r="G184" s="41">
        <f>G175+SUM(G180:G183)</f>
        <v>2087.67</v>
      </c>
      <c r="H184" s="41">
        <f>+H175+SUM(H180:H183)</f>
        <v>0</v>
      </c>
      <c r="I184" s="41">
        <f>I169+I175+SUM(I180:I183)</f>
        <v>0</v>
      </c>
      <c r="J184" s="41">
        <f>J175</f>
        <v>250000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23158803.700000003</v>
      </c>
      <c r="G185" s="47">
        <f>G104+G132+G161+G184</f>
        <v>660583.68000000005</v>
      </c>
      <c r="H185" s="47">
        <f>H104+H132+H161+H184</f>
        <v>614589.25999999989</v>
      </c>
      <c r="I185" s="47">
        <f>I104+I132+I161+I184</f>
        <v>0</v>
      </c>
      <c r="J185" s="47">
        <f>J104+J132+J184</f>
        <v>250614.74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3054824.18</v>
      </c>
      <c r="G189" s="18">
        <v>1511989.88</v>
      </c>
      <c r="H189" s="18">
        <v>31204.58</v>
      </c>
      <c r="I189" s="18">
        <v>69958.990000000005</v>
      </c>
      <c r="J189" s="18">
        <v>49540.04</v>
      </c>
      <c r="K189" s="18">
        <v>0</v>
      </c>
      <c r="L189" s="19">
        <f>SUM(F189:K189)</f>
        <v>4717517.6700000009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1367450.55</v>
      </c>
      <c r="G190" s="18">
        <v>675980.88</v>
      </c>
      <c r="H190" s="18">
        <v>659114.68000000005</v>
      </c>
      <c r="I190" s="18">
        <v>8625.84</v>
      </c>
      <c r="J190" s="18">
        <v>11106.62</v>
      </c>
      <c r="K190" s="18">
        <v>609</v>
      </c>
      <c r="L190" s="19">
        <f>SUM(F190:K190)</f>
        <v>2722887.5700000003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>
        <v>0</v>
      </c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37389</v>
      </c>
      <c r="G192" s="18">
        <v>3310.93</v>
      </c>
      <c r="H192" s="18">
        <v>4260</v>
      </c>
      <c r="I192" s="18">
        <v>1906.18</v>
      </c>
      <c r="J192" s="18">
        <v>412.04</v>
      </c>
      <c r="K192" s="18">
        <v>300</v>
      </c>
      <c r="L192" s="19">
        <f>SUM(F192:K192)</f>
        <v>47578.15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255525</v>
      </c>
      <c r="G194" s="18">
        <v>126918.86</v>
      </c>
      <c r="H194" s="18">
        <v>443799.61</v>
      </c>
      <c r="I194" s="18">
        <v>8385.4699999999993</v>
      </c>
      <c r="J194" s="18">
        <v>0</v>
      </c>
      <c r="K194" s="18"/>
      <c r="L194" s="19">
        <f t="shared" ref="L194:L200" si="0">SUM(F194:K194)</f>
        <v>834628.94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115667.34</v>
      </c>
      <c r="G195" s="18">
        <v>77317.22</v>
      </c>
      <c r="H195" s="18">
        <v>14549.46</v>
      </c>
      <c r="I195" s="18">
        <v>13466.62</v>
      </c>
      <c r="J195" s="18">
        <v>299.98</v>
      </c>
      <c r="K195" s="18"/>
      <c r="L195" s="19">
        <f t="shared" si="0"/>
        <v>221300.62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4594.0200000000004</v>
      </c>
      <c r="G196" s="18">
        <v>2207.2800000000002</v>
      </c>
      <c r="H196" s="18">
        <v>278561.31</v>
      </c>
      <c r="I196" s="18">
        <v>629.22</v>
      </c>
      <c r="J196" s="18"/>
      <c r="K196" s="18">
        <v>3923.2</v>
      </c>
      <c r="L196" s="19">
        <f t="shared" si="0"/>
        <v>289915.02999999997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490182.33</v>
      </c>
      <c r="G197" s="18">
        <v>242801.3</v>
      </c>
      <c r="H197" s="18">
        <v>14460.21</v>
      </c>
      <c r="I197" s="18">
        <v>7287.46</v>
      </c>
      <c r="J197" s="18">
        <v>5524.06</v>
      </c>
      <c r="K197" s="18">
        <v>3756.94</v>
      </c>
      <c r="L197" s="19">
        <f t="shared" si="0"/>
        <v>764012.29999999993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281495.98</v>
      </c>
      <c r="G199" s="18">
        <v>137955.28</v>
      </c>
      <c r="H199" s="18">
        <v>136916.91</v>
      </c>
      <c r="I199" s="18">
        <v>181182.68</v>
      </c>
      <c r="J199" s="18">
        <v>1148.2</v>
      </c>
      <c r="K199" s="18"/>
      <c r="L199" s="19">
        <f t="shared" si="0"/>
        <v>738699.05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413113.87</v>
      </c>
      <c r="I200" s="18"/>
      <c r="J200" s="18"/>
      <c r="K200" s="18"/>
      <c r="L200" s="19">
        <f t="shared" si="0"/>
        <v>413113.87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5607128.4000000004</v>
      </c>
      <c r="G203" s="41">
        <f t="shared" si="1"/>
        <v>2778481.6299999994</v>
      </c>
      <c r="H203" s="41">
        <f t="shared" si="1"/>
        <v>1995980.63</v>
      </c>
      <c r="I203" s="41">
        <f t="shared" si="1"/>
        <v>291442.45999999996</v>
      </c>
      <c r="J203" s="41">
        <f t="shared" si="1"/>
        <v>68030.94</v>
      </c>
      <c r="K203" s="41">
        <f t="shared" si="1"/>
        <v>8589.14</v>
      </c>
      <c r="L203" s="41">
        <f t="shared" si="1"/>
        <v>10749653.200000001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>
        <v>0</v>
      </c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2640954.54</v>
      </c>
      <c r="G225" s="18">
        <v>1153125.08</v>
      </c>
      <c r="H225" s="18">
        <v>49941.1</v>
      </c>
      <c r="I225" s="18">
        <v>108781.93</v>
      </c>
      <c r="J225" s="18">
        <v>60808.01</v>
      </c>
      <c r="K225" s="18">
        <v>1742</v>
      </c>
      <c r="L225" s="19">
        <f>SUM(F225:K225)</f>
        <v>4015352.66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888896.85</v>
      </c>
      <c r="G226" s="18">
        <v>387667.32</v>
      </c>
      <c r="H226" s="18">
        <v>956788.16</v>
      </c>
      <c r="I226" s="18">
        <v>9102.9599999999991</v>
      </c>
      <c r="J226" s="18">
        <v>6582.25</v>
      </c>
      <c r="K226" s="18">
        <v>895</v>
      </c>
      <c r="L226" s="19">
        <f>SUM(F226:K226)</f>
        <v>2249932.54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637011.51</v>
      </c>
      <c r="G227" s="18">
        <v>279021.7</v>
      </c>
      <c r="H227" s="18">
        <v>193243.18</v>
      </c>
      <c r="I227" s="18">
        <v>27413.22</v>
      </c>
      <c r="J227" s="18">
        <v>53.89</v>
      </c>
      <c r="K227" s="18">
        <v>0</v>
      </c>
      <c r="L227" s="19">
        <f>SUM(F227:K227)</f>
        <v>1136743.4999999998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257425</v>
      </c>
      <c r="G228" s="18">
        <v>113584.05</v>
      </c>
      <c r="H228" s="18">
        <v>44473</v>
      </c>
      <c r="I228" s="18">
        <v>12617.25</v>
      </c>
      <c r="J228" s="18">
        <v>1128.4000000000001</v>
      </c>
      <c r="K228" s="18">
        <v>25340.22</v>
      </c>
      <c r="L228" s="19">
        <f>SUM(F228:K228)</f>
        <v>454567.92000000004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381844.07</v>
      </c>
      <c r="G230" s="18">
        <v>165437.64000000001</v>
      </c>
      <c r="H230" s="18">
        <v>275180.96000000002</v>
      </c>
      <c r="I230" s="18">
        <v>3275.8</v>
      </c>
      <c r="J230" s="18">
        <v>0</v>
      </c>
      <c r="K230" s="18">
        <v>35</v>
      </c>
      <c r="L230" s="19">
        <f t="shared" ref="L230:L236" si="4">SUM(F230:K230)</f>
        <v>825773.47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80054.399999999994</v>
      </c>
      <c r="G231" s="18">
        <v>58643.82</v>
      </c>
      <c r="H231" s="18">
        <v>13230.52</v>
      </c>
      <c r="I231" s="18">
        <v>33739.589999999997</v>
      </c>
      <c r="J231" s="18">
        <v>411.99</v>
      </c>
      <c r="K231" s="18"/>
      <c r="L231" s="19">
        <f t="shared" si="4"/>
        <v>186080.31999999998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4596</v>
      </c>
      <c r="G232" s="18">
        <v>2469.2199999999998</v>
      </c>
      <c r="H232" s="18">
        <v>288777.48</v>
      </c>
      <c r="I232" s="18">
        <v>654.21</v>
      </c>
      <c r="J232" s="18"/>
      <c r="K232" s="18">
        <v>3765.8</v>
      </c>
      <c r="L232" s="19">
        <f t="shared" si="4"/>
        <v>300262.70999999996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451957.15</v>
      </c>
      <c r="G233" s="18">
        <v>206128.16</v>
      </c>
      <c r="H233" s="18">
        <v>26424.19</v>
      </c>
      <c r="I233" s="18">
        <v>18653.61</v>
      </c>
      <c r="J233" s="18">
        <v>13146.68</v>
      </c>
      <c r="K233" s="18">
        <v>19348.8</v>
      </c>
      <c r="L233" s="19">
        <f t="shared" si="4"/>
        <v>735658.59000000008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322614.12</v>
      </c>
      <c r="G235" s="18">
        <v>140745.46</v>
      </c>
      <c r="H235" s="18">
        <v>106223.06</v>
      </c>
      <c r="I235" s="18">
        <v>167533.07999999999</v>
      </c>
      <c r="J235" s="18">
        <v>6297.34</v>
      </c>
      <c r="K235" s="18"/>
      <c r="L235" s="19">
        <f t="shared" si="4"/>
        <v>743413.05999999982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244898.29</v>
      </c>
      <c r="I236" s="18"/>
      <c r="J236" s="18"/>
      <c r="K236" s="18"/>
      <c r="L236" s="19">
        <f t="shared" si="4"/>
        <v>244898.29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5665353.6400000015</v>
      </c>
      <c r="G239" s="41">
        <f t="shared" si="5"/>
        <v>2506822.4500000002</v>
      </c>
      <c r="H239" s="41">
        <f t="shared" si="5"/>
        <v>2199179.94</v>
      </c>
      <c r="I239" s="41">
        <f t="shared" si="5"/>
        <v>381771.64999999991</v>
      </c>
      <c r="J239" s="41">
        <f t="shared" si="5"/>
        <v>88428.56</v>
      </c>
      <c r="K239" s="41">
        <f t="shared" si="5"/>
        <v>51126.82</v>
      </c>
      <c r="L239" s="41">
        <f t="shared" si="5"/>
        <v>10892683.060000001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365120.48</v>
      </c>
      <c r="I247" s="18"/>
      <c r="J247" s="18"/>
      <c r="K247" s="18"/>
      <c r="L247" s="19">
        <f t="shared" si="6"/>
        <v>365120.48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365120.48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365120.48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11272482.040000003</v>
      </c>
      <c r="G249" s="41">
        <f t="shared" si="8"/>
        <v>5285304.08</v>
      </c>
      <c r="H249" s="41">
        <f t="shared" si="8"/>
        <v>4560281.0500000007</v>
      </c>
      <c r="I249" s="41">
        <f t="shared" si="8"/>
        <v>673214.10999999987</v>
      </c>
      <c r="J249" s="41">
        <f t="shared" si="8"/>
        <v>156459.5</v>
      </c>
      <c r="K249" s="41">
        <f t="shared" si="8"/>
        <v>59715.96</v>
      </c>
      <c r="L249" s="41">
        <f t="shared" si="8"/>
        <v>22007456.740000002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575000</v>
      </c>
      <c r="L252" s="19">
        <f>SUM(F252:K252)</f>
        <v>575000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113831.63</v>
      </c>
      <c r="L253" s="19">
        <f>SUM(F253:K253)</f>
        <v>113831.63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2087.67</v>
      </c>
      <c r="L255" s="19">
        <f>SUM(F255:K255)</f>
        <v>2087.67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250000</v>
      </c>
      <c r="L258" s="19">
        <f t="shared" si="9"/>
        <v>250000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940919.3</v>
      </c>
      <c r="L262" s="41">
        <f t="shared" si="9"/>
        <v>940919.3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11272482.040000003</v>
      </c>
      <c r="G263" s="42">
        <f t="shared" si="11"/>
        <v>5285304.08</v>
      </c>
      <c r="H263" s="42">
        <f t="shared" si="11"/>
        <v>4560281.0500000007</v>
      </c>
      <c r="I263" s="42">
        <f t="shared" si="11"/>
        <v>673214.10999999987</v>
      </c>
      <c r="J263" s="42">
        <f t="shared" si="11"/>
        <v>156459.5</v>
      </c>
      <c r="K263" s="42">
        <f t="shared" si="11"/>
        <v>1000635.26</v>
      </c>
      <c r="L263" s="42">
        <f t="shared" si="11"/>
        <v>22948376.040000003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121833.42</v>
      </c>
      <c r="G268" s="18">
        <v>13763.8</v>
      </c>
      <c r="H268" s="18">
        <v>91135.37</v>
      </c>
      <c r="I268" s="18">
        <v>7188.35</v>
      </c>
      <c r="J268" s="18">
        <v>34076.9</v>
      </c>
      <c r="K268" s="18"/>
      <c r="L268" s="19">
        <f>SUM(F268:K268)</f>
        <v>267997.84000000003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19700</v>
      </c>
      <c r="I269" s="18">
        <v>6190</v>
      </c>
      <c r="J269" s="18">
        <v>50834.55</v>
      </c>
      <c r="K269" s="18"/>
      <c r="L269" s="19">
        <f>SUM(F269:K269)</f>
        <v>76724.55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>
        <v>0</v>
      </c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6000</v>
      </c>
      <c r="G273" s="18"/>
      <c r="H273" s="18"/>
      <c r="I273" s="18"/>
      <c r="J273" s="18"/>
      <c r="K273" s="18"/>
      <c r="L273" s="19">
        <f t="shared" ref="L273:L279" si="12">SUM(F273:K273)</f>
        <v>6000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815.18</v>
      </c>
      <c r="H274" s="18"/>
      <c r="I274" s="18"/>
      <c r="J274" s="18"/>
      <c r="K274" s="18"/>
      <c r="L274" s="19">
        <f t="shared" si="12"/>
        <v>815.18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8462.73</v>
      </c>
      <c r="L275" s="19">
        <f t="shared" si="12"/>
        <v>8462.73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127833.42</v>
      </c>
      <c r="G282" s="42">
        <f t="shared" si="13"/>
        <v>14578.98</v>
      </c>
      <c r="H282" s="42">
        <f t="shared" si="13"/>
        <v>110835.37</v>
      </c>
      <c r="I282" s="42">
        <f t="shared" si="13"/>
        <v>13378.35</v>
      </c>
      <c r="J282" s="42">
        <f t="shared" si="13"/>
        <v>84911.450000000012</v>
      </c>
      <c r="K282" s="42">
        <f t="shared" si="13"/>
        <v>8462.73</v>
      </c>
      <c r="L282" s="41">
        <f t="shared" si="13"/>
        <v>360000.3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>
        <v>0</v>
      </c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107656.88</v>
      </c>
      <c r="G306" s="18">
        <v>25646.03</v>
      </c>
      <c r="H306" s="18">
        <v>7229.93</v>
      </c>
      <c r="I306" s="18">
        <v>730</v>
      </c>
      <c r="J306" s="18">
        <v>11313.2</v>
      </c>
      <c r="K306" s="18"/>
      <c r="L306" s="19">
        <f>SUM(F306:K306)</f>
        <v>152576.04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40000</v>
      </c>
      <c r="G307" s="18">
        <v>3266.54</v>
      </c>
      <c r="H307" s="18"/>
      <c r="I307" s="18">
        <v>2762.5</v>
      </c>
      <c r="J307" s="18">
        <v>23135.25</v>
      </c>
      <c r="K307" s="18"/>
      <c r="L307" s="19">
        <f>SUM(F307:K307)</f>
        <v>69164.290000000008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>
        <v>0</v>
      </c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26087</v>
      </c>
      <c r="G309" s="18">
        <v>4549.0200000000004</v>
      </c>
      <c r="H309" s="18"/>
      <c r="I309" s="18">
        <v>76.34</v>
      </c>
      <c r="J309" s="18"/>
      <c r="K309" s="18"/>
      <c r="L309" s="19">
        <f>SUM(F309:K309)</f>
        <v>30712.36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900</v>
      </c>
      <c r="I312" s="18"/>
      <c r="J312" s="18"/>
      <c r="K312" s="18"/>
      <c r="L312" s="19">
        <f t="shared" si="16"/>
        <v>900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v>1236.27</v>
      </c>
      <c r="L313" s="19">
        <f t="shared" si="16"/>
        <v>1236.27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173743.88</v>
      </c>
      <c r="G320" s="42">
        <f t="shared" si="17"/>
        <v>33461.589999999997</v>
      </c>
      <c r="H320" s="42">
        <f t="shared" si="17"/>
        <v>8129.93</v>
      </c>
      <c r="I320" s="42">
        <f t="shared" si="17"/>
        <v>3568.84</v>
      </c>
      <c r="J320" s="42">
        <f t="shared" si="17"/>
        <v>34448.449999999997</v>
      </c>
      <c r="K320" s="42">
        <f t="shared" si="17"/>
        <v>1236.27</v>
      </c>
      <c r="L320" s="41">
        <f t="shared" si="17"/>
        <v>254588.96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301577.3</v>
      </c>
      <c r="G330" s="41">
        <f t="shared" si="20"/>
        <v>48040.569999999992</v>
      </c>
      <c r="H330" s="41">
        <f t="shared" si="20"/>
        <v>118965.29999999999</v>
      </c>
      <c r="I330" s="41">
        <f t="shared" si="20"/>
        <v>16947.190000000002</v>
      </c>
      <c r="J330" s="41">
        <f t="shared" si="20"/>
        <v>119359.90000000001</v>
      </c>
      <c r="K330" s="41">
        <f t="shared" si="20"/>
        <v>9699</v>
      </c>
      <c r="L330" s="41">
        <f t="shared" si="20"/>
        <v>614589.26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301577.3</v>
      </c>
      <c r="G344" s="41">
        <f>G330</f>
        <v>48040.569999999992</v>
      </c>
      <c r="H344" s="41">
        <f>H330</f>
        <v>118965.29999999999</v>
      </c>
      <c r="I344" s="41">
        <f>I330</f>
        <v>16947.190000000002</v>
      </c>
      <c r="J344" s="41">
        <f>J330</f>
        <v>119359.90000000001</v>
      </c>
      <c r="K344" s="47">
        <f>K330+K343</f>
        <v>9699</v>
      </c>
      <c r="L344" s="41">
        <f>L330+L343</f>
        <v>614589.26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112400.7</v>
      </c>
      <c r="G350" s="18">
        <v>32756.42</v>
      </c>
      <c r="H350" s="18">
        <v>7206.75</v>
      </c>
      <c r="I350" s="18">
        <v>139056.29999999999</v>
      </c>
      <c r="J350" s="18">
        <v>2007.69</v>
      </c>
      <c r="K350" s="18">
        <v>0</v>
      </c>
      <c r="L350" s="13">
        <f>SUM(F350:K350)</f>
        <v>293427.86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137378.63</v>
      </c>
      <c r="G352" s="18">
        <v>40035.620000000003</v>
      </c>
      <c r="H352" s="18">
        <v>8808.25</v>
      </c>
      <c r="I352" s="18">
        <v>169957.71</v>
      </c>
      <c r="J352" s="18">
        <v>2453.84</v>
      </c>
      <c r="K352" s="18"/>
      <c r="L352" s="19">
        <f>SUM(F352:K352)</f>
        <v>358634.05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249779.33000000002</v>
      </c>
      <c r="G354" s="47">
        <f t="shared" si="22"/>
        <v>72792.040000000008</v>
      </c>
      <c r="H354" s="47">
        <f t="shared" si="22"/>
        <v>16015</v>
      </c>
      <c r="I354" s="47">
        <f t="shared" si="22"/>
        <v>309014.01</v>
      </c>
      <c r="J354" s="47">
        <f t="shared" si="22"/>
        <v>4461.5300000000007</v>
      </c>
      <c r="K354" s="47">
        <f t="shared" si="22"/>
        <v>0</v>
      </c>
      <c r="L354" s="47">
        <f t="shared" si="22"/>
        <v>652061.90999999992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119555.14</v>
      </c>
      <c r="G359" s="18"/>
      <c r="H359" s="18">
        <v>146122.95000000001</v>
      </c>
      <c r="I359" s="56">
        <f>SUM(F359:H359)</f>
        <v>265678.09000000003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19501.16</v>
      </c>
      <c r="G360" s="63"/>
      <c r="H360" s="63">
        <v>23834.76</v>
      </c>
      <c r="I360" s="56">
        <f>SUM(F360:H360)</f>
        <v>43335.92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139056.29999999999</v>
      </c>
      <c r="G361" s="47">
        <f>SUM(G359:G360)</f>
        <v>0</v>
      </c>
      <c r="H361" s="47">
        <f>SUM(H359:H360)</f>
        <v>169957.71000000002</v>
      </c>
      <c r="I361" s="47">
        <f>SUM(I359:I360)</f>
        <v>309014.01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1975773.3</v>
      </c>
      <c r="I371" s="18"/>
      <c r="J371" s="18">
        <v>32206.75</v>
      </c>
      <c r="K371" s="18"/>
      <c r="L371" s="13">
        <f t="shared" si="23"/>
        <v>2007980.05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1975773.3</v>
      </c>
      <c r="I374" s="41">
        <f t="shared" si="24"/>
        <v>0</v>
      </c>
      <c r="J374" s="47">
        <f t="shared" si="24"/>
        <v>32206.75</v>
      </c>
      <c r="K374" s="47">
        <f t="shared" si="24"/>
        <v>0</v>
      </c>
      <c r="L374" s="47">
        <f t="shared" si="24"/>
        <v>2007980.05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125000</v>
      </c>
      <c r="H381" s="18">
        <v>115.43</v>
      </c>
      <c r="I381" s="18"/>
      <c r="J381" s="24" t="s">
        <v>312</v>
      </c>
      <c r="K381" s="24" t="s">
        <v>312</v>
      </c>
      <c r="L381" s="56">
        <f t="shared" si="25"/>
        <v>125115.43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 t="s">
        <v>310</v>
      </c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125000</v>
      </c>
      <c r="H385" s="139">
        <f>SUM(H379:H384)</f>
        <v>115.43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125115.43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323.77999999999997</v>
      </c>
      <c r="I389" s="18"/>
      <c r="J389" s="24" t="s">
        <v>312</v>
      </c>
      <c r="K389" s="24" t="s">
        <v>312</v>
      </c>
      <c r="L389" s="56">
        <f t="shared" si="26"/>
        <v>25323.78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100000</v>
      </c>
      <c r="H392" s="18">
        <v>175.53</v>
      </c>
      <c r="I392" s="18"/>
      <c r="J392" s="24" t="s">
        <v>312</v>
      </c>
      <c r="K392" s="24" t="s">
        <v>312</v>
      </c>
      <c r="L392" s="56">
        <f t="shared" si="26"/>
        <v>100175.53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125000</v>
      </c>
      <c r="H393" s="47">
        <f>SUM(H387:H392)</f>
        <v>499.30999999999995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125499.31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250000</v>
      </c>
      <c r="H400" s="47">
        <f>H385+H393+H399</f>
        <v>614.74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250614.74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 t="s">
        <v>310</v>
      </c>
      <c r="I407" s="18"/>
      <c r="J407" s="18"/>
      <c r="K407" s="18">
        <v>52707.75</v>
      </c>
      <c r="L407" s="56">
        <f t="shared" si="27"/>
        <v>52707.75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52707.75</v>
      </c>
      <c r="L411" s="47">
        <f t="shared" si="28"/>
        <v>52707.75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37363</v>
      </c>
      <c r="L415" s="56">
        <f t="shared" si="29"/>
        <v>37363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86321.85</v>
      </c>
      <c r="L418" s="56">
        <f t="shared" si="29"/>
        <v>86321.85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123684.85</v>
      </c>
      <c r="L419" s="47">
        <f t="shared" si="30"/>
        <v>123684.85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176392.6</v>
      </c>
      <c r="L426" s="47">
        <f t="shared" si="32"/>
        <v>176392.6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145654.17000000001</v>
      </c>
      <c r="G431" s="18">
        <v>442424.85</v>
      </c>
      <c r="H431" s="18"/>
      <c r="I431" s="56">
        <f t="shared" ref="I431:I437" si="33">SUM(F431:H431)</f>
        <v>588079.02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145654.17000000001</v>
      </c>
      <c r="G438" s="13">
        <f>SUM(G431:G437)</f>
        <v>442424.85</v>
      </c>
      <c r="H438" s="13">
        <f>SUM(H431:H437)</f>
        <v>0</v>
      </c>
      <c r="I438" s="13">
        <f>SUM(I431:I437)</f>
        <v>588079.02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145654.17000000001</v>
      </c>
      <c r="G449" s="18">
        <v>442424.85</v>
      </c>
      <c r="H449" s="18"/>
      <c r="I449" s="56">
        <f>SUM(F449:H449)</f>
        <v>588079.02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145654.17000000001</v>
      </c>
      <c r="G450" s="83">
        <f>SUM(G446:G449)</f>
        <v>442424.85</v>
      </c>
      <c r="H450" s="83">
        <f>SUM(H446:H449)</f>
        <v>0</v>
      </c>
      <c r="I450" s="83">
        <f>SUM(I446:I449)</f>
        <v>588079.02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145654.17000000001</v>
      </c>
      <c r="G451" s="42">
        <f>G444+G450</f>
        <v>442424.85</v>
      </c>
      <c r="H451" s="42">
        <f>H444+H450</f>
        <v>0</v>
      </c>
      <c r="I451" s="42">
        <f>I444+I450</f>
        <v>588079.02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272816.64000000001</v>
      </c>
      <c r="G455" s="18">
        <v>152620.74</v>
      </c>
      <c r="H455" s="18"/>
      <c r="I455" s="18">
        <v>2007980.05</v>
      </c>
      <c r="J455" s="18">
        <v>513856.88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23158803.699999999</v>
      </c>
      <c r="G458" s="18">
        <v>660583.68000000005</v>
      </c>
      <c r="H458" s="18">
        <v>614589.26</v>
      </c>
      <c r="I458" s="18">
        <v>0</v>
      </c>
      <c r="J458" s="18">
        <v>250614.74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23158803.699999999</v>
      </c>
      <c r="G460" s="53">
        <f>SUM(G458:G459)</f>
        <v>660583.68000000005</v>
      </c>
      <c r="H460" s="53">
        <f>SUM(H458:H459)</f>
        <v>614589.26</v>
      </c>
      <c r="I460" s="53">
        <f>SUM(I458:I459)</f>
        <v>0</v>
      </c>
      <c r="J460" s="53">
        <f>SUM(J458:J459)</f>
        <v>250614.74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22948376.039999999</v>
      </c>
      <c r="G462" s="18">
        <v>652061.91</v>
      </c>
      <c r="H462" s="18">
        <v>614589.26</v>
      </c>
      <c r="I462" s="18">
        <v>2007980.05</v>
      </c>
      <c r="J462" s="18">
        <v>176392.6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22948376.039999999</v>
      </c>
      <c r="G464" s="53">
        <f>SUM(G462:G463)</f>
        <v>652061.91</v>
      </c>
      <c r="H464" s="53">
        <f>SUM(H462:H463)</f>
        <v>614589.26</v>
      </c>
      <c r="I464" s="53">
        <f>SUM(I462:I463)</f>
        <v>2007980.05</v>
      </c>
      <c r="J464" s="53">
        <f>SUM(J462:J463)</f>
        <v>176392.6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483244.30000000075</v>
      </c>
      <c r="G466" s="53">
        <f>(G455+G460)- G464</f>
        <v>161142.51</v>
      </c>
      <c r="H466" s="53">
        <f>(H455+H460)- H464</f>
        <v>0</v>
      </c>
      <c r="I466" s="53">
        <f>(I455+I460)- I464</f>
        <v>0</v>
      </c>
      <c r="J466" s="53">
        <f>(J455+J460)- J464</f>
        <v>588079.02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15</v>
      </c>
      <c r="H480" s="154">
        <v>15</v>
      </c>
      <c r="I480" s="154">
        <v>15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896</v>
      </c>
      <c r="I481" s="155" t="s">
        <v>899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898</v>
      </c>
      <c r="I482" s="155" t="s">
        <v>900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8445000</v>
      </c>
      <c r="G483" s="18">
        <v>360109</v>
      </c>
      <c r="H483" s="18">
        <v>2459891</v>
      </c>
      <c r="I483" s="18">
        <v>3600000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4.25</v>
      </c>
      <c r="G484" s="18">
        <v>4.68</v>
      </c>
      <c r="H484" s="18">
        <v>4.3</v>
      </c>
      <c r="I484" s="18">
        <v>1.65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2695000</v>
      </c>
      <c r="G485" s="18">
        <v>325120.46999999997</v>
      </c>
      <c r="H485" s="18">
        <v>2214452.9300000002</v>
      </c>
      <c r="I485" s="18">
        <v>3600000</v>
      </c>
      <c r="J485" s="18"/>
      <c r="K485" s="53">
        <f>SUM(F485:J485)</f>
        <v>8834573.4000000004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575000</v>
      </c>
      <c r="G487" s="18">
        <v>18731.72</v>
      </c>
      <c r="H487" s="18">
        <v>130689.95</v>
      </c>
      <c r="I487" s="18"/>
      <c r="J487" s="18"/>
      <c r="K487" s="53">
        <f t="shared" si="34"/>
        <v>724421.66999999993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2120000</v>
      </c>
      <c r="G488" s="205">
        <v>306388.75</v>
      </c>
      <c r="H488" s="205">
        <v>2083762.98</v>
      </c>
      <c r="I488" s="205">
        <v>3600000</v>
      </c>
      <c r="J488" s="205"/>
      <c r="K488" s="206">
        <f t="shared" si="34"/>
        <v>8110151.7300000004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214776.52</v>
      </c>
      <c r="G489" s="18">
        <v>100979.59</v>
      </c>
      <c r="H489" s="18">
        <v>627174.09</v>
      </c>
      <c r="I489" s="18">
        <v>502590</v>
      </c>
      <c r="J489" s="18"/>
      <c r="K489" s="53">
        <f t="shared" si="34"/>
        <v>1445520.2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2334776.52</v>
      </c>
      <c r="G490" s="42">
        <f>SUM(G488:G489)</f>
        <v>407368.33999999997</v>
      </c>
      <c r="H490" s="42">
        <f>SUM(H488:H489)</f>
        <v>2710937.07</v>
      </c>
      <c r="I490" s="42">
        <f>SUM(I488:I489)</f>
        <v>4102590</v>
      </c>
      <c r="J490" s="42">
        <f>SUM(J488:J489)</f>
        <v>0</v>
      </c>
      <c r="K490" s="42">
        <f t="shared" si="34"/>
        <v>9555671.9299999997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575000</v>
      </c>
      <c r="G491" s="205">
        <v>19608.37</v>
      </c>
      <c r="H491" s="205">
        <v>136309.60999999999</v>
      </c>
      <c r="I491" s="205">
        <v>240000</v>
      </c>
      <c r="J491" s="205"/>
      <c r="K491" s="206">
        <f t="shared" si="34"/>
        <v>970917.98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89394.13</v>
      </c>
      <c r="G492" s="18">
        <v>14338.99</v>
      </c>
      <c r="H492" s="18">
        <v>89601.81</v>
      </c>
      <c r="I492" s="18">
        <v>86790</v>
      </c>
      <c r="J492" s="18"/>
      <c r="K492" s="53">
        <f t="shared" si="34"/>
        <v>280124.93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664394.13</v>
      </c>
      <c r="G493" s="42">
        <f>SUM(G491:G492)</f>
        <v>33947.360000000001</v>
      </c>
      <c r="H493" s="42">
        <f>SUM(H491:H492)</f>
        <v>225911.41999999998</v>
      </c>
      <c r="I493" s="42">
        <f>SUM(I491:I492)</f>
        <v>326790</v>
      </c>
      <c r="J493" s="42">
        <f>SUM(J491:J492)</f>
        <v>0</v>
      </c>
      <c r="K493" s="42">
        <f t="shared" si="34"/>
        <v>1251042.9099999999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51391.29</v>
      </c>
      <c r="G497" s="144">
        <v>24364.94</v>
      </c>
      <c r="H497" s="144"/>
      <c r="I497" s="144">
        <v>75756.23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1367450.55</v>
      </c>
      <c r="G511" s="18">
        <v>675980.88</v>
      </c>
      <c r="H511" s="18">
        <v>659114.68000000005</v>
      </c>
      <c r="I511" s="18">
        <v>8535.84</v>
      </c>
      <c r="J511" s="18">
        <v>11106.62</v>
      </c>
      <c r="K511" s="18">
        <v>609</v>
      </c>
      <c r="L511" s="88">
        <f>SUM(F511:K511)</f>
        <v>2722797.5700000003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888896.85</v>
      </c>
      <c r="G513" s="18">
        <v>387667.32</v>
      </c>
      <c r="H513" s="18">
        <v>919425.16</v>
      </c>
      <c r="I513" s="18">
        <v>9102.9599999999991</v>
      </c>
      <c r="J513" s="18">
        <v>6582.25</v>
      </c>
      <c r="K513" s="18">
        <v>895</v>
      </c>
      <c r="L513" s="88">
        <f>SUM(F513:K513)</f>
        <v>2212569.54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2256347.4</v>
      </c>
      <c r="G514" s="108">
        <f t="shared" ref="G514:L514" si="35">SUM(G511:G513)</f>
        <v>1063648.2</v>
      </c>
      <c r="H514" s="108">
        <f t="shared" si="35"/>
        <v>1578539.84</v>
      </c>
      <c r="I514" s="108">
        <f t="shared" si="35"/>
        <v>17638.8</v>
      </c>
      <c r="J514" s="108">
        <f t="shared" si="35"/>
        <v>17688.870000000003</v>
      </c>
      <c r="K514" s="108">
        <f t="shared" si="35"/>
        <v>1504</v>
      </c>
      <c r="L514" s="89">
        <f t="shared" si="35"/>
        <v>4935367.1100000003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434179.61</v>
      </c>
      <c r="I516" s="18"/>
      <c r="J516" s="18"/>
      <c r="K516" s="18"/>
      <c r="L516" s="88">
        <f>SUM(F516:K516)</f>
        <v>434179.61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265926.39</v>
      </c>
      <c r="I518" s="18"/>
      <c r="J518" s="18"/>
      <c r="K518" s="18"/>
      <c r="L518" s="88">
        <f>SUM(F518:K518)</f>
        <v>265926.39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700106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700106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22848</v>
      </c>
      <c r="G521" s="18">
        <v>12633.13</v>
      </c>
      <c r="H521" s="18">
        <v>1985.06</v>
      </c>
      <c r="I521" s="18"/>
      <c r="J521" s="18"/>
      <c r="K521" s="18"/>
      <c r="L521" s="88">
        <f>SUM(F521:K521)</f>
        <v>37466.189999999995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5712</v>
      </c>
      <c r="G523" s="18">
        <v>3158.29</v>
      </c>
      <c r="H523" s="18">
        <v>496.27</v>
      </c>
      <c r="I523" s="18"/>
      <c r="J523" s="18"/>
      <c r="K523" s="18"/>
      <c r="L523" s="88">
        <f>SUM(F523:K523)</f>
        <v>9366.5600000000013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28560</v>
      </c>
      <c r="G524" s="89">
        <f t="shared" ref="G524:L524" si="37">SUM(G521:G523)</f>
        <v>15791.419999999998</v>
      </c>
      <c r="H524" s="89">
        <f t="shared" si="37"/>
        <v>2481.33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46832.75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2436.25</v>
      </c>
      <c r="I528" s="18"/>
      <c r="J528" s="18"/>
      <c r="K528" s="18"/>
      <c r="L528" s="88">
        <f>SUM(F528:K528)</f>
        <v>2436.25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2436.25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2436.25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150599.12</v>
      </c>
      <c r="I531" s="18"/>
      <c r="J531" s="18"/>
      <c r="K531" s="18"/>
      <c r="L531" s="88">
        <f>SUM(F531:K531)</f>
        <v>150599.12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188577.26</v>
      </c>
      <c r="I533" s="18"/>
      <c r="J533" s="18"/>
      <c r="K533" s="18"/>
      <c r="L533" s="88">
        <f>SUM(F533:K533)</f>
        <v>188577.26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339176.38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339176.38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2284907.4</v>
      </c>
      <c r="G535" s="89">
        <f t="shared" ref="G535:L535" si="40">G514+G519+G524+G529+G534</f>
        <v>1079439.6199999999</v>
      </c>
      <c r="H535" s="89">
        <f t="shared" si="40"/>
        <v>2622739.7999999998</v>
      </c>
      <c r="I535" s="89">
        <f t="shared" si="40"/>
        <v>17638.8</v>
      </c>
      <c r="J535" s="89">
        <f t="shared" si="40"/>
        <v>17688.870000000003</v>
      </c>
      <c r="K535" s="89">
        <f t="shared" si="40"/>
        <v>1504</v>
      </c>
      <c r="L535" s="89">
        <f t="shared" si="40"/>
        <v>6023918.4900000002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2722797.5700000003</v>
      </c>
      <c r="G539" s="87">
        <f>L516</f>
        <v>434179.61</v>
      </c>
      <c r="H539" s="87">
        <f>L521</f>
        <v>37466.189999999995</v>
      </c>
      <c r="I539" s="87">
        <f>L526</f>
        <v>0</v>
      </c>
      <c r="J539" s="87">
        <f>L531</f>
        <v>150599.12</v>
      </c>
      <c r="K539" s="87">
        <f>SUM(F539:J539)</f>
        <v>3345042.49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2212569.54</v>
      </c>
      <c r="G541" s="87">
        <f>L518</f>
        <v>265926.39</v>
      </c>
      <c r="H541" s="87">
        <f>L523</f>
        <v>9366.5600000000013</v>
      </c>
      <c r="I541" s="87">
        <f>L528</f>
        <v>2436.25</v>
      </c>
      <c r="J541" s="87">
        <f>L533</f>
        <v>188577.26</v>
      </c>
      <c r="K541" s="87">
        <f>SUM(F541:J541)</f>
        <v>2678876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4935367.1100000003</v>
      </c>
      <c r="G542" s="89">
        <f t="shared" si="41"/>
        <v>700106</v>
      </c>
      <c r="H542" s="89">
        <f t="shared" si="41"/>
        <v>46832.75</v>
      </c>
      <c r="I542" s="89">
        <f t="shared" si="41"/>
        <v>2436.25</v>
      </c>
      <c r="J542" s="89">
        <f t="shared" si="41"/>
        <v>339176.38</v>
      </c>
      <c r="K542" s="89">
        <f t="shared" si="41"/>
        <v>6023918.4900000002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 t="s">
        <v>310</v>
      </c>
      <c r="G552" s="18"/>
      <c r="H552" s="18">
        <v>4577.3900000000003</v>
      </c>
      <c r="I552" s="18"/>
      <c r="J552" s="18"/>
      <c r="K552" s="18"/>
      <c r="L552" s="88">
        <f>SUM(F552:K552)</f>
        <v>4577.3900000000003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15243.32</v>
      </c>
      <c r="G554" s="18">
        <v>6655.72</v>
      </c>
      <c r="H554" s="18">
        <v>2718.04</v>
      </c>
      <c r="I554" s="18"/>
      <c r="J554" s="18"/>
      <c r="K554" s="18"/>
      <c r="L554" s="88">
        <f>SUM(F554:K554)</f>
        <v>24617.08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15243.32</v>
      </c>
      <c r="G555" s="89">
        <f t="shared" si="43"/>
        <v>6655.72</v>
      </c>
      <c r="H555" s="89">
        <f t="shared" si="43"/>
        <v>7295.43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29194.47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15243.32</v>
      </c>
      <c r="G561" s="89">
        <f t="shared" ref="G561:L561" si="45">G550+G555+G560</f>
        <v>6655.72</v>
      </c>
      <c r="H561" s="89">
        <f t="shared" si="45"/>
        <v>7295.43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29194.47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2140</v>
      </c>
      <c r="I568" s="87">
        <f t="shared" si="46"/>
        <v>2140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427767.16</v>
      </c>
      <c r="G572" s="18"/>
      <c r="H572" s="18">
        <v>293876.15999999997</v>
      </c>
      <c r="I572" s="87">
        <f t="shared" si="46"/>
        <v>721643.32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228185.5</v>
      </c>
      <c r="G573" s="18"/>
      <c r="H573" s="18">
        <v>657390.65</v>
      </c>
      <c r="I573" s="87">
        <f t="shared" si="46"/>
        <v>885576.15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189294.5</v>
      </c>
      <c r="I574" s="87">
        <f t="shared" si="46"/>
        <v>189294.5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259155</v>
      </c>
      <c r="I581" s="18"/>
      <c r="J581" s="18" t="s">
        <v>310</v>
      </c>
      <c r="K581" s="104">
        <f t="shared" ref="K581:K587" si="47">SUM(H581:J581)</f>
        <v>259155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150599.12</v>
      </c>
      <c r="I582" s="18"/>
      <c r="J582" s="18">
        <v>188577.26</v>
      </c>
      <c r="K582" s="104">
        <f t="shared" si="47"/>
        <v>339176.38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21808.15</v>
      </c>
      <c r="K583" s="104">
        <f t="shared" si="47"/>
        <v>21808.15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2526.75</v>
      </c>
      <c r="I584" s="18"/>
      <c r="J584" s="18">
        <v>34512.879999999997</v>
      </c>
      <c r="K584" s="104">
        <f t="shared" si="47"/>
        <v>37039.629999999997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833</v>
      </c>
      <c r="I585" s="18"/>
      <c r="J585" s="18"/>
      <c r="K585" s="104">
        <f t="shared" si="47"/>
        <v>833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413113.87</v>
      </c>
      <c r="I588" s="108">
        <f>SUM(I581:I587)</f>
        <v>0</v>
      </c>
      <c r="J588" s="108">
        <f>SUM(J581:J587)</f>
        <v>244898.29</v>
      </c>
      <c r="K588" s="108">
        <f>SUM(K581:K587)</f>
        <v>658012.16000000003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156459.5</v>
      </c>
      <c r="I594" s="18"/>
      <c r="J594" s="18">
        <v>119359.9</v>
      </c>
      <c r="K594" s="104">
        <f>SUM(H594:J594)</f>
        <v>275819.40000000002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156459.5</v>
      </c>
      <c r="I595" s="108">
        <f>SUM(I592:I594)</f>
        <v>0</v>
      </c>
      <c r="J595" s="108">
        <f>SUM(J592:J594)</f>
        <v>119359.9</v>
      </c>
      <c r="K595" s="108">
        <f>SUM(K592:K594)</f>
        <v>275819.40000000002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1084926.76</v>
      </c>
      <c r="H607" s="109">
        <f>SUM(F44)</f>
        <v>1084926.76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244054.54</v>
      </c>
      <c r="H608" s="109">
        <f>SUM(G44)</f>
        <v>244054.54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190034.91</v>
      </c>
      <c r="H609" s="109">
        <f>SUM(H44)</f>
        <v>190034.91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588079.02</v>
      </c>
      <c r="H611" s="109">
        <f>SUM(J44)</f>
        <v>588079.02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483244.3</v>
      </c>
      <c r="H612" s="109">
        <f>F466</f>
        <v>483244.30000000075</v>
      </c>
      <c r="I612" s="121" t="s">
        <v>106</v>
      </c>
      <c r="J612" s="109">
        <f t="shared" ref="J612:J645" si="49">G612-H612</f>
        <v>-7.5669959187507629E-10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161142.51</v>
      </c>
      <c r="H613" s="109">
        <f>G466</f>
        <v>161142.51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588079.02</v>
      </c>
      <c r="H616" s="109">
        <f>J466</f>
        <v>588079.02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23158803.700000003</v>
      </c>
      <c r="H617" s="104">
        <f>SUM(F458)</f>
        <v>23158803.699999999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660583.68000000005</v>
      </c>
      <c r="H618" s="104">
        <f>SUM(G458)</f>
        <v>660583.68000000005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614589.25999999989</v>
      </c>
      <c r="H619" s="104">
        <f>SUM(H458)</f>
        <v>614589.26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250614.74</v>
      </c>
      <c r="H621" s="104">
        <f>SUM(J458)</f>
        <v>250614.74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22948376.040000003</v>
      </c>
      <c r="H622" s="104">
        <f>SUM(F462)</f>
        <v>22948376.039999999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614589.26</v>
      </c>
      <c r="H623" s="104">
        <f>SUM(H462)</f>
        <v>614589.26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309014.01</v>
      </c>
      <c r="H624" s="104">
        <f>I361</f>
        <v>309014.01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652061.90999999992</v>
      </c>
      <c r="H625" s="104">
        <f>SUM(G462)</f>
        <v>652061.91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2007980.05</v>
      </c>
      <c r="H626" s="104">
        <f>SUM(I462)</f>
        <v>2007980.05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250614.74</v>
      </c>
      <c r="H627" s="164">
        <f>SUM(J458)</f>
        <v>250614.74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176392.6</v>
      </c>
      <c r="H628" s="164">
        <f>SUM(J462)</f>
        <v>176392.6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145654.17000000001</v>
      </c>
      <c r="H629" s="104">
        <f>SUM(F451)</f>
        <v>145654.17000000001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442424.85</v>
      </c>
      <c r="H630" s="104">
        <f>SUM(G451)</f>
        <v>442424.85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588079.02</v>
      </c>
      <c r="H632" s="104">
        <f>SUM(I451)</f>
        <v>588079.02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614.74</v>
      </c>
      <c r="H634" s="104">
        <f>H400</f>
        <v>614.74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250000</v>
      </c>
      <c r="H635" s="104">
        <f>G400</f>
        <v>250000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250614.74</v>
      </c>
      <c r="H636" s="104">
        <f>L400</f>
        <v>250614.74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658012.16000000003</v>
      </c>
      <c r="H637" s="104">
        <f>L200+L218+L236</f>
        <v>658012.16000000003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275819.40000000002</v>
      </c>
      <c r="H638" s="104">
        <f>(J249+J330)-(J247+J328)</f>
        <v>275819.40000000002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413113.87</v>
      </c>
      <c r="H639" s="104">
        <f>H588</f>
        <v>413113.87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244898.29</v>
      </c>
      <c r="H641" s="104">
        <f>J588</f>
        <v>244898.29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2087.67</v>
      </c>
      <c r="H642" s="104">
        <f>K255+K337</f>
        <v>2087.67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250000</v>
      </c>
      <c r="H645" s="104">
        <f>K258+K339</f>
        <v>250000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11403081.360000001</v>
      </c>
      <c r="G650" s="19">
        <f>(L221+L301+L351)</f>
        <v>0</v>
      </c>
      <c r="H650" s="19">
        <f>(L239+L320+L352)</f>
        <v>11505906.070000002</v>
      </c>
      <c r="I650" s="19">
        <f>SUM(F650:H650)</f>
        <v>22908987.430000003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198807.38583876708</v>
      </c>
      <c r="G651" s="19">
        <f>(L351/IF(SUM(L350:L352)=0,1,SUM(L350:L352))*(SUM(G89:G102)))</f>
        <v>0</v>
      </c>
      <c r="H651" s="19">
        <f>(L352/IF(SUM(L350:L352)=0,1,SUM(L350:L352))*(SUM(G89:G102)))</f>
        <v>242986.80416123298</v>
      </c>
      <c r="I651" s="19">
        <f>SUM(F651:H651)</f>
        <v>441794.19000000006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413113.87</v>
      </c>
      <c r="G652" s="19">
        <f>(L218+L298)-(J218+J298)</f>
        <v>0</v>
      </c>
      <c r="H652" s="19">
        <f>(L236+L317)-(J236+J317)</f>
        <v>244898.29</v>
      </c>
      <c r="I652" s="19">
        <f>SUM(F652:H652)</f>
        <v>658012.16000000003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812412.15999999992</v>
      </c>
      <c r="G653" s="200">
        <f>SUM(G565:G577)+SUM(I592:I594)+L602</f>
        <v>0</v>
      </c>
      <c r="H653" s="200">
        <f>SUM(H565:H577)+SUM(J592:J594)+L603</f>
        <v>1262061.21</v>
      </c>
      <c r="I653" s="19">
        <f>SUM(F653:H653)</f>
        <v>2074473.3699999999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9978747.9441612344</v>
      </c>
      <c r="G654" s="19">
        <f>G650-SUM(G651:G653)</f>
        <v>0</v>
      </c>
      <c r="H654" s="19">
        <f>H650-SUM(H651:H653)</f>
        <v>9755959.7658387683</v>
      </c>
      <c r="I654" s="19">
        <f>I650-SUM(I651:I653)</f>
        <v>19734707.710000005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753.8</v>
      </c>
      <c r="G655" s="249"/>
      <c r="H655" s="249">
        <v>896.86</v>
      </c>
      <c r="I655" s="19">
        <f>SUM(F655:H655)</f>
        <v>1650.6599999999999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13237.93</v>
      </c>
      <c r="G657" s="19" t="e">
        <f>ROUND(G654/G655,2)</f>
        <v>#DIV/0!</v>
      </c>
      <c r="H657" s="19">
        <f>ROUND(H654/H655,2)</f>
        <v>10877.91</v>
      </c>
      <c r="I657" s="19">
        <f>ROUND(I654/I655,2)</f>
        <v>11955.65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-27.27</v>
      </c>
      <c r="I660" s="19">
        <f>SUM(F660:H660)</f>
        <v>-27.27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13237.93</v>
      </c>
      <c r="G662" s="19" t="e">
        <f>ROUND((G654+G659)/(G655+G660),2)</f>
        <v>#DIV/0!</v>
      </c>
      <c r="H662" s="19">
        <f>ROUND((H654+H659)/(H655+H660),2)</f>
        <v>11219.03</v>
      </c>
      <c r="I662" s="19">
        <f>ROUND((I654+I659)/(I655+I660),2)</f>
        <v>12156.48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A9D4-96A3-4B83-AF1E-845FBB8E5E15}">
  <sheetPr>
    <tabColor indexed="20"/>
  </sheetPr>
  <dimension ref="A1:C52"/>
  <sheetViews>
    <sheetView topLeftCell="A2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PEMBROKE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5925269.0200000005</v>
      </c>
      <c r="C9" s="230">
        <f>'DOE25'!G189+'DOE25'!G207+'DOE25'!G225+'DOE25'!G268+'DOE25'!G287+'DOE25'!G306</f>
        <v>2704524.7899999996</v>
      </c>
    </row>
    <row r="10" spans="1:3" x14ac:dyDescent="0.2">
      <c r="A10" t="s">
        <v>810</v>
      </c>
      <c r="B10" s="241">
        <v>5576148.9400000004</v>
      </c>
      <c r="C10" s="241">
        <v>2544957.8199999998</v>
      </c>
    </row>
    <row r="11" spans="1:3" x14ac:dyDescent="0.2">
      <c r="A11" t="s">
        <v>811</v>
      </c>
      <c r="B11" s="241">
        <v>51502.720000000001</v>
      </c>
      <c r="C11" s="241">
        <v>24340.73</v>
      </c>
    </row>
    <row r="12" spans="1:3" x14ac:dyDescent="0.2">
      <c r="A12" t="s">
        <v>812</v>
      </c>
      <c r="B12" s="241">
        <v>297617.36</v>
      </c>
      <c r="C12" s="241">
        <v>135226.23999999999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5925269.0200000005</v>
      </c>
      <c r="C13" s="232">
        <f>SUM(C10:C12)</f>
        <v>2704524.79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2296347.4</v>
      </c>
      <c r="C18" s="230">
        <f>'DOE25'!G190+'DOE25'!G208+'DOE25'!G226+'DOE25'!G269+'DOE25'!G288+'DOE25'!G307</f>
        <v>1066914.74</v>
      </c>
    </row>
    <row r="19" spans="1:3" x14ac:dyDescent="0.2">
      <c r="A19" t="s">
        <v>810</v>
      </c>
      <c r="B19" s="241">
        <v>997432.11</v>
      </c>
      <c r="C19" s="241">
        <v>463040.99</v>
      </c>
    </row>
    <row r="20" spans="1:3" x14ac:dyDescent="0.2">
      <c r="A20" t="s">
        <v>811</v>
      </c>
      <c r="B20" s="241">
        <v>1149316.51</v>
      </c>
      <c r="C20" s="241">
        <v>534524.29</v>
      </c>
    </row>
    <row r="21" spans="1:3" x14ac:dyDescent="0.2">
      <c r="A21" t="s">
        <v>812</v>
      </c>
      <c r="B21" s="241">
        <v>149598.78</v>
      </c>
      <c r="C21" s="241">
        <v>69349.460000000006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2296347.4</v>
      </c>
      <c r="C22" s="232">
        <f>SUM(C19:C21)</f>
        <v>1066914.74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637011.51</v>
      </c>
      <c r="C27" s="235">
        <f>'DOE25'!G191+'DOE25'!G209+'DOE25'!G227+'DOE25'!G270+'DOE25'!G289+'DOE25'!G308</f>
        <v>279021.7</v>
      </c>
    </row>
    <row r="28" spans="1:3" x14ac:dyDescent="0.2">
      <c r="A28" t="s">
        <v>810</v>
      </c>
      <c r="B28" s="241">
        <v>505451.42</v>
      </c>
      <c r="C28" s="241">
        <v>221264.21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>
        <v>131560.09</v>
      </c>
      <c r="C30" s="241">
        <v>57757.49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637011.51</v>
      </c>
      <c r="C31" s="232">
        <f>SUM(C28:C30)</f>
        <v>279021.7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320901</v>
      </c>
      <c r="C36" s="236">
        <f>'DOE25'!G192+'DOE25'!G210+'DOE25'!G228+'DOE25'!G271+'DOE25'!G290+'DOE25'!G309</f>
        <v>121444</v>
      </c>
    </row>
    <row r="37" spans="1:3" x14ac:dyDescent="0.2">
      <c r="A37" t="s">
        <v>810</v>
      </c>
      <c r="B37" s="241">
        <v>253815</v>
      </c>
      <c r="C37" s="241">
        <v>96062.2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67086</v>
      </c>
      <c r="C39" s="241">
        <v>25381.8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320901</v>
      </c>
      <c r="C40" s="232">
        <f>SUM(C37:C39)</f>
        <v>121444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AA3B-26DE-47FD-B85F-587D233F87AE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PEMBROKE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15344580.010000002</v>
      </c>
      <c r="D5" s="20">
        <f>SUM('DOE25'!L189:L192)+SUM('DOE25'!L207:L210)+SUM('DOE25'!L225:L228)-F5-G5</f>
        <v>15186062.540000001</v>
      </c>
      <c r="E5" s="244"/>
      <c r="F5" s="256">
        <f>SUM('DOE25'!J189:J192)+SUM('DOE25'!J207:J210)+SUM('DOE25'!J225:J228)</f>
        <v>129631.25</v>
      </c>
      <c r="G5" s="53">
        <f>SUM('DOE25'!K189:K192)+SUM('DOE25'!K207:K210)+SUM('DOE25'!K225:K228)</f>
        <v>28886.22</v>
      </c>
      <c r="H5" s="260"/>
    </row>
    <row r="6" spans="1:9" x14ac:dyDescent="0.2">
      <c r="A6" s="32">
        <v>2100</v>
      </c>
      <c r="B6" t="s">
        <v>832</v>
      </c>
      <c r="C6" s="246">
        <f t="shared" si="0"/>
        <v>1660402.41</v>
      </c>
      <c r="D6" s="20">
        <f>'DOE25'!L194+'DOE25'!L212+'DOE25'!L230-F6-G6</f>
        <v>1660367.41</v>
      </c>
      <c r="E6" s="244"/>
      <c r="F6" s="256">
        <f>'DOE25'!J194+'DOE25'!J212+'DOE25'!J230</f>
        <v>0</v>
      </c>
      <c r="G6" s="53">
        <f>'DOE25'!K194+'DOE25'!K212+'DOE25'!K230</f>
        <v>35</v>
      </c>
      <c r="H6" s="260"/>
    </row>
    <row r="7" spans="1:9" x14ac:dyDescent="0.2">
      <c r="A7" s="32">
        <v>2200</v>
      </c>
      <c r="B7" t="s">
        <v>865</v>
      </c>
      <c r="C7" s="246">
        <f t="shared" si="0"/>
        <v>407380.93999999994</v>
      </c>
      <c r="D7" s="20">
        <f>'DOE25'!L195+'DOE25'!L213+'DOE25'!L231-F7-G7</f>
        <v>406668.97</v>
      </c>
      <c r="E7" s="244"/>
      <c r="F7" s="256">
        <f>'DOE25'!J195+'DOE25'!J213+'DOE25'!J231</f>
        <v>711.97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406588.51</v>
      </c>
      <c r="D8" s="244"/>
      <c r="E8" s="20">
        <f>'DOE25'!L196+'DOE25'!L214+'DOE25'!L232-F8-G8-D9-D11</f>
        <v>398899.51</v>
      </c>
      <c r="F8" s="256">
        <f>'DOE25'!J196+'DOE25'!J214+'DOE25'!J232</f>
        <v>0</v>
      </c>
      <c r="G8" s="53">
        <f>'DOE25'!K196+'DOE25'!K214+'DOE25'!K232</f>
        <v>7689</v>
      </c>
      <c r="H8" s="260"/>
    </row>
    <row r="9" spans="1:9" x14ac:dyDescent="0.2">
      <c r="A9" s="32">
        <v>2310</v>
      </c>
      <c r="B9" t="s">
        <v>849</v>
      </c>
      <c r="C9" s="246">
        <f t="shared" si="0"/>
        <v>12789.02</v>
      </c>
      <c r="D9" s="245">
        <v>12789.02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7293</v>
      </c>
      <c r="D10" s="244"/>
      <c r="E10" s="245">
        <v>7293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170800.21</v>
      </c>
      <c r="D11" s="245">
        <v>170800.21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1499670.8900000001</v>
      </c>
      <c r="D12" s="20">
        <f>'DOE25'!L197+'DOE25'!L215+'DOE25'!L233-F12-G12</f>
        <v>1457894.4100000001</v>
      </c>
      <c r="E12" s="244"/>
      <c r="F12" s="256">
        <f>'DOE25'!J197+'DOE25'!J215+'DOE25'!J233</f>
        <v>18670.740000000002</v>
      </c>
      <c r="G12" s="53">
        <f>'DOE25'!K197+'DOE25'!K215+'DOE25'!K233</f>
        <v>23105.739999999998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1482112.1099999999</v>
      </c>
      <c r="D14" s="20">
        <f>'DOE25'!L199+'DOE25'!L217+'DOE25'!L235-F14-G14</f>
        <v>1474666.5699999998</v>
      </c>
      <c r="E14" s="244"/>
      <c r="F14" s="256">
        <f>'DOE25'!J199+'DOE25'!J217+'DOE25'!J235</f>
        <v>7445.54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658012.16000000003</v>
      </c>
      <c r="D15" s="20">
        <f>'DOE25'!L200+'DOE25'!L218+'DOE25'!L236-F15-G15</f>
        <v>658012.16000000003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365120.48</v>
      </c>
      <c r="D22" s="244"/>
      <c r="E22" s="244"/>
      <c r="F22" s="256">
        <f>'DOE25'!L247+'DOE25'!L328</f>
        <v>365120.48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688831.63</v>
      </c>
      <c r="D25" s="244"/>
      <c r="E25" s="244"/>
      <c r="F25" s="259"/>
      <c r="G25" s="257"/>
      <c r="H25" s="258">
        <f>'DOE25'!L252+'DOE25'!L253+'DOE25'!L333+'DOE25'!L334</f>
        <v>688831.63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386383.81999999989</v>
      </c>
      <c r="D29" s="20">
        <f>'DOE25'!L350+'DOE25'!L351+'DOE25'!L352-'DOE25'!I359-F29-G29</f>
        <v>381922.28999999986</v>
      </c>
      <c r="E29" s="244"/>
      <c r="F29" s="256">
        <f>'DOE25'!J350+'DOE25'!J351+'DOE25'!J352</f>
        <v>4461.5300000000007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614589.26</v>
      </c>
      <c r="D31" s="20">
        <f>'DOE25'!L282+'DOE25'!L301+'DOE25'!L320+'DOE25'!L325+'DOE25'!L326+'DOE25'!L327-F31-G31</f>
        <v>485530.36</v>
      </c>
      <c r="E31" s="244"/>
      <c r="F31" s="256">
        <f>'DOE25'!J282+'DOE25'!J301+'DOE25'!J320+'DOE25'!J325+'DOE25'!J326+'DOE25'!J327</f>
        <v>119359.90000000001</v>
      </c>
      <c r="G31" s="53">
        <f>'DOE25'!K282+'DOE25'!K301+'DOE25'!K320+'DOE25'!K325+'DOE25'!K326+'DOE25'!K327</f>
        <v>9699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21894713.939999998</v>
      </c>
      <c r="E33" s="247">
        <f>SUM(E5:E31)</f>
        <v>406192.51</v>
      </c>
      <c r="F33" s="247">
        <f>SUM(F5:F31)</f>
        <v>645401.41</v>
      </c>
      <c r="G33" s="247">
        <f>SUM(G5:G31)</f>
        <v>69414.959999999992</v>
      </c>
      <c r="H33" s="247">
        <f>SUM(H5:H31)</f>
        <v>688831.63</v>
      </c>
    </row>
    <row r="35" spans="2:8" ht="12" thickBot="1" x14ac:dyDescent="0.25">
      <c r="B35" s="254" t="s">
        <v>878</v>
      </c>
      <c r="D35" s="255">
        <f>E33</f>
        <v>406192.51</v>
      </c>
      <c r="E35" s="250"/>
    </row>
    <row r="36" spans="2:8" ht="12" thickTop="1" x14ac:dyDescent="0.2">
      <c r="B36" t="s">
        <v>846</v>
      </c>
      <c r="D36" s="20">
        <f>D33</f>
        <v>21894713.939999998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540F-DDA4-4446-A799-AF86621378A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537882.92000000004</v>
      </c>
      <c r="D9" s="95">
        <f>'DOE25'!G9</f>
        <v>217978.39</v>
      </c>
      <c r="E9" s="95">
        <f>'DOE25'!H9</f>
        <v>0</v>
      </c>
      <c r="F9" s="95">
        <f>'DOE25'!I9</f>
        <v>0</v>
      </c>
      <c r="G9" s="95">
        <f>'DOE25'!J9</f>
        <v>588079.02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211357.76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335636.08</v>
      </c>
      <c r="D13" s="95">
        <f>'DOE25'!G13</f>
        <v>16768.3</v>
      </c>
      <c r="E13" s="95">
        <f>'DOE25'!H13</f>
        <v>190034.91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6355.4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50</v>
      </c>
      <c r="D17" s="95">
        <f>'DOE25'!G17</f>
        <v>2952.45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1084926.76</v>
      </c>
      <c r="D19" s="41">
        <f>SUM(D9:D18)</f>
        <v>244054.54</v>
      </c>
      <c r="E19" s="41">
        <f>SUM(E9:E18)</f>
        <v>190034.91</v>
      </c>
      <c r="F19" s="41">
        <f>SUM(F9:F18)</f>
        <v>0</v>
      </c>
      <c r="G19" s="41">
        <f>SUM(G9:G18)</f>
        <v>588079.02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 t="str">
        <f>'DOE25'!F23</f>
        <v xml:space="preserve"> </v>
      </c>
      <c r="D22" s="95">
        <f>'DOE25'!G23</f>
        <v>79723.600000000006</v>
      </c>
      <c r="E22" s="95">
        <f>'DOE25'!H23</f>
        <v>131634.16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275408.76</v>
      </c>
      <c r="D23" s="95">
        <f>'DOE25'!G24</f>
        <v>3188.43</v>
      </c>
      <c r="E23" s="95">
        <f>'DOE25'!H24</f>
        <v>42938.75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75756.23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247222.27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3295.2</v>
      </c>
      <c r="D30" s="95">
        <f>'DOE25'!G31</f>
        <v>0</v>
      </c>
      <c r="E30" s="95">
        <f>'DOE25'!H31</f>
        <v>15462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601682.46</v>
      </c>
      <c r="D32" s="41">
        <f>SUM(D22:D31)</f>
        <v>82912.03</v>
      </c>
      <c r="E32" s="41">
        <f>SUM(E22:E31)</f>
        <v>190034.91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200000</v>
      </c>
      <c r="D40" s="95">
        <f>'DOE25'!G41</f>
        <v>161142.51</v>
      </c>
      <c r="E40" s="95">
        <f>'DOE25'!H41</f>
        <v>0</v>
      </c>
      <c r="F40" s="95">
        <f>'DOE25'!I41</f>
        <v>0</v>
      </c>
      <c r="G40" s="95">
        <f>'DOE25'!J41</f>
        <v>588079.02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283244.3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483244.3</v>
      </c>
      <c r="D42" s="41">
        <f>SUM(D34:D41)</f>
        <v>161142.51</v>
      </c>
      <c r="E42" s="41">
        <f>SUM(E34:E41)</f>
        <v>0</v>
      </c>
      <c r="F42" s="41">
        <f>SUM(F34:F41)</f>
        <v>0</v>
      </c>
      <c r="G42" s="41">
        <f>SUM(G34:G41)</f>
        <v>588079.02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1084926.76</v>
      </c>
      <c r="D43" s="41">
        <f>D42+D32</f>
        <v>244054.54</v>
      </c>
      <c r="E43" s="41">
        <f>E42+E32</f>
        <v>190034.91</v>
      </c>
      <c r="F43" s="41">
        <f>F42+F32</f>
        <v>0</v>
      </c>
      <c r="G43" s="41">
        <f>G42+G32</f>
        <v>588079.02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9127260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5713850.5099999998</v>
      </c>
      <c r="D49" s="24" t="s">
        <v>312</v>
      </c>
      <c r="E49" s="95">
        <f>'DOE25'!H71</f>
        <v>12134.35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7936.43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1964.85</v>
      </c>
      <c r="D51" s="95">
        <f>'DOE25'!G88</f>
        <v>69.66</v>
      </c>
      <c r="E51" s="95">
        <f>'DOE25'!H88</f>
        <v>0</v>
      </c>
      <c r="F51" s="95">
        <f>'DOE25'!I88</f>
        <v>0</v>
      </c>
      <c r="G51" s="95">
        <f>'DOE25'!J88</f>
        <v>614.74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441198.89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89965.71</v>
      </c>
      <c r="D53" s="95">
        <f>SUM('DOE25'!G90:G102)</f>
        <v>595.29999999999995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5813717.4999999991</v>
      </c>
      <c r="D54" s="130">
        <f>SUM(D49:D53)</f>
        <v>441863.85</v>
      </c>
      <c r="E54" s="130">
        <f>SUM(E49:E53)</f>
        <v>12134.35</v>
      </c>
      <c r="F54" s="130">
        <f>SUM(F49:F53)</f>
        <v>0</v>
      </c>
      <c r="G54" s="130">
        <f>SUM(G49:G53)</f>
        <v>614.74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14940977.5</v>
      </c>
      <c r="D55" s="22">
        <f>D48+D54</f>
        <v>441863.85</v>
      </c>
      <c r="E55" s="22">
        <f>E48+E54</f>
        <v>12134.35</v>
      </c>
      <c r="F55" s="22">
        <f>F48+F54</f>
        <v>0</v>
      </c>
      <c r="G55" s="22">
        <f>G48+G54</f>
        <v>614.74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5332967.7699999996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1374341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193425.23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6900734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361726.78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498839.92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13742.79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6347.83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874309.49</v>
      </c>
      <c r="D70" s="130">
        <f>SUM(D64:D69)</f>
        <v>6347.83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7775043.4900000002</v>
      </c>
      <c r="D73" s="130">
        <f>SUM(D71:D72)+D70+D62</f>
        <v>6347.83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266390.11</v>
      </c>
      <c r="D80" s="95">
        <f>SUM('DOE25'!G145:G153)</f>
        <v>210284.33</v>
      </c>
      <c r="E80" s="95">
        <f>SUM('DOE25'!H145:H153)</f>
        <v>602454.90999999992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266390.11</v>
      </c>
      <c r="D83" s="131">
        <f>SUM(D77:D82)</f>
        <v>210284.33</v>
      </c>
      <c r="E83" s="131">
        <f>SUM(E77:E82)</f>
        <v>602454.90999999992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2087.67</v>
      </c>
      <c r="E88" s="95">
        <f>'DOE25'!H171</f>
        <v>0</v>
      </c>
      <c r="F88" s="95">
        <f>'DOE25'!I171</f>
        <v>0</v>
      </c>
      <c r="G88" s="95">
        <f>'DOE25'!J171</f>
        <v>250000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52707.75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123684.85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176392.6</v>
      </c>
      <c r="D95" s="86">
        <f>SUM(D85:D94)</f>
        <v>2087.67</v>
      </c>
      <c r="E95" s="86">
        <f>SUM(E85:E94)</f>
        <v>0</v>
      </c>
      <c r="F95" s="86">
        <f>SUM(F85:F94)</f>
        <v>0</v>
      </c>
      <c r="G95" s="86">
        <f>SUM(G85:G94)</f>
        <v>250000</v>
      </c>
    </row>
    <row r="96" spans="1:7" ht="12.75" thickTop="1" thickBot="1" x14ac:dyDescent="0.25">
      <c r="A96" s="33" t="s">
        <v>796</v>
      </c>
      <c r="C96" s="86">
        <f>C55+C73+C83+C95</f>
        <v>23158803.700000003</v>
      </c>
      <c r="D96" s="86">
        <f>D55+D73+D83+D95</f>
        <v>660583.68000000005</v>
      </c>
      <c r="E96" s="86">
        <f>E55+E73+E83+E95</f>
        <v>614589.25999999989</v>
      </c>
      <c r="F96" s="86">
        <f>F55+F73+F83+F95</f>
        <v>0</v>
      </c>
      <c r="G96" s="86">
        <f>G55+G73+G95</f>
        <v>250614.74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8732870.3300000019</v>
      </c>
      <c r="D101" s="24" t="s">
        <v>312</v>
      </c>
      <c r="E101" s="95">
        <f>('DOE25'!L268)+('DOE25'!L287)+('DOE25'!L306)</f>
        <v>420573.88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4972820.1100000003</v>
      </c>
      <c r="D102" s="24" t="s">
        <v>312</v>
      </c>
      <c r="E102" s="95">
        <f>('DOE25'!L269)+('DOE25'!L288)+('DOE25'!L307)</f>
        <v>145888.84000000003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1136743.4999999998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502146.07000000007</v>
      </c>
      <c r="D104" s="24" t="s">
        <v>312</v>
      </c>
      <c r="E104" s="95">
        <f>+('DOE25'!L271)+('DOE25'!L290)+('DOE25'!L309)</f>
        <v>30712.36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15344580.010000002</v>
      </c>
      <c r="D107" s="86">
        <f>SUM(D101:D106)</f>
        <v>0</v>
      </c>
      <c r="E107" s="86">
        <f>SUM(E101:E106)</f>
        <v>597175.07999999996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1660402.41</v>
      </c>
      <c r="D110" s="24" t="s">
        <v>312</v>
      </c>
      <c r="E110" s="95">
        <f>+('DOE25'!L273)+('DOE25'!L292)+('DOE25'!L311)</f>
        <v>6000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407380.93999999994</v>
      </c>
      <c r="D111" s="24" t="s">
        <v>312</v>
      </c>
      <c r="E111" s="95">
        <f>+('DOE25'!L274)+('DOE25'!L293)+('DOE25'!L312)</f>
        <v>1715.1799999999998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590177.74</v>
      </c>
      <c r="D112" s="24" t="s">
        <v>312</v>
      </c>
      <c r="E112" s="95">
        <f>+('DOE25'!L275)+('DOE25'!L294)+('DOE25'!L313)</f>
        <v>9699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1499670.8900000001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1482112.1099999999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658012.16000000003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652061.90999999992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6297756.25</v>
      </c>
      <c r="D120" s="86">
        <f>SUM(D110:D119)</f>
        <v>652061.90999999992</v>
      </c>
      <c r="E120" s="86">
        <f>SUM(E110:E119)</f>
        <v>17414.18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365120.48</v>
      </c>
      <c r="D122" s="24" t="s">
        <v>312</v>
      </c>
      <c r="E122" s="129">
        <f>'DOE25'!L328</f>
        <v>0</v>
      </c>
      <c r="F122" s="129">
        <f>SUM('DOE25'!L366:'DOE25'!L372)</f>
        <v>2007980.05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113831.63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176392.6</v>
      </c>
    </row>
    <row r="127" spans="1:7" x14ac:dyDescent="0.2">
      <c r="A127" t="s">
        <v>256</v>
      </c>
      <c r="B127" s="32" t="s">
        <v>257</v>
      </c>
      <c r="C127" s="95">
        <f>'DOE25'!L255</f>
        <v>2087.67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125115.43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125499.31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-614.73999999999069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1306039.7799999998</v>
      </c>
      <c r="D136" s="141">
        <f>SUM(D122:D135)</f>
        <v>0</v>
      </c>
      <c r="E136" s="141">
        <f>SUM(E122:E135)</f>
        <v>0</v>
      </c>
      <c r="F136" s="141">
        <f>SUM(F122:F135)</f>
        <v>2007980.05</v>
      </c>
      <c r="G136" s="141">
        <f>SUM(G122:G135)</f>
        <v>176392.6</v>
      </c>
    </row>
    <row r="137" spans="1:9" ht="12.75" thickTop="1" thickBot="1" x14ac:dyDescent="0.25">
      <c r="A137" s="33" t="s">
        <v>267</v>
      </c>
      <c r="C137" s="86">
        <f>(C107+C120+C136)</f>
        <v>22948376.040000003</v>
      </c>
      <c r="D137" s="86">
        <f>(D107+D120+D136)</f>
        <v>652061.90999999992</v>
      </c>
      <c r="E137" s="86">
        <f>(E107+E120+E136)</f>
        <v>614589.26</v>
      </c>
      <c r="F137" s="86">
        <f>(F107+F120+F136)</f>
        <v>2007980.05</v>
      </c>
      <c r="G137" s="86">
        <f>(G107+G120+G136)</f>
        <v>176392.6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15</v>
      </c>
      <c r="D143" s="153">
        <f>'DOE25'!H480</f>
        <v>15</v>
      </c>
      <c r="E143" s="153">
        <f>'DOE25'!I480</f>
        <v>15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09/99</v>
      </c>
      <c r="C144" s="152" t="str">
        <f>'DOE25'!G481</f>
        <v>08/07</v>
      </c>
      <c r="D144" s="152" t="str">
        <f>'DOE25'!H481</f>
        <v>08/07</v>
      </c>
      <c r="E144" s="152" t="str">
        <f>'DOE25'!I481</f>
        <v>01/10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09/15</v>
      </c>
      <c r="C145" s="152" t="str">
        <f>'DOE25'!G482</f>
        <v>11/22</v>
      </c>
      <c r="D145" s="152" t="str">
        <f>'DOE25'!H482</f>
        <v>01/23</v>
      </c>
      <c r="E145" s="152" t="str">
        <f>'DOE25'!I482</f>
        <v>07/25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8445000</v>
      </c>
      <c r="C146" s="137">
        <f>'DOE25'!G483</f>
        <v>360109</v>
      </c>
      <c r="D146" s="137">
        <f>'DOE25'!H483</f>
        <v>2459891</v>
      </c>
      <c r="E146" s="137">
        <f>'DOE25'!I483</f>
        <v>3600000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4.25</v>
      </c>
      <c r="C147" s="137">
        <f>'DOE25'!G484</f>
        <v>4.68</v>
      </c>
      <c r="D147" s="137">
        <f>'DOE25'!H484</f>
        <v>4.3</v>
      </c>
      <c r="E147" s="137">
        <f>'DOE25'!I484</f>
        <v>1.65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2695000</v>
      </c>
      <c r="C148" s="137">
        <f>'DOE25'!G485</f>
        <v>325120.46999999997</v>
      </c>
      <c r="D148" s="137">
        <f>'DOE25'!H485</f>
        <v>2214452.9300000002</v>
      </c>
      <c r="E148" s="137">
        <f>'DOE25'!I485</f>
        <v>3600000</v>
      </c>
      <c r="F148" s="137">
        <f>'DOE25'!J485</f>
        <v>0</v>
      </c>
      <c r="G148" s="138">
        <f>SUM(B148:F148)</f>
        <v>8834573.4000000004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575000</v>
      </c>
      <c r="C150" s="137">
        <f>'DOE25'!G487</f>
        <v>18731.72</v>
      </c>
      <c r="D150" s="137">
        <f>'DOE25'!H487</f>
        <v>130689.95</v>
      </c>
      <c r="E150" s="137">
        <f>'DOE25'!I487</f>
        <v>0</v>
      </c>
      <c r="F150" s="137">
        <f>'DOE25'!J487</f>
        <v>0</v>
      </c>
      <c r="G150" s="138">
        <f t="shared" si="0"/>
        <v>724421.66999999993</v>
      </c>
    </row>
    <row r="151" spans="1:7" x14ac:dyDescent="0.2">
      <c r="A151" s="22" t="s">
        <v>35</v>
      </c>
      <c r="B151" s="137">
        <f>'DOE25'!F488</f>
        <v>2120000</v>
      </c>
      <c r="C151" s="137">
        <f>'DOE25'!G488</f>
        <v>306388.75</v>
      </c>
      <c r="D151" s="137">
        <f>'DOE25'!H488</f>
        <v>2083762.98</v>
      </c>
      <c r="E151" s="137">
        <f>'DOE25'!I488</f>
        <v>3600000</v>
      </c>
      <c r="F151" s="137">
        <f>'DOE25'!J488</f>
        <v>0</v>
      </c>
      <c r="G151" s="138">
        <f t="shared" si="0"/>
        <v>8110151.7300000004</v>
      </c>
    </row>
    <row r="152" spans="1:7" x14ac:dyDescent="0.2">
      <c r="A152" s="22" t="s">
        <v>36</v>
      </c>
      <c r="B152" s="137">
        <f>'DOE25'!F489</f>
        <v>214776.52</v>
      </c>
      <c r="C152" s="137">
        <f>'DOE25'!G489</f>
        <v>100979.59</v>
      </c>
      <c r="D152" s="137">
        <f>'DOE25'!H489</f>
        <v>627174.09</v>
      </c>
      <c r="E152" s="137">
        <f>'DOE25'!I489</f>
        <v>502590</v>
      </c>
      <c r="F152" s="137">
        <f>'DOE25'!J489</f>
        <v>0</v>
      </c>
      <c r="G152" s="138">
        <f t="shared" si="0"/>
        <v>1445520.2</v>
      </c>
    </row>
    <row r="153" spans="1:7" x14ac:dyDescent="0.2">
      <c r="A153" s="22" t="s">
        <v>37</v>
      </c>
      <c r="B153" s="137">
        <f>'DOE25'!F490</f>
        <v>2334776.52</v>
      </c>
      <c r="C153" s="137">
        <f>'DOE25'!G490</f>
        <v>407368.33999999997</v>
      </c>
      <c r="D153" s="137">
        <f>'DOE25'!H490</f>
        <v>2710937.07</v>
      </c>
      <c r="E153" s="137">
        <f>'DOE25'!I490</f>
        <v>4102590</v>
      </c>
      <c r="F153" s="137">
        <f>'DOE25'!J490</f>
        <v>0</v>
      </c>
      <c r="G153" s="138">
        <f t="shared" si="0"/>
        <v>9555671.9299999997</v>
      </c>
    </row>
    <row r="154" spans="1:7" x14ac:dyDescent="0.2">
      <c r="A154" s="22" t="s">
        <v>38</v>
      </c>
      <c r="B154" s="137">
        <f>'DOE25'!F491</f>
        <v>575000</v>
      </c>
      <c r="C154" s="137">
        <f>'DOE25'!G491</f>
        <v>19608.37</v>
      </c>
      <c r="D154" s="137">
        <f>'DOE25'!H491</f>
        <v>136309.60999999999</v>
      </c>
      <c r="E154" s="137">
        <f>'DOE25'!I491</f>
        <v>240000</v>
      </c>
      <c r="F154" s="137">
        <f>'DOE25'!J491</f>
        <v>0</v>
      </c>
      <c r="G154" s="138">
        <f t="shared" si="0"/>
        <v>970917.98</v>
      </c>
    </row>
    <row r="155" spans="1:7" x14ac:dyDescent="0.2">
      <c r="A155" s="22" t="s">
        <v>39</v>
      </c>
      <c r="B155" s="137">
        <f>'DOE25'!F492</f>
        <v>89394.13</v>
      </c>
      <c r="C155" s="137">
        <f>'DOE25'!G492</f>
        <v>14338.99</v>
      </c>
      <c r="D155" s="137">
        <f>'DOE25'!H492</f>
        <v>89601.81</v>
      </c>
      <c r="E155" s="137">
        <f>'DOE25'!I492</f>
        <v>86790</v>
      </c>
      <c r="F155" s="137">
        <f>'DOE25'!J492</f>
        <v>0</v>
      </c>
      <c r="G155" s="138">
        <f t="shared" si="0"/>
        <v>280124.93</v>
      </c>
    </row>
    <row r="156" spans="1:7" x14ac:dyDescent="0.2">
      <c r="A156" s="22" t="s">
        <v>269</v>
      </c>
      <c r="B156" s="137">
        <f>'DOE25'!F493</f>
        <v>664394.13</v>
      </c>
      <c r="C156" s="137">
        <f>'DOE25'!G493</f>
        <v>33947.360000000001</v>
      </c>
      <c r="D156" s="137">
        <f>'DOE25'!H493</f>
        <v>225911.41999999998</v>
      </c>
      <c r="E156" s="137">
        <f>'DOE25'!I493</f>
        <v>326790</v>
      </c>
      <c r="F156" s="137">
        <f>'DOE25'!J493</f>
        <v>0</v>
      </c>
      <c r="G156" s="138">
        <f t="shared" si="0"/>
        <v>1251042.9099999999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E243-CD8D-41DF-8DE9-749FCEF88DB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PEMBROKE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13238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11219</v>
      </c>
    </row>
    <row r="7" spans="1:4" x14ac:dyDescent="0.2">
      <c r="B7" t="s">
        <v>736</v>
      </c>
      <c r="C7" s="179">
        <f>IF('DOE25'!I655+'DOE25'!I660=0,0,ROUND('DOE25'!I662,0))</f>
        <v>12156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9153444</v>
      </c>
      <c r="D10" s="182">
        <f>ROUND((C10/$C$28)*100,1)</f>
        <v>40.5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5118709</v>
      </c>
      <c r="D11" s="182">
        <f>ROUND((C11/$C$28)*100,1)</f>
        <v>22.7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1136744</v>
      </c>
      <c r="D12" s="182">
        <f>ROUND((C12/$C$28)*100,1)</f>
        <v>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532858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1666402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409096</v>
      </c>
      <c r="D16" s="182">
        <f t="shared" si="0"/>
        <v>1.8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599877</v>
      </c>
      <c r="D17" s="182">
        <f t="shared" si="0"/>
        <v>2.7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1499671</v>
      </c>
      <c r="D18" s="182">
        <f t="shared" si="0"/>
        <v>6.6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1482112</v>
      </c>
      <c r="D20" s="182">
        <f t="shared" si="0"/>
        <v>6.6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658012</v>
      </c>
      <c r="D21" s="182">
        <f t="shared" si="0"/>
        <v>2.9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113832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210267.81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22581024.809999999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2373101</v>
      </c>
    </row>
    <row r="30" spans="1:4" x14ac:dyDescent="0.2">
      <c r="B30" s="187" t="s">
        <v>760</v>
      </c>
      <c r="C30" s="180">
        <f>SUM(C28:C29)</f>
        <v>24954125.809999999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575000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9127260</v>
      </c>
      <c r="D35" s="182">
        <f t="shared" ref="D35:D40" si="1">ROUND((C35/$C$41)*100,1)</f>
        <v>38.299999999999997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5826536.25</v>
      </c>
      <c r="D36" s="182">
        <f t="shared" si="1"/>
        <v>24.5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6900734</v>
      </c>
      <c r="D37" s="182">
        <f t="shared" si="1"/>
        <v>29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880657</v>
      </c>
      <c r="D38" s="182">
        <f t="shared" si="1"/>
        <v>3.7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1079129</v>
      </c>
      <c r="D39" s="182">
        <f t="shared" si="1"/>
        <v>4.5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23814316.25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2A28-62EE-4816-8C8F-9091B313454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PEMBROKE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2011-11-01T14:53:22Z</cp:lastPrinted>
  <dcterms:created xsi:type="dcterms:W3CDTF">1997-12-04T19:04:30Z</dcterms:created>
  <dcterms:modified xsi:type="dcterms:W3CDTF">2025-01-10T20:13:23Z</dcterms:modified>
</cp:coreProperties>
</file>