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A400349-910F-4549-A5FC-46226AF8CF5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371B66E-85AB-4EB2-BC32-8AD442590A0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E16" i="13" s="1"/>
  <c r="C16" i="13" s="1"/>
  <c r="L219" i="1"/>
  <c r="L237" i="1"/>
  <c r="F5" i="13"/>
  <c r="F33" i="13" s="1"/>
  <c r="G5" i="13"/>
  <c r="G33" i="13" s="1"/>
  <c r="L189" i="1"/>
  <c r="C10" i="10" s="1"/>
  <c r="L190" i="1"/>
  <c r="L191" i="1"/>
  <c r="L192" i="1"/>
  <c r="L207" i="1"/>
  <c r="L208" i="1"/>
  <c r="L209" i="1"/>
  <c r="L210" i="1"/>
  <c r="L225" i="1"/>
  <c r="L226" i="1"/>
  <c r="L227" i="1"/>
  <c r="L239" i="1" s="1"/>
  <c r="H650" i="1" s="1"/>
  <c r="L228" i="1"/>
  <c r="C104" i="2" s="1"/>
  <c r="F6" i="13"/>
  <c r="D6" i="13" s="1"/>
  <c r="C6" i="13" s="1"/>
  <c r="G6" i="13"/>
  <c r="L194" i="1"/>
  <c r="L212" i="1"/>
  <c r="L230" i="1"/>
  <c r="F7" i="13"/>
  <c r="G7" i="13"/>
  <c r="L195" i="1"/>
  <c r="L213" i="1"/>
  <c r="L231" i="1"/>
  <c r="D7" i="13"/>
  <c r="C7" i="13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D14" i="13"/>
  <c r="C14" i="13"/>
  <c r="F15" i="13"/>
  <c r="D15" i="13" s="1"/>
  <c r="C15" i="13" s="1"/>
  <c r="G15" i="13"/>
  <c r="L200" i="1"/>
  <c r="L218" i="1"/>
  <c r="L236" i="1"/>
  <c r="F17" i="13"/>
  <c r="G17" i="13"/>
  <c r="D17" i="13" s="1"/>
  <c r="C17" i="13" s="1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F651" i="1" s="1"/>
  <c r="I359" i="1"/>
  <c r="I361" i="1" s="1"/>
  <c r="H624" i="1" s="1"/>
  <c r="J624" i="1" s="1"/>
  <c r="D29" i="13"/>
  <c r="C29" i="13" s="1"/>
  <c r="J282" i="1"/>
  <c r="F31" i="13" s="1"/>
  <c r="J301" i="1"/>
  <c r="J320" i="1"/>
  <c r="K282" i="1"/>
  <c r="K301" i="1"/>
  <c r="G31" i="13" s="1"/>
  <c r="K320" i="1"/>
  <c r="L268" i="1"/>
  <c r="L269" i="1"/>
  <c r="E102" i="2" s="1"/>
  <c r="L270" i="1"/>
  <c r="L282" i="1" s="1"/>
  <c r="L271" i="1"/>
  <c r="L273" i="1"/>
  <c r="L274" i="1"/>
  <c r="L275" i="1"/>
  <c r="L276" i="1"/>
  <c r="L277" i="1"/>
  <c r="L278" i="1"/>
  <c r="L279" i="1"/>
  <c r="L280" i="1"/>
  <c r="L287" i="1"/>
  <c r="L301" i="1" s="1"/>
  <c r="G650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E117" i="2" s="1"/>
  <c r="L325" i="1"/>
  <c r="E106" i="2" s="1"/>
  <c r="L326" i="1"/>
  <c r="L327" i="1"/>
  <c r="L252" i="1"/>
  <c r="L253" i="1"/>
  <c r="L333" i="1"/>
  <c r="H25" i="13" s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3" i="2"/>
  <c r="G54" i="2" s="1"/>
  <c r="F2" i="11"/>
  <c r="L603" i="1"/>
  <c r="H653" i="1"/>
  <c r="L602" i="1"/>
  <c r="G653" i="1"/>
  <c r="L601" i="1"/>
  <c r="L604" i="1" s="1"/>
  <c r="F653" i="1"/>
  <c r="I653" i="1" s="1"/>
  <c r="C40" i="10"/>
  <c r="F52" i="1"/>
  <c r="G52" i="1"/>
  <c r="H52" i="1"/>
  <c r="I52" i="1"/>
  <c r="C35" i="10"/>
  <c r="F71" i="1"/>
  <c r="F86" i="1"/>
  <c r="F103" i="1"/>
  <c r="F104" i="1"/>
  <c r="C36" i="10" s="1"/>
  <c r="G103" i="1"/>
  <c r="G104" i="1"/>
  <c r="H71" i="1"/>
  <c r="H104" i="1" s="1"/>
  <c r="H86" i="1"/>
  <c r="H103" i="1"/>
  <c r="I103" i="1"/>
  <c r="I104" i="1"/>
  <c r="J103" i="1"/>
  <c r="J104" i="1"/>
  <c r="F113" i="1"/>
  <c r="F128" i="1"/>
  <c r="F132" i="1"/>
  <c r="C38" i="10" s="1"/>
  <c r="G113" i="1"/>
  <c r="G132" i="1" s="1"/>
  <c r="G128" i="1"/>
  <c r="H113" i="1"/>
  <c r="H128" i="1"/>
  <c r="H132" i="1" s="1"/>
  <c r="I113" i="1"/>
  <c r="I132" i="1" s="1"/>
  <c r="I128" i="1"/>
  <c r="J113" i="1"/>
  <c r="J132" i="1" s="1"/>
  <c r="J185" i="1" s="1"/>
  <c r="J128" i="1"/>
  <c r="F139" i="1"/>
  <c r="F154" i="1"/>
  <c r="F161" i="1" s="1"/>
  <c r="C39" i="10" s="1"/>
  <c r="G139" i="1"/>
  <c r="G161" i="1" s="1"/>
  <c r="G154" i="1"/>
  <c r="H139" i="1"/>
  <c r="H161" i="1" s="1"/>
  <c r="H154" i="1"/>
  <c r="I139" i="1"/>
  <c r="I154" i="1"/>
  <c r="I161" i="1"/>
  <c r="C15" i="10"/>
  <c r="C16" i="10"/>
  <c r="C17" i="10"/>
  <c r="C18" i="10"/>
  <c r="C20" i="10"/>
  <c r="C21" i="10"/>
  <c r="L242" i="1"/>
  <c r="L324" i="1"/>
  <c r="C23" i="10"/>
  <c r="L246" i="1"/>
  <c r="C25" i="10"/>
  <c r="L260" i="1"/>
  <c r="C134" i="2" s="1"/>
  <c r="L261" i="1"/>
  <c r="C26" i="10"/>
  <c r="L341" i="1"/>
  <c r="L342" i="1"/>
  <c r="I655" i="1"/>
  <c r="I660" i="1"/>
  <c r="L221" i="1"/>
  <c r="F652" i="1"/>
  <c r="G652" i="1"/>
  <c r="H652" i="1"/>
  <c r="I652" i="1"/>
  <c r="I659" i="1"/>
  <c r="C5" i="10"/>
  <c r="C4" i="10"/>
  <c r="C42" i="10"/>
  <c r="C32" i="10"/>
  <c r="L366" i="1"/>
  <c r="L367" i="1"/>
  <c r="L368" i="1"/>
  <c r="C29" i="10" s="1"/>
  <c r="L369" i="1"/>
  <c r="L370" i="1"/>
  <c r="L371" i="1"/>
  <c r="L372" i="1"/>
  <c r="B2" i="10"/>
  <c r="L336" i="1"/>
  <c r="L337" i="1"/>
  <c r="L343" i="1"/>
  <c r="L338" i="1"/>
  <c r="L339" i="1"/>
  <c r="K343" i="1"/>
  <c r="L511" i="1"/>
  <c r="L514" i="1" s="1"/>
  <c r="F539" i="1"/>
  <c r="F542" i="1" s="1"/>
  <c r="L512" i="1"/>
  <c r="F540" i="1" s="1"/>
  <c r="K540" i="1" s="1"/>
  <c r="L513" i="1"/>
  <c r="F541" i="1"/>
  <c r="L516" i="1"/>
  <c r="G539" i="1"/>
  <c r="L517" i="1"/>
  <c r="G540" i="1"/>
  <c r="L518" i="1"/>
  <c r="L519" i="1" s="1"/>
  <c r="G541" i="1"/>
  <c r="G542" i="1" s="1"/>
  <c r="L521" i="1"/>
  <c r="L524" i="1" s="1"/>
  <c r="H539" i="1"/>
  <c r="H542" i="1" s="1"/>
  <c r="L522" i="1"/>
  <c r="H540" i="1"/>
  <c r="L523" i="1"/>
  <c r="H541" i="1" s="1"/>
  <c r="L526" i="1"/>
  <c r="I539" i="1" s="1"/>
  <c r="I542" i="1" s="1"/>
  <c r="L527" i="1"/>
  <c r="I540" i="1"/>
  <c r="L528" i="1"/>
  <c r="L529" i="1" s="1"/>
  <c r="I541" i="1"/>
  <c r="L531" i="1"/>
  <c r="J539" i="1" s="1"/>
  <c r="L532" i="1"/>
  <c r="J540" i="1"/>
  <c r="L533" i="1"/>
  <c r="J541" i="1" s="1"/>
  <c r="E124" i="2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F9" i="2"/>
  <c r="F19" i="2" s="1"/>
  <c r="I431" i="1"/>
  <c r="I438" i="1" s="1"/>
  <c r="G632" i="1" s="1"/>
  <c r="J9" i="1"/>
  <c r="G9" i="2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C23" i="2"/>
  <c r="C32" i="2" s="1"/>
  <c r="D23" i="2"/>
  <c r="D32" i="2" s="1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I451" i="1" s="1"/>
  <c r="H632" i="1" s="1"/>
  <c r="J32" i="1"/>
  <c r="G31" i="2" s="1"/>
  <c r="C34" i="2"/>
  <c r="D34" i="2"/>
  <c r="D42" i="2" s="1"/>
  <c r="D43" i="2" s="1"/>
  <c r="E34" i="2"/>
  <c r="F34" i="2"/>
  <c r="C35" i="2"/>
  <c r="D35" i="2"/>
  <c r="E35" i="2"/>
  <c r="E42" i="2" s="1"/>
  <c r="F35" i="2"/>
  <c r="F42" i="2" s="1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D55" i="2" s="1"/>
  <c r="E48" i="2"/>
  <c r="F48" i="2"/>
  <c r="F55" i="2" s="1"/>
  <c r="C49" i="2"/>
  <c r="E49" i="2"/>
  <c r="C50" i="2"/>
  <c r="E50" i="2"/>
  <c r="E54" i="2" s="1"/>
  <c r="C51" i="2"/>
  <c r="D51" i="2"/>
  <c r="E51" i="2"/>
  <c r="F51" i="2"/>
  <c r="D52" i="2"/>
  <c r="C53" i="2"/>
  <c r="C54" i="2" s="1"/>
  <c r="D53" i="2"/>
  <c r="D54" i="2" s="1"/>
  <c r="E53" i="2"/>
  <c r="F53" i="2"/>
  <c r="C58" i="2"/>
  <c r="C59" i="2"/>
  <c r="C61" i="2"/>
  <c r="D61" i="2"/>
  <c r="D62" i="2" s="1"/>
  <c r="D73" i="2" s="1"/>
  <c r="E61" i="2"/>
  <c r="E62" i="2"/>
  <c r="F61" i="2"/>
  <c r="F62" i="2" s="1"/>
  <c r="F73" i="2" s="1"/>
  <c r="G61" i="2"/>
  <c r="G62" i="2" s="1"/>
  <c r="C64" i="2"/>
  <c r="F64" i="2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D70" i="2"/>
  <c r="E69" i="2"/>
  <c r="F69" i="2"/>
  <c r="G69" i="2"/>
  <c r="G70" i="2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C83" i="2" s="1"/>
  <c r="D80" i="2"/>
  <c r="D83" i="2" s="1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G95" i="2" s="1"/>
  <c r="C90" i="2"/>
  <c r="D90" i="2"/>
  <c r="D95" i="2" s="1"/>
  <c r="E90" i="2"/>
  <c r="G90" i="2"/>
  <c r="C91" i="2"/>
  <c r="D91" i="2"/>
  <c r="E91" i="2"/>
  <c r="F91" i="2"/>
  <c r="C92" i="2"/>
  <c r="D92" i="2"/>
  <c r="E92" i="2"/>
  <c r="E95" i="2" s="1"/>
  <c r="F92" i="2"/>
  <c r="C93" i="2"/>
  <c r="D93" i="2"/>
  <c r="E93" i="2"/>
  <c r="F93" i="2"/>
  <c r="C94" i="2"/>
  <c r="D94" i="2"/>
  <c r="E94" i="2"/>
  <c r="F94" i="2"/>
  <c r="E101" i="2"/>
  <c r="C102" i="2"/>
  <c r="E104" i="2"/>
  <c r="C105" i="2"/>
  <c r="E105" i="2"/>
  <c r="D107" i="2"/>
  <c r="F107" i="2"/>
  <c r="G107" i="2"/>
  <c r="C110" i="2"/>
  <c r="E110" i="2"/>
  <c r="C111" i="2"/>
  <c r="E111" i="2"/>
  <c r="C112" i="2"/>
  <c r="E112" i="2"/>
  <c r="C113" i="2"/>
  <c r="E113" i="2"/>
  <c r="E114" i="2"/>
  <c r="C115" i="2"/>
  <c r="E115" i="2"/>
  <c r="C116" i="2"/>
  <c r="E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F490" i="1"/>
  <c r="B153" i="2"/>
  <c r="G490" i="1"/>
  <c r="K490" i="1" s="1"/>
  <c r="C153" i="2"/>
  <c r="H490" i="1"/>
  <c r="D153" i="2"/>
  <c r="I490" i="1"/>
  <c r="E153" i="2" s="1"/>
  <c r="G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C156" i="2" s="1"/>
  <c r="H493" i="1"/>
  <c r="K493" i="1" s="1"/>
  <c r="D156" i="2"/>
  <c r="I493" i="1"/>
  <c r="E156" i="2"/>
  <c r="J493" i="1"/>
  <c r="F156" i="2" s="1"/>
  <c r="F19" i="1"/>
  <c r="G19" i="1"/>
  <c r="H19" i="1"/>
  <c r="I19" i="1"/>
  <c r="F33" i="1"/>
  <c r="G33" i="1"/>
  <c r="H33" i="1"/>
  <c r="H44" i="1" s="1"/>
  <c r="H609" i="1" s="1"/>
  <c r="J609" i="1" s="1"/>
  <c r="I33" i="1"/>
  <c r="F43" i="1"/>
  <c r="G612" i="1" s="1"/>
  <c r="F44" i="1"/>
  <c r="H607" i="1" s="1"/>
  <c r="G43" i="1"/>
  <c r="H43" i="1"/>
  <c r="I43" i="1"/>
  <c r="I44" i="1" s="1"/>
  <c r="H610" i="1" s="1"/>
  <c r="G44" i="1"/>
  <c r="F169" i="1"/>
  <c r="I169" i="1"/>
  <c r="I184" i="1" s="1"/>
  <c r="F175" i="1"/>
  <c r="F184" i="1" s="1"/>
  <c r="G175" i="1"/>
  <c r="H175" i="1"/>
  <c r="H184" i="1" s="1"/>
  <c r="I175" i="1"/>
  <c r="J175" i="1"/>
  <c r="J184" i="1"/>
  <c r="F180" i="1"/>
  <c r="G180" i="1"/>
  <c r="H180" i="1"/>
  <c r="I180" i="1"/>
  <c r="G184" i="1"/>
  <c r="F203" i="1"/>
  <c r="G203" i="1"/>
  <c r="H203" i="1"/>
  <c r="I203" i="1"/>
  <c r="J203" i="1"/>
  <c r="J249" i="1" s="1"/>
  <c r="K203" i="1"/>
  <c r="F221" i="1"/>
  <c r="G221" i="1"/>
  <c r="G249" i="1" s="1"/>
  <c r="G263" i="1" s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K249" i="1"/>
  <c r="K263" i="1" s="1"/>
  <c r="F248" i="1"/>
  <c r="L248" i="1" s="1"/>
  <c r="G248" i="1"/>
  <c r="H248" i="1"/>
  <c r="I248" i="1"/>
  <c r="J248" i="1"/>
  <c r="K248" i="1"/>
  <c r="F249" i="1"/>
  <c r="F263" i="1" s="1"/>
  <c r="F282" i="1"/>
  <c r="F330" i="1" s="1"/>
  <c r="F344" i="1" s="1"/>
  <c r="G282" i="1"/>
  <c r="H282" i="1"/>
  <c r="H330" i="1" s="1"/>
  <c r="H344" i="1" s="1"/>
  <c r="I282" i="1"/>
  <c r="I330" i="1" s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K330" i="1" s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G426" i="1"/>
  <c r="H426" i="1"/>
  <c r="I426" i="1"/>
  <c r="J426" i="1"/>
  <c r="F438" i="1"/>
  <c r="G438" i="1"/>
  <c r="H438" i="1"/>
  <c r="F444" i="1"/>
  <c r="G444" i="1"/>
  <c r="G451" i="1" s="1"/>
  <c r="H630" i="1" s="1"/>
  <c r="H444" i="1"/>
  <c r="H451" i="1" s="1"/>
  <c r="H631" i="1" s="1"/>
  <c r="J631" i="1" s="1"/>
  <c r="F450" i="1"/>
  <c r="F451" i="1" s="1"/>
  <c r="H629" i="1" s="1"/>
  <c r="J629" i="1" s="1"/>
  <c r="G450" i="1"/>
  <c r="H450" i="1"/>
  <c r="I450" i="1"/>
  <c r="F460" i="1"/>
  <c r="G460" i="1"/>
  <c r="H460" i="1"/>
  <c r="I460" i="1"/>
  <c r="I466" i="1" s="1"/>
  <c r="H615" i="1" s="1"/>
  <c r="J460" i="1"/>
  <c r="F464" i="1"/>
  <c r="F466" i="1" s="1"/>
  <c r="H612" i="1" s="1"/>
  <c r="G464" i="1"/>
  <c r="G466" i="1"/>
  <c r="H613" i="1" s="1"/>
  <c r="J613" i="1" s="1"/>
  <c r="H464" i="1"/>
  <c r="I464" i="1"/>
  <c r="J464" i="1"/>
  <c r="H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K535" i="1" s="1"/>
  <c r="F519" i="1"/>
  <c r="G519" i="1"/>
  <c r="H519" i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H535" i="1" s="1"/>
  <c r="I529" i="1"/>
  <c r="J529" i="1"/>
  <c r="K529" i="1"/>
  <c r="F534" i="1"/>
  <c r="G534" i="1"/>
  <c r="H534" i="1"/>
  <c r="I534" i="1"/>
  <c r="J534" i="1"/>
  <c r="K534" i="1"/>
  <c r="G535" i="1"/>
  <c r="L547" i="1"/>
  <c r="L548" i="1"/>
  <c r="L549" i="1"/>
  <c r="L550" i="1" s="1"/>
  <c r="F550" i="1"/>
  <c r="G550" i="1"/>
  <c r="H550" i="1"/>
  <c r="H561" i="1" s="1"/>
  <c r="I550" i="1"/>
  <c r="I561" i="1"/>
  <c r="J550" i="1"/>
  <c r="K550" i="1"/>
  <c r="K561" i="1" s="1"/>
  <c r="L552" i="1"/>
  <c r="L555" i="1" s="1"/>
  <c r="L553" i="1"/>
  <c r="L554" i="1"/>
  <c r="F555" i="1"/>
  <c r="G555" i="1"/>
  <c r="G561" i="1" s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H641" i="1" s="1"/>
  <c r="J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G607" i="1"/>
  <c r="J607" i="1" s="1"/>
  <c r="G608" i="1"/>
  <c r="H608" i="1"/>
  <c r="J608" i="1"/>
  <c r="G609" i="1"/>
  <c r="G610" i="1"/>
  <c r="G613" i="1"/>
  <c r="G614" i="1"/>
  <c r="H614" i="1"/>
  <c r="J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J630" i="1" s="1"/>
  <c r="G631" i="1"/>
  <c r="G633" i="1"/>
  <c r="G634" i="1"/>
  <c r="J634" i="1" s="1"/>
  <c r="G635" i="1"/>
  <c r="H637" i="1"/>
  <c r="G639" i="1"/>
  <c r="H639" i="1"/>
  <c r="J639" i="1"/>
  <c r="G640" i="1"/>
  <c r="J640" i="1" s="1"/>
  <c r="G641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F70" i="2"/>
  <c r="G152" i="2"/>
  <c r="G150" i="2"/>
  <c r="G148" i="2"/>
  <c r="E136" i="2"/>
  <c r="C62" i="2"/>
  <c r="F54" i="2"/>
  <c r="E19" i="2"/>
  <c r="C19" i="2"/>
  <c r="A13" i="12"/>
  <c r="E8" i="13"/>
  <c r="G37" i="2"/>
  <c r="G22" i="2"/>
  <c r="E120" i="2" l="1"/>
  <c r="E55" i="2"/>
  <c r="G23" i="2"/>
  <c r="G32" i="2" s="1"/>
  <c r="J33" i="1"/>
  <c r="J615" i="1"/>
  <c r="C120" i="2"/>
  <c r="G621" i="1"/>
  <c r="J621" i="1" s="1"/>
  <c r="G636" i="1"/>
  <c r="I185" i="1"/>
  <c r="G620" i="1" s="1"/>
  <c r="J620" i="1" s="1"/>
  <c r="C55" i="2"/>
  <c r="C96" i="2" s="1"/>
  <c r="J542" i="1"/>
  <c r="L561" i="1"/>
  <c r="G137" i="2"/>
  <c r="G19" i="2"/>
  <c r="C25" i="13"/>
  <c r="H33" i="13"/>
  <c r="D137" i="2"/>
  <c r="F96" i="2"/>
  <c r="C41" i="10"/>
  <c r="D36" i="10"/>
  <c r="C130" i="2"/>
  <c r="C136" i="2" s="1"/>
  <c r="L400" i="1"/>
  <c r="D96" i="2"/>
  <c r="G42" i="2"/>
  <c r="G43" i="2" s="1"/>
  <c r="J43" i="1"/>
  <c r="J632" i="1"/>
  <c r="G55" i="2"/>
  <c r="G96" i="2" s="1"/>
  <c r="F43" i="2"/>
  <c r="C133" i="2"/>
  <c r="J612" i="1"/>
  <c r="E43" i="2"/>
  <c r="K541" i="1"/>
  <c r="H185" i="1"/>
  <c r="G619" i="1" s="1"/>
  <c r="J619" i="1" s="1"/>
  <c r="L330" i="1"/>
  <c r="L344" i="1" s="1"/>
  <c r="G623" i="1" s="1"/>
  <c r="J623" i="1" s="1"/>
  <c r="D31" i="13"/>
  <c r="C31" i="13" s="1"/>
  <c r="J610" i="1"/>
  <c r="J263" i="1"/>
  <c r="G185" i="1"/>
  <c r="G618" i="1" s="1"/>
  <c r="J618" i="1" s="1"/>
  <c r="G156" i="2"/>
  <c r="F137" i="2"/>
  <c r="G73" i="2"/>
  <c r="L203" i="1"/>
  <c r="J19" i="1"/>
  <c r="G611" i="1" s="1"/>
  <c r="C114" i="2"/>
  <c r="J330" i="1"/>
  <c r="J344" i="1" s="1"/>
  <c r="C106" i="2"/>
  <c r="C24" i="10"/>
  <c r="C13" i="10"/>
  <c r="L534" i="1"/>
  <c r="L535" i="1" s="1"/>
  <c r="C101" i="2"/>
  <c r="C107" i="2" s="1"/>
  <c r="F185" i="1"/>
  <c r="G617" i="1" s="1"/>
  <c r="J617" i="1" s="1"/>
  <c r="D119" i="2"/>
  <c r="D120" i="2" s="1"/>
  <c r="C12" i="10"/>
  <c r="D5" i="13"/>
  <c r="E77" i="2"/>
  <c r="E83" i="2" s="1"/>
  <c r="C11" i="10"/>
  <c r="L354" i="1"/>
  <c r="H651" i="1"/>
  <c r="H654" i="1" s="1"/>
  <c r="K539" i="1"/>
  <c r="K542" i="1" s="1"/>
  <c r="L374" i="1"/>
  <c r="G626" i="1" s="1"/>
  <c r="J626" i="1" s="1"/>
  <c r="C8" i="13"/>
  <c r="E103" i="2"/>
  <c r="E107" i="2" s="1"/>
  <c r="E137" i="2" s="1"/>
  <c r="G651" i="1"/>
  <c r="G654" i="1" s="1"/>
  <c r="E13" i="13"/>
  <c r="C13" i="13" s="1"/>
  <c r="F122" i="2"/>
  <c r="F136" i="2" s="1"/>
  <c r="C103" i="2"/>
  <c r="H662" i="1" l="1"/>
  <c r="C6" i="10" s="1"/>
  <c r="H657" i="1"/>
  <c r="G662" i="1"/>
  <c r="G657" i="1"/>
  <c r="H638" i="1"/>
  <c r="J638" i="1" s="1"/>
  <c r="D40" i="10"/>
  <c r="D35" i="10"/>
  <c r="D37" i="10"/>
  <c r="I651" i="1"/>
  <c r="C137" i="2"/>
  <c r="E33" i="13"/>
  <c r="D35" i="13" s="1"/>
  <c r="D38" i="10"/>
  <c r="C27" i="10"/>
  <c r="G625" i="1"/>
  <c r="J625" i="1" s="1"/>
  <c r="G616" i="1"/>
  <c r="J616" i="1" s="1"/>
  <c r="J44" i="1"/>
  <c r="H611" i="1" s="1"/>
  <c r="H646" i="1"/>
  <c r="J611" i="1"/>
  <c r="E96" i="2"/>
  <c r="C5" i="13"/>
  <c r="D33" i="13"/>
  <c r="D36" i="13" s="1"/>
  <c r="L249" i="1"/>
  <c r="L263" i="1" s="1"/>
  <c r="G622" i="1" s="1"/>
  <c r="J622" i="1" s="1"/>
  <c r="F650" i="1"/>
  <c r="G627" i="1"/>
  <c r="J627" i="1" s="1"/>
  <c r="H636" i="1"/>
  <c r="J636" i="1" s="1"/>
  <c r="D39" i="10"/>
  <c r="D41" i="10" l="1"/>
  <c r="F654" i="1"/>
  <c r="I650" i="1"/>
  <c r="I654" i="1" s="1"/>
  <c r="C28" i="10"/>
  <c r="C30" i="10" l="1"/>
  <c r="D23" i="10"/>
  <c r="D22" i="10"/>
  <c r="D20" i="10"/>
  <c r="D21" i="10"/>
  <c r="D19" i="10"/>
  <c r="D25" i="10"/>
  <c r="D26" i="10"/>
  <c r="D16" i="10"/>
  <c r="D15" i="10"/>
  <c r="D18" i="10"/>
  <c r="D17" i="10"/>
  <c r="D10" i="10"/>
  <c r="D24" i="10"/>
  <c r="D11" i="10"/>
  <c r="D13" i="10"/>
  <c r="D12" i="10"/>
  <c r="D27" i="10"/>
  <c r="I657" i="1"/>
  <c r="I662" i="1"/>
  <c r="C7" i="10" s="1"/>
  <c r="F662" i="1"/>
  <c r="F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554E5F8-203D-45B6-A699-28D4B5D239D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219705D-EE8A-4394-976E-1FA932F68D2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E88CE7B-A6CC-4F55-BF23-4DB7DA87BF7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37CED12-D384-4E5B-A589-043232ACAB0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6AA2C1A-72F7-46CD-AA5B-38A1F0251E4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5FF024C-A76C-4C16-A0AD-4340D72FFBA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02D7883-389E-4A60-A4C5-EAD977F87F6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EBCB283-759E-4C21-867F-B88A3B1E7E9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FF19722-0F34-4C41-8005-EE69D42B904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8861026-3FFA-4CDE-B26C-71EC3F40B31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2653A92-84F0-42BA-B3BD-D0206B4F603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DAFB200-E272-4119-9357-A8496C6C72F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<sst xmlns="http://schemas.openxmlformats.org/spreadsheetml/2006/main" count="3859" uniqueCount="896">
  <si>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</si>
  <si>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</si>
  <si>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</si>
  <si>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</si>
  <si>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</si>
  <si>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</si>
  <si>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</si>
  <si>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</si>
  <si>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</si>
  <si>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</si>
  <si>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</si>
  <si>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</si>
  <si>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</si>
  <si>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</si>
  <si>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</si>
  <si>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</si>
  <si>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</si>
  <si>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</si>
  <si>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</si>
  <si>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</si>
  <si>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</si>
  <si>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</si>
  <si>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</si>
  <si>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</si>
  <si>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</si>
  <si>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</si>
  <si>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</si>
  <si>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</si>
  <si>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</si>
  <si>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</si>
  <si>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</si>
  <si>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</si>
  <si>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</si>
  <si>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</si>
  <si>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</si>
  <si>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</si>
  <si>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</si>
  <si>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</si>
  <si>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</si>
  <si>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</si>
  <si>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</si>
  <si>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</si>
  <si>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</si>
  <si>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</si>
  <si>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</si>
  <si>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</si>
  <si>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</si>
  <si>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</si>
  <si>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</si>
  <si>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</si>
  <si>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</si>
  <si>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</si>
  <si>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</si>
  <si>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</si>
  <si>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</si>
  <si>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</si>
  <si>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</si>
  <si>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</si>
  <si>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</si>
  <si>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</si>
  <si>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</si>
  <si>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</si>
  <si>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</si>
  <si>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</si>
  <si>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</si>
  <si>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</si>
  <si>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</si>
  <si>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</si>
  <si>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</si>
  <si>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</si>
  <si>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</si>
  <si>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</si>
  <si>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</si>
  <si>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</si>
  <si>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</si>
  <si>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</si>
  <si>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</si>
  <si>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</si>
  <si>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</si>
  <si>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</si>
  <si>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</si>
  <si>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</si>
  <si>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</si>
  <si>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</si>
  <si>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</si>
  <si>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</si>
  <si>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</si>
  <si>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</si>
  <si>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</si>
  <si>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</si>
  <si>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</si>
  <si>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</si>
  <si>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</si>
  <si>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</si>
  <si>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</si>
  <si>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</si>
  <si>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</si>
  <si>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</si>
  <si>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</si>
  <si>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</si>
  <si>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</si>
  <si>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</si>
  <si>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</si>
  <si>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</si>
  <si>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</si>
  <si>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</si>
  <si>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</si>
  <si>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</si>
  <si>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</si>
  <si>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</si>
  <si>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</si>
  <si>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</si>
  <si>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</si>
  <si>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</si>
  <si>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</si>
  <si>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</si>
  <si>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</si>
  <si>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</si>
  <si>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</si>
  <si>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</si>
  <si>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</si>
  <si>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</si>
  <si>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</si>
  <si>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</si>
  <si>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</si>
  <si>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</si>
  <si>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</si>
  <si>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</si>
  <si>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</si>
  <si>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</si>
  <si>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</si>
  <si>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</si>
  <si>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</si>
  <si>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</si>
  <si>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</si>
  <si>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</si>
  <si>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</si>
  <si>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</si>
  <si>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</si>
  <si>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</si>
  <si>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</si>
  <si>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</si>
  <si>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</si>
  <si>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</si>
  <si>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</si>
  <si>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</si>
  <si>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</si>
  <si>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</si>
  <si>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</si>
  <si>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</si>
  <si>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</si>
  <si>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</si>
  <si>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</si>
  <si>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</si>
  <si>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</si>
  <si>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</si>
  <si>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</si>
  <si>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</si>
  <si>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</si>
  <si>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</si>
  <si>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</si>
  <si>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</si>
  <si>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</si>
  <si>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</si>
  <si>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</si>
  <si>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</si>
  <si>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</si>
  <si>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</si>
  <si>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</si>
  <si>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</si>
  <si>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</si>
  <si>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</si>
  <si>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</si>
  <si>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</si>
  <si>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</si>
  <si>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</si>
  <si>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</si>
  <si>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</si>
  <si>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</si>
  <si>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</si>
  <si>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</si>
  <si>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</si>
  <si>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</si>
  <si>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</si>
  <si>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</si>
  <si>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</si>
  <si>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</si>
  <si>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</si>
  <si>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</si>
  <si>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</si>
  <si>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</si>
  <si>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</si>
  <si>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</si>
  <si>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</si>
  <si>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</si>
  <si>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</si>
  <si>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</si>
  <si>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</si>
  <si>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</si>
  <si>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</si>
  <si>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</si>
  <si>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</si>
  <si>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</si>
  <si>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</si>
  <si>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</si>
  <si>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</si>
  <si>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</si>
  <si>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</si>
  <si>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</si>
  <si>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</si>
  <si>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</si>
  <si>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</si>
  <si>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</si>
  <si>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</si>
  <si>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</si>
  <si>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</si>
  <si>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</si>
  <si>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</si>
  <si>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</si>
  <si>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</si>
  <si>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</si>
  <si>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</si>
  <si>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</si>
  <si>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</si>
  <si>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</si>
  <si>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</si>
  <si>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</si>
  <si>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</si>
  <si>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</si>
  <si>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</si>
  <si>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</si>
  <si>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</si>
  <si>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</si>
  <si>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</si>
  <si>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</si>
  <si>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</si>
  <si>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</si>
  <si>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</si>
  <si>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</si>
  <si>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</si>
  <si>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</si>
  <si>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</si>
  <si>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</si>
  <si>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</si>
  <si>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</si>
  <si>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</si>
  <si>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</si>
  <si>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</si>
  <si>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</si>
  <si>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</si>
  <si>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</si>
  <si>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</si>
  <si>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</si>
  <si>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</si>
  <si>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</si>
  <si>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</si>
  <si>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</si>
  <si>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</si>
  <si>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</si>
  <si>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</si>
  <si>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</si>
  <si>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</si>
  <si>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</si>
  <si>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</si>
  <si>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</si>
  <si>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</si>
  <si>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</si>
  <si>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</si>
  <si>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</si>
  <si>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</si>
  <si>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</si>
  <si>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</si>
  <si>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</si>
  <si>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</si>
  <si>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</si>
  <si>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</si>
  <si>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</si>
  <si>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</si>
  <si>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</si>
  <si>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</si>
  <si>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</si>
  <si>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</si>
  <si>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</si>
  <si>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</si>
  <si>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</si>
  <si>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</si>
  <si>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</si>
  <si>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</si>
  <si>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</si>
  <si>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</si>
  <si>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</si>
  <si>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</si>
  <si>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</si>
  <si>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</si>
  <si>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</si>
  <si>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</si>
  <si>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</si>
  <si>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</si>
  <si>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</si>
  <si>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</si>
  <si>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</si>
  <si>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</si>
  <si>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</si>
  <si>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</si>
  <si>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</si>
  <si>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</si>
  <si>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</si>
  <si>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</si>
  <si>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</si>
  <si>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</si>
  <si>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</si>
  <si>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</si>
  <si>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</si>
  <si>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</si>
  <si>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</si>
  <si>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</si>
  <si>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</si>
  <si>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</si>
  <si>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</si>
  <si>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</si>
  <si>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</si>
  <si>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</si>
  <si>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</si>
  <si>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</si>
  <si>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</si>
  <si>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</si>
  <si>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</si>
  <si>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</si>
  <si>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</si>
  <si>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</si>
  <si>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</si>
  <si>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</si>
  <si>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</si>
  <si>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</si>
  <si>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</si>
  <si>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</si>
  <si>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</si>
  <si>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</si>
  <si>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</si>
  <si>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</si>
  <si>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</si>
  <si>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</si>
  <si>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</si>
  <si>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</si>
  <si>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</si>
  <si>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</si>
  <si>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</si>
  <si>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</si>
  <si>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</si>
  <si>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</si>
  <si>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</si>
  <si>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</si>
  <si>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</si>
  <si>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</si>
  <si>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</si>
  <si>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</si>
  <si>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</si>
  <si>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</si>
  <si>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</si>
  <si>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</si>
  <si>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</si>
  <si>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</si>
  <si>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</si>
  <si>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</si>
  <si>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</si>
  <si>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</si>
  <si>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</si>
  <si>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</si>
  <si>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</si>
  <si>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</si>
  <si>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</si>
  <si>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</si>
  <si>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</si>
  <si>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</si>
  <si>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</si>
  <si>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</si>
  <si>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</si>
  <si>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</si>
  <si>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</si>
  <si>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</si>
  <si>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</si>
  <si>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</si>
  <si>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</si>
  <si>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</si>
  <si>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</si>
  <si>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</si>
  <si>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</si>
  <si>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</si>
  <si>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</si>
  <si>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</si>
  <si>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</si>
  <si>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</si>
  <si>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</si>
  <si>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</si>
  <si>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</si>
  <si>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</si>
  <si>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</si>
  <si>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</si>
  <si>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</si>
  <si>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</si>
  <si>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</si>
  <si>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</si>
  <si>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</si>
  <si>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</si>
  <si>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</si>
  <si>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</si>
  <si>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</si>
  <si>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</si>
  <si>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</si>
  <si>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</si>
  <si>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</si>
  <si>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</si>
  <si>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</si>
  <si>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</si>
  <si>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</si>
  <si>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</si>
  <si>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</si>
  <si>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</si>
  <si>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</si>
  <si>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</si>
  <si>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</si>
  <si>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</si>
  <si>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</si>
  <si>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</si>
  <si>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</si>
  <si>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</si>
  <si>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</si>
  <si>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</si>
  <si>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</si>
  <si>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</si>
  <si>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</si>
  <si>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</si>
  <si>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</si>
  <si>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</si>
  <si>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</si>
  <si>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</si>
  <si>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</si>
  <si>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</si>
  <si>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</si>
  <si>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</si>
  <si>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</si>
  <si>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</si>
  <si>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</si>
  <si>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</si>
  <si>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</si>
  <si>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</si>
  <si>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</si>
  <si>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</si>
  <si>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</si>
  <si>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</si>
  <si>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</si>
  <si>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</si>
  <si>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</si>
  <si>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</si>
  <si>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</si>
  <si>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</si>
  <si>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</si>
  <si>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</si>
  <si>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</si>
  <si>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</si>
  <si>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</si>
  <si>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</si>
  <si>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</si>
  <si>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</si>
  <si>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</si>
  <si>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</si>
  <si>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</si>
  <si>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</si>
  <si>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</si>
  <si>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</si>
  <si>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</si>
  <si>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</si>
  <si>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</si>
  <si>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</si>
  <si>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</si>
  <si>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</si>
  <si>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</si>
  <si>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</si>
  <si>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</si>
  <si>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</si>
  <si>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</si>
  <si>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</si>
  <si>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</si>
  <si>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</si>
  <si>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</si>
  <si>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</si>
  <si>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</si>
  <si>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</si>
  <si>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</si>
  <si>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</si>
  <si>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</si>
  <si>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</si>
  <si>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</si>
  <si>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</si>
  <si>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</si>
  <si>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</si>
  <si>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</si>
  <si>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</si>
  <si>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</si>
  <si>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</si>
  <si>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</si>
  <si>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</si>
  <si>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</si>
  <si>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</si>
  <si>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</si>
  <si>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</si>
  <si>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</si>
  <si>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</si>
  <si>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</si>
  <si>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</si>
  <si>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</si>
  <si>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</si>
  <si>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</si>
  <si>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</si>
  <si>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</si>
  <si>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</si>
  <si>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</si>
  <si>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</si>
  <si>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</si>
  <si>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</si>
  <si>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</si>
  <si>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</si>
  <si>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</si>
  <si>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</si>
  <si>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</si>
  <si>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</si>
  <si>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</si>
  <si>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</si>
  <si>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</si>
  <si>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</si>
  <si>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</si>
  <si>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</si>
  <si>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</si>
  <si>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</si>
  <si>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</si>
  <si>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</si>
  <si>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</si>
  <si>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</si>
  <si>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</si>
  <si>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</si>
  <si>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</si>
  <si>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</si>
  <si>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</si>
  <si>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</si>
  <si>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</si>
  <si>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</si>
  <si>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</si>
  <si>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</si>
  <si>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</si>
  <si>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</si>
  <si>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</si>
  <si>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</si>
  <si>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</si>
  <si>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</si>
  <si>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</si>
  <si>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</si>
  <si>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</si>
  <si>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</si>
  <si>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</si>
  <si>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</si>
  <si>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</si>
  <si>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</si>
  <si>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</si>
  <si>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</si>
  <si>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</si>
  <si>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</si>
  <si>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</si>
  <si>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</si>
  <si>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</si>
  <si>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</si>
  <si>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</si>
  <si>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</si>
  <si>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</si>
  <si>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</si>
  <si>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</si>
  <si>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</si>
  <si>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</si>
  <si>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</si>
  <si>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</si>
  <si>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</si>
  <si>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</si>
  <si>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</si>
  <si>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</si>
  <si>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</si>
  <si>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</si>
  <si>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</si>
  <si>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</si>
  <si>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</si>
  <si>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</si>
  <si>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</si>
  <si>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</si>
  <si>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</si>
  <si>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</si>
  <si>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</si>
  <si>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</si>
  <si>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</si>
  <si>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</si>
  <si>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</si>
  <si>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</si>
  <si>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</si>
  <si>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</si>
  <si>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</si>
  <si>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</si>
  <si>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</si>
  <si>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</si>
  <si>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</si>
  <si>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</si>
  <si>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</si>
  <si>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</si>
  <si>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</si>
  <si>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</si>
  <si>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</si>
  <si>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</si>
  <si>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</si>
  <si>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</si>
  <si>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</si>
  <si>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</si>
  <si>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</si>
  <si>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</si>
  <si>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</si>
  <si>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</si>
  <si>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</si>
  <si>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</si>
  <si>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</si>
  <si>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</si>
  <si>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</si>
  <si>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</si>
  <si>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</si>
  <si>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</si>
  <si>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</si>
  <si>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</si>
  <si>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</si>
  <si>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</si>
  <si>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</si>
  <si>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</si>
  <si>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</si>
  <si>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</si>
  <si>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</si>
  <si>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</si>
  <si>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</si>
  <si>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</si>
  <si>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</si>
  <si>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</si>
  <si>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</si>
  <si>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</si>
  <si>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</si>
  <si>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</si>
  <si>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</si>
  <si>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</si>
  <si>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</si>
  <si>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</si>
  <si>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</si>
  <si>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</si>
  <si>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</si>
  <si>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</si>
  <si>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</si>
  <si>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</si>
  <si>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</si>
  <si>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</si>
  <si>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</si>
  <si>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</si>
  <si>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</si>
  <si>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</si>
  <si>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</si>
  <si>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</si>
  <si>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</si>
  <si>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</si>
  <si>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</si>
  <si>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</si>
  <si>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</si>
  <si>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</si>
  <si>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</si>
  <si>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</si>
  <si>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</si>
  <si>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</si>
  <si>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</si>
  <si>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</si>
  <si>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</si>
  <si>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</si>
  <si>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</si>
  <si>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</si>
  <si>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</si>
  <si>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</si>
  <si>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</si>
  <si>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</si>
  <si>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</si>
  <si>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</si>
  <si>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</si>
  <si>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</si>
  <si>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</si>
  <si>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</si>
  <si>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</si>
  <si>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</si>
  <si>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</si>
  <si>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</si>
  <si>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</si>
  <si>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</si>
  <si>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</si>
  <si>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</si>
  <si>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</si>
  <si>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</si>
  <si>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</si>
  <si>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</si>
  <si>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</si>
  <si>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</si>
  <si>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</si>
  <si>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</si>
  <si>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</si>
  <si>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</si>
  <si>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</si>
  <si>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</si>
  <si>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</si>
  <si>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</si>
  <si>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</si>
  <si>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</si>
  <si>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</si>
  <si>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</si>
  <si>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</si>
  <si>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</si>
  <si>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</si>
  <si>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</si>
  <si>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</si>
  <si>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</si>
  <si>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</si>
  <si>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</si>
  <si>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</si>
  <si>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</si>
  <si>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</si>
  <si>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</si>
  <si>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</si>
  <si>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</si>
  <si>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</si>
  <si>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</si>
  <si>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</si>
  <si>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</si>
  <si>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</si>
  <si>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</si>
  <si>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</si>
  <si>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</si>
  <si>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</si>
  <si>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</si>
  <si>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</si>
  <si>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</si>
  <si>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</si>
  <si>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</si>
  <si>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</si>
  <si>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</si>
  <si>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</si>
  <si>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</si>
  <si>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</si>
  <si>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</si>
  <si>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</si>
  <si>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</si>
  <si>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</si>
  <si>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</si>
  <si>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</si>
  <si>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</si>
  <si>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</si>
  <si>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</si>
  <si>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</si>
  <si>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</si>
  <si>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</si>
  <si>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</si>
  <si>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</si>
  <si>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</si>
  <si>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</si>
  <si>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</si>
  <si>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</si>
  <si>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</si>
  <si>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</si>
  <si>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</si>
  <si>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</si>
  <si>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</si>
  <si>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</si>
  <si>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</si>
  <si>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</si>
  <si>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</si>
  <si>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</si>
  <si>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</si>
  <si>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</si>
  <si>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</si>
  <si>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</si>
  <si>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</si>
  <si>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</si>
  <si>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</si>
  <si>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</si>
  <si>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</si>
  <si>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</si>
  <si>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</si>
  <si>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</si>
  <si>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</si>
  <si>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</si>
  <si>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</si>
  <si>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</si>
  <si>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</si>
  <si>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</si>
  <si>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</si>
  <si>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</si>
  <si>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</si>
  <si>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</si>
  <si>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</si>
  <si>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</si>
  <si>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</si>
  <si>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</si>
  <si>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</si>
  <si>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</si>
  <si>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</si>
  <si>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</si>
  <si>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</si>
  <si>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</si>
  <si>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</si>
  <si>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</si>
  <si>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</si>
  <si>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</si>
  <si>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</si>
  <si>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</si>
  <si>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</si>
  <si>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</si>
  <si>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</si>
  <si>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</si>
  <si>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</si>
  <si>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</si>
  <si>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</si>
  <si>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</si>
  <si>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</si>
  <si>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</si>
  <si>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</si>
  <si>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</si>
  <si>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</si>
  <si>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</si>
  <si>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</si>
  <si>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</si>
  <si>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</si>
  <si>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</si>
  <si>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</si>
  <si>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</si>
  <si>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</si>
  <si>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</si>
  <si>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</si>
  <si>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</si>
  <si>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</si>
  <si>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</si>
  <si>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</si>
  <si>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</si>
  <si>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</si>
  <si>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</si>
  <si>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</si>
  <si>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</si>
  <si>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</si>
  <si>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</si>
  <si>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</si>
  <si>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</si>
  <si>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</si>
  <si>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</si>
  <si>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</si>
  <si>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</si>
  <si>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</si>
  <si>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</si>
  <si>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</si>
  <si>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</si>
  <si>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</si>
  <si>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</si>
  <si>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</si>
  <si>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</si>
  <si>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</si>
  <si>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</si>
  <si>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</si>
  <si>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</si>
  <si>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</si>
  <si>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</si>
  <si>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</si>
  <si>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</si>
  <si>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</si>
  <si>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</si>
  <si>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</si>
  <si>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</si>
  <si>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</si>
  <si>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</si>
  <si>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</si>
  <si>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</si>
  <si>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</si>
  <si>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</si>
  <si>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</si>
  <si>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</si>
  <si>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</si>
  <si>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</si>
  <si>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</si>
  <si>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</si>
  <si>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</si>
  <si>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</si>
  <si>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</si>
  <si>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</si>
  <si>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</si>
  <si>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</si>
  <si>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Pemi-Baker Regional School District</t>
  </si>
  <si>
    <t>Understated a June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</si>
</sst>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F924-0B48-4E92-ADA4-5F3FFF3BF11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428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781060.94</v>
      </c>
      <c r="G9" s="18">
        <v>-46447.02</v>
      </c>
      <c r="H9" s="18">
        <v>112286.75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3305.87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51595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205366.68</v>
      </c>
      <c r="G12" s="18">
        <v>11597.28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130997.08</v>
      </c>
      <c r="G13" s="18">
        <v>18960.169999999998</v>
      </c>
      <c r="H13" s="18">
        <v>117151.99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19877.28</v>
      </c>
      <c r="G14" s="18">
        <v>18806.349999999999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1188896.98</v>
      </c>
      <c r="G19" s="41">
        <f>SUM(G9:G18)</f>
        <v>2916.7799999999988</v>
      </c>
      <c r="H19" s="41">
        <f>SUM(H9:H18)</f>
        <v>229438.74</v>
      </c>
      <c r="I19" s="41">
        <f>SUM(I9:I18)</f>
        <v>0</v>
      </c>
      <c r="J19" s="41">
        <f>SUM(J9:J18)</f>
        <v>3305.87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11597.28</v>
      </c>
      <c r="G24" s="18"/>
      <c r="H24" s="18">
        <v>205366.68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75704.539999999994</v>
      </c>
      <c r="G25" s="18"/>
      <c r="H25" s="18">
        <v>10428.83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13643.23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87301.819999999992</v>
      </c>
      <c r="G33" s="41">
        <f>SUM(G23:G32)</f>
        <v>0</v>
      </c>
      <c r="H33" s="41">
        <f>SUM(H23:H32)</f>
        <v>229438.74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919971.16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2916.78</v>
      </c>
      <c r="H41" s="18"/>
      <c r="I41" s="18"/>
      <c r="J41" s="13">
        <f>SUM(I449)</f>
        <v>3305.87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181624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1101595.1600000001</v>
      </c>
      <c r="G43" s="41">
        <f>SUM(G35:G42)</f>
        <v>2916.78</v>
      </c>
      <c r="H43" s="41">
        <f>SUM(H35:H42)</f>
        <v>0</v>
      </c>
      <c r="I43" s="41">
        <f>SUM(I35:I42)</f>
        <v>0</v>
      </c>
      <c r="J43" s="41">
        <f>SUM(J35:J42)</f>
        <v>3305.87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1188896.9800000002</v>
      </c>
      <c r="G44" s="41">
        <f>G43+G33</f>
        <v>2916.78</v>
      </c>
      <c r="H44" s="41">
        <f>H43+H33</f>
        <v>229438.74</v>
      </c>
      <c r="I44" s="41">
        <f>I43+I33</f>
        <v>0</v>
      </c>
      <c r="J44" s="41">
        <f>J43+J33</f>
        <v>3305.87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6254842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6254842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10365.74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152445.14000000001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18566.98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29729.279999999999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211107.14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4003</v>
      </c>
      <c r="G88" s="18"/>
      <c r="H88" s="18"/>
      <c r="I88" s="18"/>
      <c r="J88" s="18">
        <v>5.54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232499.78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287506.84999999998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291509.84999999998</v>
      </c>
      <c r="G103" s="41">
        <f>SUM(G88:G102)</f>
        <v>232499.78</v>
      </c>
      <c r="H103" s="41">
        <f>SUM(H88:H102)</f>
        <v>0</v>
      </c>
      <c r="I103" s="41">
        <f>SUM(I88:I102)</f>
        <v>0</v>
      </c>
      <c r="J103" s="41">
        <f>SUM(J88:J102)</f>
        <v>5.54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6757458.9899999993</v>
      </c>
      <c r="G104" s="41">
        <f>G52+G103</f>
        <v>232499.78</v>
      </c>
      <c r="H104" s="41">
        <f>H52+H71+H86+H103</f>
        <v>0</v>
      </c>
      <c r="I104" s="41">
        <f>I52+I103</f>
        <v>0</v>
      </c>
      <c r="J104" s="41">
        <f>J52+J103</f>
        <v>5.54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2699078.2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2038946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97894.8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4835919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143398.79999999999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73375.89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2689.08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216774.69</v>
      </c>
      <c r="G128" s="41">
        <f>SUM(G115:G127)</f>
        <v>2689.08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5052693.6900000004</v>
      </c>
      <c r="G132" s="41">
        <f>G113+SUM(G128:G129)</f>
        <v>2689.08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1655.02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186868.08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102274.28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16285.06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124019.47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42817.24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42817.24</v>
      </c>
      <c r="G154" s="41">
        <f>SUM(G142:G153)</f>
        <v>124019.47</v>
      </c>
      <c r="H154" s="41">
        <f>SUM(H142:H153)</f>
        <v>307082.44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42817.24</v>
      </c>
      <c r="G161" s="41">
        <f>G139+G154+SUM(G155:G160)</f>
        <v>124019.47</v>
      </c>
      <c r="H161" s="41">
        <f>H139+H154+SUM(H155:H160)</f>
        <v>307082.44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11852969.92</v>
      </c>
      <c r="G185" s="47">
        <f>G104+G132+G161+G184</f>
        <v>359208.32999999996</v>
      </c>
      <c r="H185" s="47">
        <f>H104+H132+H161+H184</f>
        <v>307082.44</v>
      </c>
      <c r="I185" s="47">
        <f>I104+I132+I161+I184</f>
        <v>0</v>
      </c>
      <c r="J185" s="47">
        <f>J104+J132+J184</f>
        <v>5.54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3131824.79</v>
      </c>
      <c r="G225" s="18">
        <v>1311266.77</v>
      </c>
      <c r="H225" s="18">
        <v>139373.67000000001</v>
      </c>
      <c r="I225" s="18">
        <v>134484.07</v>
      </c>
      <c r="J225" s="18">
        <v>98105.53</v>
      </c>
      <c r="K225" s="18">
        <v>428</v>
      </c>
      <c r="L225" s="19">
        <f>SUM(F225:K225)</f>
        <v>4815482.830000001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738097.59</v>
      </c>
      <c r="G226" s="18">
        <v>364519.06</v>
      </c>
      <c r="H226" s="18">
        <v>364535.33</v>
      </c>
      <c r="I226" s="18">
        <v>12295.31</v>
      </c>
      <c r="J226" s="18"/>
      <c r="K226" s="18">
        <v>354</v>
      </c>
      <c r="L226" s="19">
        <f>SUM(F226:K226)</f>
        <v>1479801.29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293624.2</v>
      </c>
      <c r="G227" s="18">
        <v>120136.37</v>
      </c>
      <c r="H227" s="18">
        <v>4605.34</v>
      </c>
      <c r="I227" s="18">
        <v>30453.32</v>
      </c>
      <c r="J227" s="18">
        <v>5475.82</v>
      </c>
      <c r="K227" s="18">
        <v>1140</v>
      </c>
      <c r="L227" s="19">
        <f>SUM(F227:K227)</f>
        <v>455435.05000000005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238421.12</v>
      </c>
      <c r="G228" s="18">
        <v>32788.6</v>
      </c>
      <c r="H228" s="18">
        <v>108532.94</v>
      </c>
      <c r="I228" s="18">
        <v>66292.53</v>
      </c>
      <c r="J228" s="18">
        <v>48374.05</v>
      </c>
      <c r="K228" s="18">
        <v>7675</v>
      </c>
      <c r="L228" s="19">
        <f>SUM(F228:K228)</f>
        <v>502084.23999999993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536975.93999999994</v>
      </c>
      <c r="G230" s="18">
        <v>213405.43</v>
      </c>
      <c r="H230" s="18">
        <v>115106.59</v>
      </c>
      <c r="I230" s="18">
        <v>8555.4699999999993</v>
      </c>
      <c r="J230" s="18">
        <v>204.26</v>
      </c>
      <c r="K230" s="18">
        <v>2013</v>
      </c>
      <c r="L230" s="19">
        <f t="shared" ref="L230:L236" si="4">SUM(F230:K230)</f>
        <v>876260.68999999983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193883.77</v>
      </c>
      <c r="G231" s="18">
        <v>140549.26999999999</v>
      </c>
      <c r="H231" s="18">
        <v>536.82000000000005</v>
      </c>
      <c r="I231" s="18">
        <v>33317.599999999999</v>
      </c>
      <c r="J231" s="18">
        <v>4470.22</v>
      </c>
      <c r="K231" s="18"/>
      <c r="L231" s="19">
        <f t="shared" si="4"/>
        <v>372757.67999999993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208608.89</v>
      </c>
      <c r="G232" s="18">
        <v>74558.34</v>
      </c>
      <c r="H232" s="18">
        <v>440950.83</v>
      </c>
      <c r="I232" s="18">
        <v>4661.22</v>
      </c>
      <c r="J232" s="18"/>
      <c r="K232" s="18">
        <v>4830.58</v>
      </c>
      <c r="L232" s="19">
        <f t="shared" si="4"/>
        <v>733609.86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404669.75</v>
      </c>
      <c r="G233" s="18">
        <v>193219.06</v>
      </c>
      <c r="H233" s="18">
        <v>15456.29</v>
      </c>
      <c r="I233" s="18">
        <v>1974.64</v>
      </c>
      <c r="J233" s="18"/>
      <c r="K233" s="18">
        <v>12957.53</v>
      </c>
      <c r="L233" s="19">
        <f t="shared" si="4"/>
        <v>628277.27000000014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3898.97</v>
      </c>
      <c r="I234" s="18"/>
      <c r="J234" s="18"/>
      <c r="K234" s="18"/>
      <c r="L234" s="19">
        <f t="shared" si="4"/>
        <v>3898.97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426371.14</v>
      </c>
      <c r="G235" s="18">
        <v>145182.74</v>
      </c>
      <c r="H235" s="18">
        <v>342295.96</v>
      </c>
      <c r="I235" s="18">
        <v>465623.62</v>
      </c>
      <c r="J235" s="18">
        <v>5120.7700000000004</v>
      </c>
      <c r="K235" s="18"/>
      <c r="L235" s="19">
        <f t="shared" si="4"/>
        <v>1384594.23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406724.44</v>
      </c>
      <c r="I236" s="18">
        <v>1344.63</v>
      </c>
      <c r="J236" s="18"/>
      <c r="K236" s="18"/>
      <c r="L236" s="19">
        <f t="shared" si="4"/>
        <v>408069.07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6172477.1899999995</v>
      </c>
      <c r="G239" s="41">
        <f t="shared" si="5"/>
        <v>2595625.6399999997</v>
      </c>
      <c r="H239" s="41">
        <f t="shared" si="5"/>
        <v>1942017.18</v>
      </c>
      <c r="I239" s="41">
        <f t="shared" si="5"/>
        <v>759002.41</v>
      </c>
      <c r="J239" s="41">
        <f t="shared" si="5"/>
        <v>161750.65000000002</v>
      </c>
      <c r="K239" s="41">
        <f t="shared" si="5"/>
        <v>29398.11</v>
      </c>
      <c r="L239" s="41">
        <f t="shared" si="5"/>
        <v>11660271.180000002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104296.24</v>
      </c>
      <c r="I247" s="18"/>
      <c r="J247" s="18"/>
      <c r="K247" s="18"/>
      <c r="L247" s="19">
        <f t="shared" si="6"/>
        <v>104296.24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104296.24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104296.24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6172477.1899999995</v>
      </c>
      <c r="G249" s="41">
        <f t="shared" si="8"/>
        <v>2595625.6399999997</v>
      </c>
      <c r="H249" s="41">
        <f t="shared" si="8"/>
        <v>2046313.42</v>
      </c>
      <c r="I249" s="41">
        <f t="shared" si="8"/>
        <v>759002.41</v>
      </c>
      <c r="J249" s="41">
        <f t="shared" si="8"/>
        <v>161750.65000000002</v>
      </c>
      <c r="K249" s="41">
        <f t="shared" si="8"/>
        <v>29398.11</v>
      </c>
      <c r="L249" s="41">
        <f t="shared" si="8"/>
        <v>11764567.420000002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6172477.1899999995</v>
      </c>
      <c r="G263" s="42">
        <f t="shared" si="11"/>
        <v>2595625.6399999997</v>
      </c>
      <c r="H263" s="42">
        <f t="shared" si="11"/>
        <v>2046313.42</v>
      </c>
      <c r="I263" s="42">
        <f t="shared" si="11"/>
        <v>759002.41</v>
      </c>
      <c r="J263" s="42">
        <f t="shared" si="11"/>
        <v>161750.65000000002</v>
      </c>
      <c r="K263" s="42">
        <f t="shared" si="11"/>
        <v>29398.11</v>
      </c>
      <c r="L263" s="42">
        <f t="shared" si="11"/>
        <v>11764567.420000002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42341.26</v>
      </c>
      <c r="G306" s="18">
        <v>3909.95</v>
      </c>
      <c r="H306" s="18"/>
      <c r="I306" s="18">
        <v>903.77</v>
      </c>
      <c r="J306" s="18">
        <v>21076.91</v>
      </c>
      <c r="K306" s="18"/>
      <c r="L306" s="19">
        <f>SUM(F306:K306)</f>
        <v>68231.89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38590.76</v>
      </c>
      <c r="G307" s="18">
        <v>19814.82</v>
      </c>
      <c r="H307" s="18"/>
      <c r="I307" s="18">
        <v>22357.84</v>
      </c>
      <c r="J307" s="18">
        <v>18841.509999999998</v>
      </c>
      <c r="K307" s="18"/>
      <c r="L307" s="19">
        <f>SUM(F307:K307)</f>
        <v>99604.93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46337</v>
      </c>
      <c r="G308" s="18">
        <v>25526.7</v>
      </c>
      <c r="H308" s="18"/>
      <c r="I308" s="18">
        <v>2071.61</v>
      </c>
      <c r="J308" s="18">
        <v>8145.01</v>
      </c>
      <c r="K308" s="18">
        <v>3309.73</v>
      </c>
      <c r="L308" s="19">
        <f>SUM(F308:K308)</f>
        <v>85390.049999999988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7388.8</v>
      </c>
      <c r="G312" s="18">
        <v>3000</v>
      </c>
      <c r="H312" s="18">
        <v>22246.35</v>
      </c>
      <c r="I312" s="18"/>
      <c r="J312" s="18"/>
      <c r="K312" s="18"/>
      <c r="L312" s="19">
        <f t="shared" si="16"/>
        <v>32635.149999999998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5500</v>
      </c>
      <c r="G313" s="18">
        <v>421</v>
      </c>
      <c r="H313" s="18">
        <v>75</v>
      </c>
      <c r="I313" s="18"/>
      <c r="J313" s="18"/>
      <c r="K313" s="18"/>
      <c r="L313" s="19">
        <f t="shared" si="16"/>
        <v>5996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12231.97</v>
      </c>
      <c r="L315" s="19">
        <f t="shared" si="16"/>
        <v>12231.97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140157.82</v>
      </c>
      <c r="G320" s="42">
        <f t="shared" si="17"/>
        <v>52672.47</v>
      </c>
      <c r="H320" s="42">
        <f t="shared" si="17"/>
        <v>22321.35</v>
      </c>
      <c r="I320" s="42">
        <f t="shared" si="17"/>
        <v>25333.22</v>
      </c>
      <c r="J320" s="42">
        <f t="shared" si="17"/>
        <v>48063.43</v>
      </c>
      <c r="K320" s="42">
        <f t="shared" si="17"/>
        <v>15541.699999999999</v>
      </c>
      <c r="L320" s="41">
        <f t="shared" si="17"/>
        <v>304089.99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>
        <v>598.95000000000005</v>
      </c>
      <c r="J324" s="18"/>
      <c r="K324" s="18"/>
      <c r="L324" s="19">
        <f t="shared" ref="L324:L329" si="18">SUM(F324:K324)</f>
        <v>598.95000000000005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2024</v>
      </c>
      <c r="G325" s="18">
        <v>369.5</v>
      </c>
      <c r="H325" s="18"/>
      <c r="I325" s="18"/>
      <c r="J325" s="18"/>
      <c r="K325" s="18"/>
      <c r="L325" s="19">
        <f t="shared" si="18"/>
        <v>2393.5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2024</v>
      </c>
      <c r="G329" s="41">
        <f t="shared" si="19"/>
        <v>369.5</v>
      </c>
      <c r="H329" s="41">
        <f t="shared" si="19"/>
        <v>0</v>
      </c>
      <c r="I329" s="41">
        <f t="shared" si="19"/>
        <v>598.95000000000005</v>
      </c>
      <c r="J329" s="41">
        <f t="shared" si="19"/>
        <v>0</v>
      </c>
      <c r="K329" s="41">
        <f t="shared" si="19"/>
        <v>0</v>
      </c>
      <c r="L329" s="41">
        <f t="shared" si="18"/>
        <v>2992.45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142181.82</v>
      </c>
      <c r="G330" s="41">
        <f t="shared" si="20"/>
        <v>53041.97</v>
      </c>
      <c r="H330" s="41">
        <f t="shared" si="20"/>
        <v>22321.35</v>
      </c>
      <c r="I330" s="41">
        <f t="shared" si="20"/>
        <v>25932.170000000002</v>
      </c>
      <c r="J330" s="41">
        <f t="shared" si="20"/>
        <v>48063.43</v>
      </c>
      <c r="K330" s="41">
        <f t="shared" si="20"/>
        <v>15541.699999999999</v>
      </c>
      <c r="L330" s="41">
        <f t="shared" si="20"/>
        <v>307082.44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142181.82</v>
      </c>
      <c r="G344" s="41">
        <f>G330</f>
        <v>53041.97</v>
      </c>
      <c r="H344" s="41">
        <f>H330</f>
        <v>22321.35</v>
      </c>
      <c r="I344" s="41">
        <f>I330</f>
        <v>25932.170000000002</v>
      </c>
      <c r="J344" s="41">
        <f>J330</f>
        <v>48063.43</v>
      </c>
      <c r="K344" s="47">
        <f>K330+K343</f>
        <v>15541.699999999999</v>
      </c>
      <c r="L344" s="41">
        <f>L330+L343</f>
        <v>307082.44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359325</v>
      </c>
      <c r="I352" s="18"/>
      <c r="J352" s="18"/>
      <c r="K352" s="18"/>
      <c r="L352" s="19">
        <f>SUM(F352:K352)</f>
        <v>359325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359325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359325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2.77</v>
      </c>
      <c r="I381" s="18"/>
      <c r="J381" s="24" t="s">
        <v>312</v>
      </c>
      <c r="K381" s="24" t="s">
        <v>312</v>
      </c>
      <c r="L381" s="56">
        <f t="shared" si="25"/>
        <v>2.77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2.77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2.77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2.77</v>
      </c>
      <c r="I389" s="18"/>
      <c r="J389" s="24" t="s">
        <v>312</v>
      </c>
      <c r="K389" s="24" t="s">
        <v>312</v>
      </c>
      <c r="L389" s="56">
        <f t="shared" si="26"/>
        <v>2.77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2.77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2.77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5.54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5.54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3305.87</v>
      </c>
      <c r="G432" s="18"/>
      <c r="H432" s="18"/>
      <c r="I432" s="56">
        <f t="shared" si="33"/>
        <v>3305.87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3305.87</v>
      </c>
      <c r="G438" s="13">
        <f>SUM(G431:G437)</f>
        <v>0</v>
      </c>
      <c r="H438" s="13">
        <f>SUM(H431:H437)</f>
        <v>0</v>
      </c>
      <c r="I438" s="13">
        <f>SUM(I431:I437)</f>
        <v>3305.87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3305.87</v>
      </c>
      <c r="G449" s="18"/>
      <c r="H449" s="18"/>
      <c r="I449" s="56">
        <f>SUM(F449:H449)</f>
        <v>3305.87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3305.87</v>
      </c>
      <c r="G450" s="83">
        <f>SUM(G446:G449)</f>
        <v>0</v>
      </c>
      <c r="H450" s="83">
        <f>SUM(H446:H449)</f>
        <v>0</v>
      </c>
      <c r="I450" s="83">
        <f>SUM(I446:I449)</f>
        <v>3305.87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3305.87</v>
      </c>
      <c r="G451" s="42">
        <f>G444+G450</f>
        <v>0</v>
      </c>
      <c r="H451" s="42">
        <f>H444+H450</f>
        <v>0</v>
      </c>
      <c r="I451" s="42">
        <f>I444+I450</f>
        <v>3305.87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1009894.39</v>
      </c>
      <c r="G455" s="18">
        <v>3033.45</v>
      </c>
      <c r="H455" s="18"/>
      <c r="I455" s="18"/>
      <c r="J455" s="18">
        <v>3300.33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11852969.92</v>
      </c>
      <c r="G458" s="18">
        <v>359208.33</v>
      </c>
      <c r="H458" s="18">
        <v>307082.44</v>
      </c>
      <c r="I458" s="18"/>
      <c r="J458" s="18">
        <v>5.54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3298.27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11856268.189999999</v>
      </c>
      <c r="G460" s="53">
        <f>SUM(G458:G459)</f>
        <v>359208.33</v>
      </c>
      <c r="H460" s="53">
        <f>SUM(H458:H459)</f>
        <v>307082.44</v>
      </c>
      <c r="I460" s="53">
        <f>SUM(I458:I459)</f>
        <v>0</v>
      </c>
      <c r="J460" s="53">
        <f>SUM(J458:J459)</f>
        <v>5.54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11764567.42</v>
      </c>
      <c r="G462" s="18">
        <v>359325</v>
      </c>
      <c r="H462" s="18">
        <v>307082.44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11764567.42</v>
      </c>
      <c r="G464" s="53">
        <f>SUM(G462:G463)</f>
        <v>359325</v>
      </c>
      <c r="H464" s="53">
        <f>SUM(H462:H463)</f>
        <v>307082.44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1101595.1600000001</v>
      </c>
      <c r="G466" s="53">
        <f>(G455+G460)- G464</f>
        <v>2916.7800000000279</v>
      </c>
      <c r="H466" s="53">
        <f>(H455+H460)- H464</f>
        <v>0</v>
      </c>
      <c r="I466" s="53">
        <f>(I455+I460)- I464</f>
        <v>0</v>
      </c>
      <c r="J466" s="53">
        <f>(J455+J460)- J464</f>
        <v>3305.87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652414.23</v>
      </c>
      <c r="G513" s="18">
        <v>322498.34999999998</v>
      </c>
      <c r="H513" s="18">
        <v>364535.33</v>
      </c>
      <c r="I513" s="18">
        <v>34653.15</v>
      </c>
      <c r="J513" s="18">
        <v>18841.509999999998</v>
      </c>
      <c r="K513" s="18">
        <v>354</v>
      </c>
      <c r="L513" s="88">
        <f>SUM(F513:K513)</f>
        <v>1393296.5699999998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652414.23</v>
      </c>
      <c r="G514" s="108">
        <f t="shared" ref="G514:L514" si="35">SUM(G511:G513)</f>
        <v>322498.34999999998</v>
      </c>
      <c r="H514" s="108">
        <f t="shared" si="35"/>
        <v>364535.33</v>
      </c>
      <c r="I514" s="108">
        <f t="shared" si="35"/>
        <v>34653.15</v>
      </c>
      <c r="J514" s="108">
        <f t="shared" si="35"/>
        <v>18841.509999999998</v>
      </c>
      <c r="K514" s="108">
        <f t="shared" si="35"/>
        <v>354</v>
      </c>
      <c r="L514" s="89">
        <f t="shared" si="35"/>
        <v>1393296.5699999998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179827.32</v>
      </c>
      <c r="G518" s="18">
        <v>65690.55</v>
      </c>
      <c r="H518" s="18">
        <v>30073.5</v>
      </c>
      <c r="I518" s="18">
        <v>2195.4699999999998</v>
      </c>
      <c r="J518" s="18"/>
      <c r="K518" s="18">
        <v>1259</v>
      </c>
      <c r="L518" s="88">
        <f>SUM(F518:K518)</f>
        <v>279045.83999999997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179827.32</v>
      </c>
      <c r="G519" s="89">
        <f t="shared" ref="G519:L519" si="36">SUM(G516:G518)</f>
        <v>65690.55</v>
      </c>
      <c r="H519" s="89">
        <f t="shared" si="36"/>
        <v>30073.5</v>
      </c>
      <c r="I519" s="89">
        <f t="shared" si="36"/>
        <v>2195.4699999999998</v>
      </c>
      <c r="J519" s="89">
        <f t="shared" si="36"/>
        <v>0</v>
      </c>
      <c r="K519" s="89">
        <f t="shared" si="36"/>
        <v>1259</v>
      </c>
      <c r="L519" s="89">
        <f t="shared" si="36"/>
        <v>279045.83999999997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159179.78</v>
      </c>
      <c r="G523" s="18">
        <v>75275.72</v>
      </c>
      <c r="H523" s="18">
        <v>400.6</v>
      </c>
      <c r="I523" s="18"/>
      <c r="J523" s="18"/>
      <c r="K523" s="18"/>
      <c r="L523" s="88">
        <f>SUM(F523:K523)</f>
        <v>234856.1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159179.78</v>
      </c>
      <c r="G524" s="89">
        <f t="shared" ref="G524:L524" si="37">SUM(G521:G523)</f>
        <v>75275.72</v>
      </c>
      <c r="H524" s="89">
        <f t="shared" si="37"/>
        <v>400.6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234856.1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76742.25</v>
      </c>
      <c r="I533" s="18"/>
      <c r="J533" s="18"/>
      <c r="K533" s="18"/>
      <c r="L533" s="88">
        <f>SUM(F533:K533)</f>
        <v>76742.25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76742.25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76742.25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991421.33000000007</v>
      </c>
      <c r="G535" s="89">
        <f t="shared" ref="G535:L535" si="40">G514+G519+G524+G529+G534</f>
        <v>463464.62</v>
      </c>
      <c r="H535" s="89">
        <f t="shared" si="40"/>
        <v>471751.67999999999</v>
      </c>
      <c r="I535" s="89">
        <f t="shared" si="40"/>
        <v>36848.620000000003</v>
      </c>
      <c r="J535" s="89">
        <f t="shared" si="40"/>
        <v>18841.509999999998</v>
      </c>
      <c r="K535" s="89">
        <f t="shared" si="40"/>
        <v>1613</v>
      </c>
      <c r="L535" s="89">
        <f t="shared" si="40"/>
        <v>1983940.7599999998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1393296.5699999998</v>
      </c>
      <c r="G541" s="87">
        <f>L518</f>
        <v>279045.83999999997</v>
      </c>
      <c r="H541" s="87">
        <f>L523</f>
        <v>234856.1</v>
      </c>
      <c r="I541" s="87">
        <f>L528</f>
        <v>0</v>
      </c>
      <c r="J541" s="87">
        <f>L533</f>
        <v>76742.25</v>
      </c>
      <c r="K541" s="87">
        <f>SUM(F541:J541)</f>
        <v>1983940.7599999998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1393296.5699999998</v>
      </c>
      <c r="G542" s="89">
        <f t="shared" si="41"/>
        <v>279045.83999999997</v>
      </c>
      <c r="H542" s="89">
        <f t="shared" si="41"/>
        <v>234856.1</v>
      </c>
      <c r="I542" s="89">
        <f t="shared" si="41"/>
        <v>0</v>
      </c>
      <c r="J542" s="89">
        <f t="shared" si="41"/>
        <v>76742.25</v>
      </c>
      <c r="K542" s="89">
        <f t="shared" si="41"/>
        <v>1983940.7599999998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47476.2</v>
      </c>
      <c r="I569" s="87">
        <f t="shared" si="46"/>
        <v>47476.2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304421.24</v>
      </c>
      <c r="I572" s="87">
        <f t="shared" si="46"/>
        <v>304421.24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245538.14</v>
      </c>
      <c r="K581" s="104">
        <f t="shared" ref="K581:K587" si="47">SUM(H581:J581)</f>
        <v>245538.14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76742.25</v>
      </c>
      <c r="K582" s="104">
        <f t="shared" si="47"/>
        <v>76742.25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1344.63</v>
      </c>
      <c r="K583" s="104">
        <f t="shared" si="47"/>
        <v>1344.63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78001.86</v>
      </c>
      <c r="K584" s="104">
        <f t="shared" si="47"/>
        <v>78001.86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6442.19</v>
      </c>
      <c r="K585" s="104">
        <f t="shared" si="47"/>
        <v>6442.19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408069.07</v>
      </c>
      <c r="K588" s="108">
        <f>SUM(K581:K587)</f>
        <v>408069.07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v>209814.08</v>
      </c>
      <c r="K594" s="104">
        <f>SUM(H594:J594)</f>
        <v>209814.08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209814.08</v>
      </c>
      <c r="K595" s="108">
        <f>SUM(K592:K594)</f>
        <v>209814.08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6642.43</v>
      </c>
      <c r="G603" s="18">
        <v>1131.6199999999999</v>
      </c>
      <c r="H603" s="18"/>
      <c r="I603" s="18">
        <v>4479.87</v>
      </c>
      <c r="J603" s="18"/>
      <c r="K603" s="18"/>
      <c r="L603" s="88">
        <f>SUM(F603:K603)</f>
        <v>12253.92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6642.43</v>
      </c>
      <c r="G604" s="108">
        <f t="shared" si="48"/>
        <v>1131.6199999999999</v>
      </c>
      <c r="H604" s="108">
        <f t="shared" si="48"/>
        <v>0</v>
      </c>
      <c r="I604" s="108">
        <f t="shared" si="48"/>
        <v>4479.87</v>
      </c>
      <c r="J604" s="108">
        <f t="shared" si="48"/>
        <v>0</v>
      </c>
      <c r="K604" s="108">
        <f t="shared" si="48"/>
        <v>0</v>
      </c>
      <c r="L604" s="89">
        <f t="shared" si="48"/>
        <v>12253.92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1188896.98</v>
      </c>
      <c r="H607" s="109">
        <f>SUM(F44)</f>
        <v>1188896.9800000002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2916.7799999999988</v>
      </c>
      <c r="H608" s="109">
        <f>SUM(G44)</f>
        <v>2916.78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229438.74</v>
      </c>
      <c r="H609" s="109">
        <f>SUM(H44)</f>
        <v>229438.74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3305.87</v>
      </c>
      <c r="H611" s="109">
        <f>SUM(J44)</f>
        <v>3305.87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1101595.1600000001</v>
      </c>
      <c r="H612" s="109">
        <f>F466</f>
        <v>1101595.1600000001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2916.78</v>
      </c>
      <c r="H613" s="109">
        <f>G466</f>
        <v>2916.7800000000279</v>
      </c>
      <c r="I613" s="121" t="s">
        <v>108</v>
      </c>
      <c r="J613" s="109">
        <f t="shared" si="49"/>
        <v>-2.7739588404074311E-11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3305.87</v>
      </c>
      <c r="H616" s="109">
        <f>J466</f>
        <v>3305.87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11852969.92</v>
      </c>
      <c r="H617" s="104">
        <f>SUM(F458)</f>
        <v>11852969.92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359208.32999999996</v>
      </c>
      <c r="H618" s="104">
        <f>SUM(G458)</f>
        <v>359208.33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307082.44</v>
      </c>
      <c r="H619" s="104">
        <f>SUM(H458)</f>
        <v>307082.44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5.54</v>
      </c>
      <c r="H621" s="104">
        <f>SUM(J458)</f>
        <v>5.54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11764567.420000002</v>
      </c>
      <c r="H622" s="104">
        <f>SUM(F462)</f>
        <v>11764567.42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307082.44</v>
      </c>
      <c r="H623" s="104">
        <f>SUM(H462)</f>
        <v>307082.44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359325</v>
      </c>
      <c r="H625" s="104">
        <f>SUM(G462)</f>
        <v>359325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5.54</v>
      </c>
      <c r="H627" s="164">
        <f>SUM(J458)</f>
        <v>5.54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3305.87</v>
      </c>
      <c r="H629" s="104">
        <f>SUM(F451)</f>
        <v>3305.87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3305.87</v>
      </c>
      <c r="H632" s="104">
        <f>SUM(I451)</f>
        <v>3305.87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5.54</v>
      </c>
      <c r="H634" s="104">
        <f>H400</f>
        <v>5.54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5.54</v>
      </c>
      <c r="H636" s="104">
        <f>L400</f>
        <v>5.54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408069.07</v>
      </c>
      <c r="H637" s="104">
        <f>L200+L218+L236</f>
        <v>408069.07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209814.08</v>
      </c>
      <c r="H638" s="104">
        <f>(J249+J330)-(J247+J328)</f>
        <v>209814.08000000002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408069.07</v>
      </c>
      <c r="H641" s="104">
        <f>J588</f>
        <v>408069.07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12323686.170000002</v>
      </c>
      <c r="I650" s="19">
        <f>SUM(F650:H650)</f>
        <v>12323686.170000002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232499.78</v>
      </c>
      <c r="I651" s="19">
        <f>SUM(F651:H651)</f>
        <v>232499.78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408069.07</v>
      </c>
      <c r="I652" s="19">
        <f>SUM(F652:H652)</f>
        <v>408069.07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573965.44000000006</v>
      </c>
      <c r="I653" s="19">
        <f>SUM(F653:H653)</f>
        <v>573965.44000000006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11109151.880000003</v>
      </c>
      <c r="I654" s="19">
        <f>I650-SUM(I651:I653)</f>
        <v>11109151.880000003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700.66</v>
      </c>
      <c r="I655" s="19">
        <f>SUM(F655:H655)</f>
        <v>700.66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15855.27</v>
      </c>
      <c r="I657" s="19">
        <f>ROUND(I654/I655,2)</f>
        <v>15855.27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5.04</v>
      </c>
      <c r="I660" s="19">
        <f>SUM(F660:H660)</f>
        <v>5.04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15742.03</v>
      </c>
      <c r="I662" s="19">
        <f>ROUND((I654+I659)/(I655+I660),2)</f>
        <v>15742.03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D577-CFFE-4F1F-B043-573346D5AB40}">
  <sheetPr>
    <tabColor indexed="20"/>
  </sheetPr>
  <dimension ref="A1:C52"/>
  <sheetViews>
    <sheetView workbookViewId="0">
      <selection activeCell="B85" sqref="B8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Pemi-Baker Regional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3174166.05</v>
      </c>
      <c r="C9" s="230">
        <f>'DOE25'!G189+'DOE25'!G207+'DOE25'!G225+'DOE25'!G268+'DOE25'!G287+'DOE25'!G306</f>
        <v>1315176.72</v>
      </c>
    </row>
    <row r="10" spans="1:3" x14ac:dyDescent="0.2">
      <c r="A10" t="s">
        <v>810</v>
      </c>
      <c r="B10" s="241">
        <v>3059796.97</v>
      </c>
      <c r="C10" s="241">
        <v>1259020.83</v>
      </c>
    </row>
    <row r="11" spans="1:3" x14ac:dyDescent="0.2">
      <c r="A11" t="s">
        <v>811</v>
      </c>
      <c r="B11" s="241">
        <v>100004.85</v>
      </c>
      <c r="C11" s="241">
        <v>55140.86</v>
      </c>
    </row>
    <row r="12" spans="1:3" x14ac:dyDescent="0.2">
      <c r="A12" t="s">
        <v>812</v>
      </c>
      <c r="B12" s="241">
        <v>14364.23</v>
      </c>
      <c r="C12" s="241">
        <v>1015.03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3174166.0500000003</v>
      </c>
      <c r="C13" s="232">
        <f>SUM(C10:C12)</f>
        <v>1315176.7200000002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776688.35</v>
      </c>
      <c r="C18" s="230">
        <f>'DOE25'!G190+'DOE25'!G208+'DOE25'!G226+'DOE25'!G269+'DOE25'!G288+'DOE25'!G307</f>
        <v>384333.88</v>
      </c>
    </row>
    <row r="19" spans="1:3" x14ac:dyDescent="0.2">
      <c r="A19" t="s">
        <v>810</v>
      </c>
      <c r="B19" s="241">
        <v>431352.88</v>
      </c>
      <c r="C19" s="241">
        <v>189303.45</v>
      </c>
    </row>
    <row r="20" spans="1:3" x14ac:dyDescent="0.2">
      <c r="A20" t="s">
        <v>811</v>
      </c>
      <c r="B20" s="241">
        <v>301346.34999999998</v>
      </c>
      <c r="C20" s="241">
        <v>167038.9</v>
      </c>
    </row>
    <row r="21" spans="1:3" x14ac:dyDescent="0.2">
      <c r="A21" t="s">
        <v>812</v>
      </c>
      <c r="B21" s="241">
        <v>43989.120000000003</v>
      </c>
      <c r="C21" s="241">
        <v>27991.53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776688.35</v>
      </c>
      <c r="C22" s="232">
        <f>SUM(C19:C21)</f>
        <v>384333.88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339961.2</v>
      </c>
      <c r="C27" s="235">
        <f>'DOE25'!G191+'DOE25'!G209+'DOE25'!G227+'DOE25'!G270+'DOE25'!G289+'DOE25'!G308</f>
        <v>145663.07</v>
      </c>
    </row>
    <row r="28" spans="1:3" x14ac:dyDescent="0.2">
      <c r="A28" t="s">
        <v>810</v>
      </c>
      <c r="B28" s="241">
        <v>339961.2</v>
      </c>
      <c r="C28" s="241">
        <v>145663.07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339961.2</v>
      </c>
      <c r="C31" s="232">
        <f>SUM(C28:C30)</f>
        <v>145663.07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238421.12</v>
      </c>
      <c r="C36" s="236">
        <f>'DOE25'!G192+'DOE25'!G210+'DOE25'!G228+'DOE25'!G271+'DOE25'!G290+'DOE25'!G309</f>
        <v>32788.6</v>
      </c>
    </row>
    <row r="37" spans="1:3" x14ac:dyDescent="0.2">
      <c r="A37" t="s">
        <v>810</v>
      </c>
      <c r="B37" s="241">
        <v>238421.12</v>
      </c>
      <c r="C37" s="241">
        <v>32788.6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238421.12</v>
      </c>
      <c r="C40" s="232">
        <f>SUM(C37:C39)</f>
        <v>32788.6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BDA6-0C6C-45AD-AD91-C5A09BAC461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Pemi-Baker Regional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7252803.4100000011</v>
      </c>
      <c r="D5" s="20">
        <f>SUM('DOE25'!L189:L192)+SUM('DOE25'!L207:L210)+SUM('DOE25'!L225:L228)-F5-G5</f>
        <v>7091251.0100000007</v>
      </c>
      <c r="E5" s="244"/>
      <c r="F5" s="256">
        <f>SUM('DOE25'!J189:J192)+SUM('DOE25'!J207:J210)+SUM('DOE25'!J225:J228)</f>
        <v>151955.40000000002</v>
      </c>
      <c r="G5" s="53">
        <f>SUM('DOE25'!K189:K192)+SUM('DOE25'!K207:K210)+SUM('DOE25'!K225:K228)</f>
        <v>9597</v>
      </c>
      <c r="H5" s="260"/>
    </row>
    <row r="6" spans="1:9" x14ac:dyDescent="0.2">
      <c r="A6" s="32">
        <v>2100</v>
      </c>
      <c r="B6" t="s">
        <v>832</v>
      </c>
      <c r="C6" s="246">
        <f t="shared" si="0"/>
        <v>876260.68999999983</v>
      </c>
      <c r="D6" s="20">
        <f>'DOE25'!L194+'DOE25'!L212+'DOE25'!L230-F6-G6</f>
        <v>874043.42999999982</v>
      </c>
      <c r="E6" s="244"/>
      <c r="F6" s="256">
        <f>'DOE25'!J194+'DOE25'!J212+'DOE25'!J230</f>
        <v>204.26</v>
      </c>
      <c r="G6" s="53">
        <f>'DOE25'!K194+'DOE25'!K212+'DOE25'!K230</f>
        <v>2013</v>
      </c>
      <c r="H6" s="260"/>
    </row>
    <row r="7" spans="1:9" x14ac:dyDescent="0.2">
      <c r="A7" s="32">
        <v>2200</v>
      </c>
      <c r="B7" t="s">
        <v>865</v>
      </c>
      <c r="C7" s="246">
        <f t="shared" si="0"/>
        <v>372757.67999999993</v>
      </c>
      <c r="D7" s="20">
        <f>'DOE25'!L195+'DOE25'!L213+'DOE25'!L231-F7-G7</f>
        <v>368287.45999999996</v>
      </c>
      <c r="E7" s="244"/>
      <c r="F7" s="256">
        <f>'DOE25'!J195+'DOE25'!J213+'DOE25'!J231</f>
        <v>4470.22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511510.57000000012</v>
      </c>
      <c r="D8" s="244"/>
      <c r="E8" s="20">
        <f>'DOE25'!L196+'DOE25'!L214+'DOE25'!L232-F8-G8-D9-D11</f>
        <v>506679.99000000011</v>
      </c>
      <c r="F8" s="256">
        <f>'DOE25'!J196+'DOE25'!J214+'DOE25'!J232</f>
        <v>0</v>
      </c>
      <c r="G8" s="53">
        <f>'DOE25'!K196+'DOE25'!K214+'DOE25'!K232</f>
        <v>4830.58</v>
      </c>
      <c r="H8" s="260"/>
    </row>
    <row r="9" spans="1:9" x14ac:dyDescent="0.2">
      <c r="A9" s="32">
        <v>2310</v>
      </c>
      <c r="B9" t="s">
        <v>849</v>
      </c>
      <c r="C9" s="246">
        <f t="shared" si="0"/>
        <v>57258.46</v>
      </c>
      <c r="D9" s="245">
        <v>57258.46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12000</v>
      </c>
      <c r="D10" s="244"/>
      <c r="E10" s="245">
        <v>12000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164840.82999999999</v>
      </c>
      <c r="D11" s="245">
        <v>164840.82999999999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628277.27000000014</v>
      </c>
      <c r="D12" s="20">
        <f>'DOE25'!L197+'DOE25'!L215+'DOE25'!L233-F12-G12</f>
        <v>615319.74000000011</v>
      </c>
      <c r="E12" s="244"/>
      <c r="F12" s="256">
        <f>'DOE25'!J197+'DOE25'!J215+'DOE25'!J233</f>
        <v>0</v>
      </c>
      <c r="G12" s="53">
        <f>'DOE25'!K197+'DOE25'!K215+'DOE25'!K233</f>
        <v>12957.53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3898.97</v>
      </c>
      <c r="D13" s="244"/>
      <c r="E13" s="20">
        <f>'DOE25'!L198+'DOE25'!L216+'DOE25'!L234-F13-G13</f>
        <v>3898.97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1384594.23</v>
      </c>
      <c r="D14" s="20">
        <f>'DOE25'!L199+'DOE25'!L217+'DOE25'!L235-F14-G14</f>
        <v>1379473.46</v>
      </c>
      <c r="E14" s="244"/>
      <c r="F14" s="256">
        <f>'DOE25'!J199+'DOE25'!J217+'DOE25'!J235</f>
        <v>5120.7700000000004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408069.07</v>
      </c>
      <c r="D15" s="20">
        <f>'DOE25'!L200+'DOE25'!L218+'DOE25'!L236-F15-G15</f>
        <v>408069.07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104296.24</v>
      </c>
      <c r="D22" s="244"/>
      <c r="E22" s="244"/>
      <c r="F22" s="256">
        <f>'DOE25'!L247+'DOE25'!L328</f>
        <v>104296.24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359325</v>
      </c>
      <c r="D29" s="20">
        <f>'DOE25'!L350+'DOE25'!L351+'DOE25'!L352-'DOE25'!I359-F29-G29</f>
        <v>359325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306483.49</v>
      </c>
      <c r="D31" s="20">
        <f>'DOE25'!L282+'DOE25'!L301+'DOE25'!L320+'DOE25'!L325+'DOE25'!L326+'DOE25'!L327-F31-G31</f>
        <v>242878.36</v>
      </c>
      <c r="E31" s="244"/>
      <c r="F31" s="256">
        <f>'DOE25'!J282+'DOE25'!J301+'DOE25'!J320+'DOE25'!J325+'DOE25'!J326+'DOE25'!J327</f>
        <v>48063.43</v>
      </c>
      <c r="G31" s="53">
        <f>'DOE25'!K282+'DOE25'!K301+'DOE25'!K320+'DOE25'!K325+'DOE25'!K326+'DOE25'!K327</f>
        <v>15541.699999999999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11560746.82</v>
      </c>
      <c r="E33" s="247">
        <f>SUM(E5:E31)</f>
        <v>522578.96000000008</v>
      </c>
      <c r="F33" s="247">
        <f>SUM(F5:F31)</f>
        <v>314110.32</v>
      </c>
      <c r="G33" s="247">
        <f>SUM(G5:G31)</f>
        <v>44939.81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522578.96000000008</v>
      </c>
      <c r="E35" s="250"/>
    </row>
    <row r="36" spans="2:8" ht="12" thickTop="1" x14ac:dyDescent="0.2">
      <c r="B36" t="s">
        <v>846</v>
      </c>
      <c r="D36" s="20">
        <f>D33</f>
        <v>11560746.82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BE62-E7A7-4EB9-810C-F9728522FBB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781060.94</v>
      </c>
      <c r="D9" s="95">
        <f>'DOE25'!G9</f>
        <v>-46447.02</v>
      </c>
      <c r="E9" s="95">
        <f>'DOE25'!H9</f>
        <v>112286.75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3305.87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51595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205366.68</v>
      </c>
      <c r="D12" s="95">
        <f>'DOE25'!G12</f>
        <v>11597.28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130997.08</v>
      </c>
      <c r="D13" s="95">
        <f>'DOE25'!G13</f>
        <v>18960.169999999998</v>
      </c>
      <c r="E13" s="95">
        <f>'DOE25'!H13</f>
        <v>117151.99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19877.28</v>
      </c>
      <c r="D14" s="95">
        <f>'DOE25'!G14</f>
        <v>18806.349999999999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1188896.98</v>
      </c>
      <c r="D19" s="41">
        <f>SUM(D9:D18)</f>
        <v>2916.7799999999988</v>
      </c>
      <c r="E19" s="41">
        <f>SUM(E9:E18)</f>
        <v>229438.74</v>
      </c>
      <c r="F19" s="41">
        <f>SUM(F9:F18)</f>
        <v>0</v>
      </c>
      <c r="G19" s="41">
        <f>SUM(G9:G18)</f>
        <v>3305.87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11597.28</v>
      </c>
      <c r="D23" s="95">
        <f>'DOE25'!G24</f>
        <v>0</v>
      </c>
      <c r="E23" s="95">
        <f>'DOE25'!H24</f>
        <v>205366.68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75704.539999999994</v>
      </c>
      <c r="D24" s="95">
        <f>'DOE25'!G25</f>
        <v>0</v>
      </c>
      <c r="E24" s="95">
        <f>'DOE25'!H25</f>
        <v>10428.83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13643.23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87301.819999999992</v>
      </c>
      <c r="D32" s="41">
        <f>SUM(D22:D31)</f>
        <v>0</v>
      </c>
      <c r="E32" s="41">
        <f>SUM(E22:E31)</f>
        <v>229438.74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919971.16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2916.78</v>
      </c>
      <c r="E40" s="95">
        <f>'DOE25'!H41</f>
        <v>0</v>
      </c>
      <c r="F40" s="95">
        <f>'DOE25'!I41</f>
        <v>0</v>
      </c>
      <c r="G40" s="95">
        <f>'DOE25'!J41</f>
        <v>3305.87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181624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1101595.1600000001</v>
      </c>
      <c r="D42" s="41">
        <f>SUM(D34:D41)</f>
        <v>2916.78</v>
      </c>
      <c r="E42" s="41">
        <f>SUM(E34:E41)</f>
        <v>0</v>
      </c>
      <c r="F42" s="41">
        <f>SUM(F34:F41)</f>
        <v>0</v>
      </c>
      <c r="G42" s="41">
        <f>SUM(G34:G41)</f>
        <v>3305.87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1188896.9800000002</v>
      </c>
      <c r="D43" s="41">
        <f>D42+D32</f>
        <v>2916.78</v>
      </c>
      <c r="E43" s="41">
        <f>E42+E32</f>
        <v>229438.74</v>
      </c>
      <c r="F43" s="41">
        <f>F42+F32</f>
        <v>0</v>
      </c>
      <c r="G43" s="41">
        <f>G42+G32</f>
        <v>3305.87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6254842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211107.14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4003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5.54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232499.78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287506.84999999998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502616.99</v>
      </c>
      <c r="D54" s="130">
        <f>SUM(D49:D53)</f>
        <v>232499.78</v>
      </c>
      <c r="E54" s="130">
        <f>SUM(E49:E53)</f>
        <v>0</v>
      </c>
      <c r="F54" s="130">
        <f>SUM(F49:F53)</f>
        <v>0</v>
      </c>
      <c r="G54" s="130">
        <f>SUM(G49:G53)</f>
        <v>5.54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6757458.9900000002</v>
      </c>
      <c r="D55" s="22">
        <f>D48+D54</f>
        <v>232499.78</v>
      </c>
      <c r="E55" s="22">
        <f>E48+E54</f>
        <v>0</v>
      </c>
      <c r="F55" s="22">
        <f>F48+F54</f>
        <v>0</v>
      </c>
      <c r="G55" s="22">
        <f>G48+G54</f>
        <v>5.54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2699078.2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2038946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97894.8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4835919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143398.79999999999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73375.89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2689.08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216774.69</v>
      </c>
      <c r="D70" s="130">
        <f>SUM(D64:D69)</f>
        <v>2689.08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5052693.6900000004</v>
      </c>
      <c r="D73" s="130">
        <f>SUM(D71:D72)+D70+D62</f>
        <v>2689.08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42817.24</v>
      </c>
      <c r="D80" s="95">
        <f>SUM('DOE25'!G145:G153)</f>
        <v>124019.47</v>
      </c>
      <c r="E80" s="95">
        <f>SUM('DOE25'!H145:H153)</f>
        <v>307082.44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42817.24</v>
      </c>
      <c r="D83" s="131">
        <f>SUM(D77:D82)</f>
        <v>124019.47</v>
      </c>
      <c r="E83" s="131">
        <f>SUM(E77:E82)</f>
        <v>307082.44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11852969.92</v>
      </c>
      <c r="D96" s="86">
        <f>D55+D73+D83+D95</f>
        <v>359208.32999999996</v>
      </c>
      <c r="E96" s="86">
        <f>E55+E73+E83+E95</f>
        <v>307082.44</v>
      </c>
      <c r="F96" s="86">
        <f>F55+F73+F83+F95</f>
        <v>0</v>
      </c>
      <c r="G96" s="86">
        <f>G55+G73+G95</f>
        <v>5.54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4815482.830000001</v>
      </c>
      <c r="D101" s="24" t="s">
        <v>312</v>
      </c>
      <c r="E101" s="95">
        <f>('DOE25'!L268)+('DOE25'!L287)+('DOE25'!L306)</f>
        <v>68231.89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1479801.29</v>
      </c>
      <c r="D102" s="24" t="s">
        <v>312</v>
      </c>
      <c r="E102" s="95">
        <f>('DOE25'!L269)+('DOE25'!L288)+('DOE25'!L307)</f>
        <v>99604.93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455435.05000000005</v>
      </c>
      <c r="D103" s="24" t="s">
        <v>312</v>
      </c>
      <c r="E103" s="95">
        <f>('DOE25'!L270)+('DOE25'!L289)+('DOE25'!L308)</f>
        <v>85390.049999999988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502084.23999999993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598.95000000000005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2393.5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7252803.4100000011</v>
      </c>
      <c r="D107" s="86">
        <f>SUM(D101:D106)</f>
        <v>0</v>
      </c>
      <c r="E107" s="86">
        <f>SUM(E101:E106)</f>
        <v>256219.32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876260.68999999983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372757.67999999993</v>
      </c>
      <c r="D111" s="24" t="s">
        <v>312</v>
      </c>
      <c r="E111" s="95">
        <f>+('DOE25'!L274)+('DOE25'!L293)+('DOE25'!L312)</f>
        <v>32635.149999999998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733609.86</v>
      </c>
      <c r="D112" s="24" t="s">
        <v>312</v>
      </c>
      <c r="E112" s="95">
        <f>+('DOE25'!L275)+('DOE25'!L294)+('DOE25'!L313)</f>
        <v>5996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628277.27000000014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3898.97</v>
      </c>
      <c r="D114" s="24" t="s">
        <v>312</v>
      </c>
      <c r="E114" s="95">
        <f>+('DOE25'!L277)+('DOE25'!L296)+('DOE25'!L315)</f>
        <v>12231.97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1384594.23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408069.07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359325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4407467.7699999996</v>
      </c>
      <c r="D120" s="86">
        <f>SUM(D110:D119)</f>
        <v>359325</v>
      </c>
      <c r="E120" s="86">
        <f>SUM(E110:E119)</f>
        <v>50863.119999999995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104296.24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2.77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2.77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-5.54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104296.24000000002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11764567.42</v>
      </c>
      <c r="D137" s="86">
        <f>(D107+D120+D136)</f>
        <v>359325</v>
      </c>
      <c r="E137" s="86">
        <f>(E107+E120+E136)</f>
        <v>307082.44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7DB1-94EE-43C0-89A7-2598A34242E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Pemi-Baker Regional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15742</v>
      </c>
    </row>
    <row r="7" spans="1:4" x14ac:dyDescent="0.2">
      <c r="B7" t="s">
        <v>736</v>
      </c>
      <c r="C7" s="179">
        <f>IF('DOE25'!I655+'DOE25'!I660=0,0,ROUND('DOE25'!I662,0))</f>
        <v>15742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4883715</v>
      </c>
      <c r="D10" s="182">
        <f>ROUND((C10/$C$28)*100,1)</f>
        <v>40.4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1579406</v>
      </c>
      <c r="D11" s="182">
        <f>ROUND((C11/$C$28)*100,1)</f>
        <v>13.1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540825</v>
      </c>
      <c r="D12" s="182">
        <f>ROUND((C12/$C$28)*100,1)</f>
        <v>4.5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502084</v>
      </c>
      <c r="D13" s="182">
        <f>ROUND((C13/$C$28)*100,1)</f>
        <v>4.2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876261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405393</v>
      </c>
      <c r="D16" s="182">
        <f t="shared" si="0"/>
        <v>3.4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739606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628277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16131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1384594</v>
      </c>
      <c r="D20" s="182">
        <f t="shared" si="0"/>
        <v>11.4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408069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599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2394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126825.22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12094179.220000001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104296</v>
      </c>
    </row>
    <row r="30" spans="1:4" x14ac:dyDescent="0.2">
      <c r="B30" s="187" t="s">
        <v>760</v>
      </c>
      <c r="C30" s="180">
        <f>SUM(C28:C29)</f>
        <v>12198475.220000001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6254842</v>
      </c>
      <c r="D35" s="182">
        <f t="shared" ref="D35:D40" si="1">ROUND((C35/$C$41)*100,1)</f>
        <v>50.9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502622.52999999933</v>
      </c>
      <c r="D36" s="182">
        <f t="shared" si="1"/>
        <v>4.0999999999999996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4835919</v>
      </c>
      <c r="D37" s="182">
        <f t="shared" si="1"/>
        <v>39.4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219464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473919</v>
      </c>
      <c r="D39" s="182">
        <f t="shared" si="1"/>
        <v>3.9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12286766.529999999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E599-79FA-465B-87F4-B072FABB319D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Pemi-Baker Regional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3</v>
      </c>
      <c r="C4" s="280" t="s">
        <v>895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2011-10-04T15:23:26Z</cp:lastPrinted>
  <dcterms:created xsi:type="dcterms:W3CDTF">1997-12-04T19:04:30Z</dcterms:created>
  <dcterms:modified xsi:type="dcterms:W3CDTF">2025-01-10T20:13:17Z</dcterms:modified>
</cp:coreProperties>
</file>