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EBB1F186-C955-44D1-A466-19A676FD6929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D1573CFC-4ECD-461B-A28B-E878246C2E83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6" i="1" l="1"/>
  <c r="E126" i="2" s="1"/>
  <c r="J175" i="1"/>
  <c r="J184" i="1" s="1"/>
  <c r="J103" i="1"/>
  <c r="J104" i="1"/>
  <c r="H154" i="1"/>
  <c r="H161" i="1" s="1"/>
  <c r="H175" i="1"/>
  <c r="H184" i="1" s="1"/>
  <c r="F128" i="1"/>
  <c r="F113" i="1"/>
  <c r="F132" i="1"/>
  <c r="C38" i="10" s="1"/>
  <c r="G128" i="1"/>
  <c r="C37" i="10"/>
  <c r="C60" i="2"/>
  <c r="B2" i="13"/>
  <c r="F8" i="13"/>
  <c r="G8" i="13"/>
  <c r="L196" i="1"/>
  <c r="L214" i="1"/>
  <c r="C112" i="2" s="1"/>
  <c r="L232" i="1"/>
  <c r="E8" i="13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C10" i="10" s="1"/>
  <c r="L190" i="1"/>
  <c r="L191" i="1"/>
  <c r="L192" i="1"/>
  <c r="L207" i="1"/>
  <c r="L221" i="1" s="1"/>
  <c r="L208" i="1"/>
  <c r="C102" i="2" s="1"/>
  <c r="L209" i="1"/>
  <c r="C103" i="2" s="1"/>
  <c r="L210" i="1"/>
  <c r="C104" i="2" s="1"/>
  <c r="L225" i="1"/>
  <c r="L239" i="1" s="1"/>
  <c r="L226" i="1"/>
  <c r="L227" i="1"/>
  <c r="L228" i="1"/>
  <c r="F6" i="13"/>
  <c r="G6" i="13"/>
  <c r="L194" i="1"/>
  <c r="L212" i="1"/>
  <c r="C110" i="2" s="1"/>
  <c r="L230" i="1"/>
  <c r="D6" i="13"/>
  <c r="C6" i="13" s="1"/>
  <c r="F7" i="13"/>
  <c r="G7" i="13"/>
  <c r="L195" i="1"/>
  <c r="D7" i="13" s="1"/>
  <c r="C7" i="13" s="1"/>
  <c r="L213" i="1"/>
  <c r="L231" i="1"/>
  <c r="F12" i="13"/>
  <c r="G12" i="13"/>
  <c r="L197" i="1"/>
  <c r="L215" i="1"/>
  <c r="C18" i="10" s="1"/>
  <c r="L233" i="1"/>
  <c r="C113" i="2" s="1"/>
  <c r="D12" i="13"/>
  <c r="C12" i="13" s="1"/>
  <c r="F14" i="13"/>
  <c r="G14" i="13"/>
  <c r="L199" i="1"/>
  <c r="C20" i="10" s="1"/>
  <c r="L217" i="1"/>
  <c r="L235" i="1"/>
  <c r="F15" i="13"/>
  <c r="G15" i="13"/>
  <c r="L200" i="1"/>
  <c r="L218" i="1"/>
  <c r="G652" i="1" s="1"/>
  <c r="L236" i="1"/>
  <c r="H652" i="1" s="1"/>
  <c r="D15" i="13"/>
  <c r="C15" i="13" s="1"/>
  <c r="F17" i="13"/>
  <c r="G17" i="13"/>
  <c r="L243" i="1"/>
  <c r="D17" i="13"/>
  <c r="C17" i="13" s="1"/>
  <c r="F18" i="13"/>
  <c r="G18" i="13"/>
  <c r="L244" i="1"/>
  <c r="D18" i="13" s="1"/>
  <c r="C18" i="13" s="1"/>
  <c r="F19" i="13"/>
  <c r="G19" i="13"/>
  <c r="L245" i="1"/>
  <c r="C106" i="2" s="1"/>
  <c r="D19" i="13"/>
  <c r="C19" i="13" s="1"/>
  <c r="F29" i="13"/>
  <c r="G29" i="13"/>
  <c r="L350" i="1"/>
  <c r="D29" i="13" s="1"/>
  <c r="C29" i="13" s="1"/>
  <c r="L351" i="1"/>
  <c r="L352" i="1"/>
  <c r="I359" i="1"/>
  <c r="J282" i="1"/>
  <c r="J301" i="1"/>
  <c r="J320" i="1"/>
  <c r="J330" i="1" s="1"/>
  <c r="J344" i="1" s="1"/>
  <c r="F31" i="13"/>
  <c r="K282" i="1"/>
  <c r="G31" i="13" s="1"/>
  <c r="K301" i="1"/>
  <c r="K320" i="1"/>
  <c r="L268" i="1"/>
  <c r="L269" i="1"/>
  <c r="L270" i="1"/>
  <c r="L271" i="1"/>
  <c r="L273" i="1"/>
  <c r="L274" i="1"/>
  <c r="L275" i="1"/>
  <c r="L282" i="1" s="1"/>
  <c r="L276" i="1"/>
  <c r="L277" i="1"/>
  <c r="E114" i="2" s="1"/>
  <c r="L278" i="1"/>
  <c r="L279" i="1"/>
  <c r="E116" i="2" s="1"/>
  <c r="L280" i="1"/>
  <c r="E117" i="2" s="1"/>
  <c r="L287" i="1"/>
  <c r="L288" i="1"/>
  <c r="L301" i="1" s="1"/>
  <c r="L289" i="1"/>
  <c r="L290" i="1"/>
  <c r="L292" i="1"/>
  <c r="L293" i="1"/>
  <c r="C16" i="10" s="1"/>
  <c r="L294" i="1"/>
  <c r="E112" i="2" s="1"/>
  <c r="L295" i="1"/>
  <c r="L296" i="1"/>
  <c r="L297" i="1"/>
  <c r="L298" i="1"/>
  <c r="L299" i="1"/>
  <c r="L306" i="1"/>
  <c r="L307" i="1"/>
  <c r="L308" i="1"/>
  <c r="L309" i="1"/>
  <c r="L311" i="1"/>
  <c r="L320" i="1" s="1"/>
  <c r="L312" i="1"/>
  <c r="L313" i="1"/>
  <c r="L314" i="1"/>
  <c r="L315" i="1"/>
  <c r="L316" i="1"/>
  <c r="L317" i="1"/>
  <c r="L318" i="1"/>
  <c r="L325" i="1"/>
  <c r="L326" i="1"/>
  <c r="L327" i="1"/>
  <c r="L252" i="1"/>
  <c r="C123" i="2" s="1"/>
  <c r="L253" i="1"/>
  <c r="L333" i="1"/>
  <c r="L343" i="1" s="1"/>
  <c r="L334" i="1"/>
  <c r="E124" i="2" s="1"/>
  <c r="L247" i="1"/>
  <c r="L328" i="1"/>
  <c r="F22" i="13"/>
  <c r="C22" i="13" s="1"/>
  <c r="F33" i="13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A13" i="12"/>
  <c r="B18" i="12"/>
  <c r="A22" i="12" s="1"/>
  <c r="B22" i="12"/>
  <c r="C18" i="12"/>
  <c r="C22" i="12"/>
  <c r="B1" i="12"/>
  <c r="L379" i="1"/>
  <c r="L380" i="1"/>
  <c r="L381" i="1"/>
  <c r="L382" i="1"/>
  <c r="L385" i="1" s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 s="1"/>
  <c r="L602" i="1"/>
  <c r="G653" i="1" s="1"/>
  <c r="L601" i="1"/>
  <c r="F653" i="1" s="1"/>
  <c r="I653" i="1" s="1"/>
  <c r="C40" i="10"/>
  <c r="F52" i="1"/>
  <c r="G52" i="1"/>
  <c r="C35" i="10" s="1"/>
  <c r="H52" i="1"/>
  <c r="H104" i="1" s="1"/>
  <c r="H185" i="1" s="1"/>
  <c r="I52" i="1"/>
  <c r="I104" i="1" s="1"/>
  <c r="F71" i="1"/>
  <c r="F104" i="1" s="1"/>
  <c r="F86" i="1"/>
  <c r="C50" i="2" s="1"/>
  <c r="F103" i="1"/>
  <c r="G103" i="1"/>
  <c r="H71" i="1"/>
  <c r="H86" i="1"/>
  <c r="H103" i="1"/>
  <c r="I103" i="1"/>
  <c r="G113" i="1"/>
  <c r="G132" i="1" s="1"/>
  <c r="H113" i="1"/>
  <c r="H132" i="1" s="1"/>
  <c r="H128" i="1"/>
  <c r="I113" i="1"/>
  <c r="I128" i="1"/>
  <c r="I132" i="1" s="1"/>
  <c r="J113" i="1"/>
  <c r="J128" i="1"/>
  <c r="J132" i="1"/>
  <c r="F139" i="1"/>
  <c r="F161" i="1" s="1"/>
  <c r="F154" i="1"/>
  <c r="G139" i="1"/>
  <c r="G161" i="1" s="1"/>
  <c r="G154" i="1"/>
  <c r="H139" i="1"/>
  <c r="I139" i="1"/>
  <c r="I154" i="1"/>
  <c r="I161" i="1"/>
  <c r="C13" i="10"/>
  <c r="C15" i="10"/>
  <c r="L242" i="1"/>
  <c r="C23" i="10" s="1"/>
  <c r="L324" i="1"/>
  <c r="L246" i="1"/>
  <c r="C24" i="10"/>
  <c r="C25" i="10"/>
  <c r="L260" i="1"/>
  <c r="C26" i="10" s="1"/>
  <c r="L261" i="1"/>
  <c r="L341" i="1"/>
  <c r="L342" i="1"/>
  <c r="I655" i="1"/>
  <c r="I660" i="1"/>
  <c r="G651" i="1"/>
  <c r="H651" i="1"/>
  <c r="F652" i="1"/>
  <c r="I659" i="1"/>
  <c r="C42" i="10"/>
  <c r="C32" i="10"/>
  <c r="L366" i="1"/>
  <c r="F122" i="2" s="1"/>
  <c r="F136" i="2" s="1"/>
  <c r="F137" i="2" s="1"/>
  <c r="L367" i="1"/>
  <c r="L368" i="1"/>
  <c r="L369" i="1"/>
  <c r="L370" i="1"/>
  <c r="L371" i="1"/>
  <c r="L372" i="1"/>
  <c r="B2" i="10"/>
  <c r="L337" i="1"/>
  <c r="L338" i="1"/>
  <c r="E129" i="2" s="1"/>
  <c r="L339" i="1"/>
  <c r="K343" i="1"/>
  <c r="L511" i="1"/>
  <c r="F539" i="1"/>
  <c r="L512" i="1"/>
  <c r="F540" i="1"/>
  <c r="L513" i="1"/>
  <c r="F541" i="1"/>
  <c r="F542" i="1"/>
  <c r="L516" i="1"/>
  <c r="G539" i="1" s="1"/>
  <c r="L517" i="1"/>
  <c r="G540" i="1"/>
  <c r="K540" i="1" s="1"/>
  <c r="L518" i="1"/>
  <c r="G541" i="1" s="1"/>
  <c r="L521" i="1"/>
  <c r="H539" i="1"/>
  <c r="L522" i="1"/>
  <c r="H540" i="1"/>
  <c r="H542" i="1" s="1"/>
  <c r="L523" i="1"/>
  <c r="H541" i="1"/>
  <c r="L526" i="1"/>
  <c r="L529" i="1" s="1"/>
  <c r="I539" i="1"/>
  <c r="I542" i="1" s="1"/>
  <c r="L527" i="1"/>
  <c r="I540" i="1" s="1"/>
  <c r="L528" i="1"/>
  <c r="I541" i="1" s="1"/>
  <c r="L531" i="1"/>
  <c r="J539" i="1"/>
  <c r="J542" i="1" s="1"/>
  <c r="L532" i="1"/>
  <c r="L534" i="1" s="1"/>
  <c r="J540" i="1"/>
  <c r="L533" i="1"/>
  <c r="J541" i="1" s="1"/>
  <c r="K262" i="1"/>
  <c r="J262" i="1"/>
  <c r="I262" i="1"/>
  <c r="H262" i="1"/>
  <c r="G262" i="1"/>
  <c r="F262" i="1"/>
  <c r="C124" i="2"/>
  <c r="A1" i="2"/>
  <c r="A2" i="2"/>
  <c r="C9" i="2"/>
  <c r="D9" i="2"/>
  <c r="E9" i="2"/>
  <c r="E19" i="2" s="1"/>
  <c r="F9" i="2"/>
  <c r="F19" i="2" s="1"/>
  <c r="I431" i="1"/>
  <c r="J9" i="1" s="1"/>
  <c r="C10" i="2"/>
  <c r="D10" i="2"/>
  <c r="E10" i="2"/>
  <c r="F10" i="2"/>
  <c r="I432" i="1"/>
  <c r="J10" i="1"/>
  <c r="G10" i="2" s="1"/>
  <c r="C11" i="2"/>
  <c r="C19" i="2" s="1"/>
  <c r="C12" i="2"/>
  <c r="D12" i="2"/>
  <c r="D19" i="2" s="1"/>
  <c r="E12" i="2"/>
  <c r="F12" i="2"/>
  <c r="I433" i="1"/>
  <c r="J12" i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I440" i="1"/>
  <c r="J23" i="1" s="1"/>
  <c r="C23" i="2"/>
  <c r="C32" i="2" s="1"/>
  <c r="D23" i="2"/>
  <c r="D32" i="2" s="1"/>
  <c r="E23" i="2"/>
  <c r="F23" i="2"/>
  <c r="I441" i="1"/>
  <c r="J24" i="1"/>
  <c r="G23" i="2" s="1"/>
  <c r="C24" i="2"/>
  <c r="D24" i="2"/>
  <c r="E24" i="2"/>
  <c r="E32" i="2" s="1"/>
  <c r="F24" i="2"/>
  <c r="I442" i="1"/>
  <c r="J25" i="1"/>
  <c r="G24" i="2"/>
  <c r="C25" i="2"/>
  <c r="D25" i="2"/>
  <c r="E25" i="2"/>
  <c r="F25" i="2"/>
  <c r="C26" i="2"/>
  <c r="F26" i="2"/>
  <c r="C27" i="2"/>
  <c r="F27" i="2"/>
  <c r="F32" i="2" s="1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C42" i="2" s="1"/>
  <c r="D34" i="2"/>
  <c r="D42" i="2" s="1"/>
  <c r="E34" i="2"/>
  <c r="E42" i="2" s="1"/>
  <c r="F34" i="2"/>
  <c r="F42" i="2" s="1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E49" i="2"/>
  <c r="E50" i="2"/>
  <c r="C51" i="2"/>
  <c r="D51" i="2"/>
  <c r="D54" i="2" s="1"/>
  <c r="E51" i="2"/>
  <c r="F51" i="2"/>
  <c r="D52" i="2"/>
  <c r="C53" i="2"/>
  <c r="D53" i="2"/>
  <c r="E53" i="2"/>
  <c r="F53" i="2"/>
  <c r="E54" i="2"/>
  <c r="F54" i="2"/>
  <c r="C58" i="2"/>
  <c r="C59" i="2"/>
  <c r="C61" i="2"/>
  <c r="D61" i="2"/>
  <c r="E61" i="2"/>
  <c r="F61" i="2"/>
  <c r="G61" i="2"/>
  <c r="G62" i="2" s="1"/>
  <c r="C62" i="2"/>
  <c r="D62" i="2"/>
  <c r="E62" i="2"/>
  <c r="F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G70" i="2"/>
  <c r="G73" i="2" s="1"/>
  <c r="C71" i="2"/>
  <c r="D71" i="2"/>
  <c r="E71" i="2"/>
  <c r="C72" i="2"/>
  <c r="E72" i="2"/>
  <c r="D77" i="2"/>
  <c r="D83" i="2" s="1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F95" i="2" s="1"/>
  <c r="C86" i="2"/>
  <c r="F86" i="2"/>
  <c r="D88" i="2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C95" i="2" s="1"/>
  <c r="D91" i="2"/>
  <c r="D95" i="2" s="1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1" i="2"/>
  <c r="E101" i="2"/>
  <c r="E102" i="2"/>
  <c r="E103" i="2"/>
  <c r="E104" i="2"/>
  <c r="C105" i="2"/>
  <c r="E105" i="2"/>
  <c r="E106" i="2"/>
  <c r="E107" i="2" s="1"/>
  <c r="D107" i="2"/>
  <c r="F107" i="2"/>
  <c r="G107" i="2"/>
  <c r="E113" i="2"/>
  <c r="C114" i="2"/>
  <c r="C115" i="2"/>
  <c r="E115" i="2"/>
  <c r="F120" i="2"/>
  <c r="G120" i="2"/>
  <c r="C122" i="2"/>
  <c r="E122" i="2"/>
  <c r="D126" i="2"/>
  <c r="F126" i="2"/>
  <c r="K411" i="1"/>
  <c r="K419" i="1"/>
  <c r="K425" i="1"/>
  <c r="K426" i="1"/>
  <c r="G126" i="2" s="1"/>
  <c r="G136" i="2" s="1"/>
  <c r="G137" i="2" s="1"/>
  <c r="L255" i="1"/>
  <c r="C127" i="2" s="1"/>
  <c r="E127" i="2"/>
  <c r="L256" i="1"/>
  <c r="C128" i="2"/>
  <c r="L257" i="1"/>
  <c r="C129" i="2"/>
  <c r="C134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/>
  <c r="G490" i="1"/>
  <c r="C153" i="2"/>
  <c r="H490" i="1"/>
  <c r="K490" i="1" s="1"/>
  <c r="D153" i="2"/>
  <c r="I490" i="1"/>
  <c r="E153" i="2" s="1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493" i="1"/>
  <c r="C156" i="2" s="1"/>
  <c r="H493" i="1"/>
  <c r="D156" i="2"/>
  <c r="I493" i="1"/>
  <c r="E156" i="2" s="1"/>
  <c r="J493" i="1"/>
  <c r="F156" i="2"/>
  <c r="F19" i="1"/>
  <c r="G19" i="1"/>
  <c r="H19" i="1"/>
  <c r="I19" i="1"/>
  <c r="F33" i="1"/>
  <c r="G33" i="1"/>
  <c r="H33" i="1"/>
  <c r="H44" i="1" s="1"/>
  <c r="H609" i="1" s="1"/>
  <c r="I33" i="1"/>
  <c r="F43" i="1"/>
  <c r="F44" i="1" s="1"/>
  <c r="H607" i="1" s="1"/>
  <c r="J607" i="1" s="1"/>
  <c r="G43" i="1"/>
  <c r="G613" i="1" s="1"/>
  <c r="H43" i="1"/>
  <c r="I43" i="1"/>
  <c r="I44" i="1"/>
  <c r="F169" i="1"/>
  <c r="I169" i="1"/>
  <c r="F175" i="1"/>
  <c r="G175" i="1"/>
  <c r="I175" i="1"/>
  <c r="F180" i="1"/>
  <c r="G180" i="1"/>
  <c r="H180" i="1"/>
  <c r="I180" i="1"/>
  <c r="F184" i="1"/>
  <c r="G184" i="1"/>
  <c r="I184" i="1"/>
  <c r="F203" i="1"/>
  <c r="F249" i="1" s="1"/>
  <c r="F263" i="1" s="1"/>
  <c r="G203" i="1"/>
  <c r="H203" i="1"/>
  <c r="H249" i="1" s="1"/>
  <c r="H263" i="1" s="1"/>
  <c r="I203" i="1"/>
  <c r="J203" i="1"/>
  <c r="J249" i="1" s="1"/>
  <c r="K203" i="1"/>
  <c r="F221" i="1"/>
  <c r="G221" i="1"/>
  <c r="G249" i="1" s="1"/>
  <c r="G263" i="1" s="1"/>
  <c r="H221" i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K249" i="1"/>
  <c r="K263" i="1" s="1"/>
  <c r="L262" i="1"/>
  <c r="F282" i="1"/>
  <c r="G282" i="1"/>
  <c r="H282" i="1"/>
  <c r="H330" i="1" s="1"/>
  <c r="H344" i="1" s="1"/>
  <c r="I282" i="1"/>
  <c r="I330" i="1" s="1"/>
  <c r="I344" i="1" s="1"/>
  <c r="F301" i="1"/>
  <c r="F330" i="1" s="1"/>
  <c r="F344" i="1" s="1"/>
  <c r="G301" i="1"/>
  <c r="G330" i="1" s="1"/>
  <c r="G344" i="1" s="1"/>
  <c r="H301" i="1"/>
  <c r="I301" i="1"/>
  <c r="F320" i="1"/>
  <c r="G320" i="1"/>
  <c r="H320" i="1"/>
  <c r="I320" i="1"/>
  <c r="F329" i="1"/>
  <c r="G329" i="1"/>
  <c r="H329" i="1"/>
  <c r="L329" i="1" s="1"/>
  <c r="I329" i="1"/>
  <c r="J329" i="1"/>
  <c r="K329" i="1"/>
  <c r="F354" i="1"/>
  <c r="G354" i="1"/>
  <c r="H354" i="1"/>
  <c r="I354" i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G385" i="1"/>
  <c r="H385" i="1"/>
  <c r="I385" i="1"/>
  <c r="F393" i="1"/>
  <c r="G393" i="1"/>
  <c r="H393" i="1"/>
  <c r="I393" i="1"/>
  <c r="F399" i="1"/>
  <c r="G399" i="1"/>
  <c r="H399" i="1"/>
  <c r="I399" i="1"/>
  <c r="I400" i="1" s="1"/>
  <c r="G400" i="1"/>
  <c r="H635" i="1" s="1"/>
  <c r="J635" i="1" s="1"/>
  <c r="H400" i="1"/>
  <c r="L405" i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J426" i="1" s="1"/>
  <c r="L411" i="1"/>
  <c r="L426" i="1" s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2" i="1"/>
  <c r="L423" i="1"/>
  <c r="L424" i="1"/>
  <c r="F425" i="1"/>
  <c r="G425" i="1"/>
  <c r="H425" i="1"/>
  <c r="I425" i="1"/>
  <c r="J425" i="1"/>
  <c r="L425" i="1"/>
  <c r="F438" i="1"/>
  <c r="G438" i="1"/>
  <c r="H438" i="1"/>
  <c r="G631" i="1" s="1"/>
  <c r="J631" i="1" s="1"/>
  <c r="F444" i="1"/>
  <c r="F451" i="1" s="1"/>
  <c r="H629" i="1" s="1"/>
  <c r="G444" i="1"/>
  <c r="G451" i="1" s="1"/>
  <c r="H630" i="1" s="1"/>
  <c r="J630" i="1" s="1"/>
  <c r="H444" i="1"/>
  <c r="F450" i="1"/>
  <c r="G450" i="1"/>
  <c r="H450" i="1"/>
  <c r="H451" i="1"/>
  <c r="H631" i="1" s="1"/>
  <c r="I460" i="1"/>
  <c r="I466" i="1" s="1"/>
  <c r="H615" i="1" s="1"/>
  <c r="J615" i="1" s="1"/>
  <c r="I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H535" i="1" s="1"/>
  <c r="I514" i="1"/>
  <c r="J514" i="1"/>
  <c r="K514" i="1"/>
  <c r="L514" i="1"/>
  <c r="F519" i="1"/>
  <c r="F535" i="1" s="1"/>
  <c r="G519" i="1"/>
  <c r="G535" i="1" s="1"/>
  <c r="H519" i="1"/>
  <c r="I519" i="1"/>
  <c r="I535" i="1" s="1"/>
  <c r="J519" i="1"/>
  <c r="J535" i="1" s="1"/>
  <c r="K519" i="1"/>
  <c r="K535" i="1" s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61" i="1" s="1"/>
  <c r="L548" i="1"/>
  <c r="L549" i="1"/>
  <c r="F550" i="1"/>
  <c r="F561" i="1" s="1"/>
  <c r="G550" i="1"/>
  <c r="G561" i="1" s="1"/>
  <c r="H550" i="1"/>
  <c r="H561" i="1" s="1"/>
  <c r="I550" i="1"/>
  <c r="I561" i="1" s="1"/>
  <c r="J550" i="1"/>
  <c r="J561" i="1" s="1"/>
  <c r="K550" i="1"/>
  <c r="K561" i="1" s="1"/>
  <c r="L552" i="1"/>
  <c r="L553" i="1"/>
  <c r="L554" i="1"/>
  <c r="L555" i="1" s="1"/>
  <c r="F555" i="1"/>
  <c r="G555" i="1"/>
  <c r="H555" i="1"/>
  <c r="I555" i="1"/>
  <c r="J555" i="1"/>
  <c r="K555" i="1"/>
  <c r="L557" i="1"/>
  <c r="L558" i="1"/>
  <c r="L559" i="1"/>
  <c r="F560" i="1"/>
  <c r="G560" i="1"/>
  <c r="H560" i="1"/>
  <c r="I560" i="1"/>
  <c r="J560" i="1"/>
  <c r="K560" i="1"/>
  <c r="L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08" i="1"/>
  <c r="G609" i="1"/>
  <c r="J609" i="1" s="1"/>
  <c r="G610" i="1"/>
  <c r="H610" i="1"/>
  <c r="J610" i="1"/>
  <c r="G612" i="1"/>
  <c r="G614" i="1"/>
  <c r="G615" i="1"/>
  <c r="H620" i="1"/>
  <c r="G624" i="1"/>
  <c r="H626" i="1"/>
  <c r="G629" i="1"/>
  <c r="J629" i="1" s="1"/>
  <c r="G630" i="1"/>
  <c r="G633" i="1"/>
  <c r="J633" i="1" s="1"/>
  <c r="G634" i="1"/>
  <c r="H634" i="1"/>
  <c r="J634" i="1"/>
  <c r="G635" i="1"/>
  <c r="G639" i="1"/>
  <c r="H639" i="1"/>
  <c r="J639" i="1"/>
  <c r="H640" i="1"/>
  <c r="H641" i="1"/>
  <c r="G642" i="1"/>
  <c r="H642" i="1"/>
  <c r="J642" i="1"/>
  <c r="G643" i="1"/>
  <c r="H643" i="1"/>
  <c r="J643" i="1"/>
  <c r="G644" i="1"/>
  <c r="J644" i="1" s="1"/>
  <c r="H644" i="1"/>
  <c r="G645" i="1"/>
  <c r="J645" i="1" s="1"/>
  <c r="H645" i="1"/>
  <c r="E43" i="2" l="1"/>
  <c r="I652" i="1"/>
  <c r="J185" i="1"/>
  <c r="J624" i="1"/>
  <c r="D43" i="2"/>
  <c r="K539" i="1"/>
  <c r="G542" i="1"/>
  <c r="D31" i="13"/>
  <c r="C31" i="13" s="1"/>
  <c r="L330" i="1"/>
  <c r="L344" i="1" s="1"/>
  <c r="C5" i="13"/>
  <c r="E33" i="13"/>
  <c r="D35" i="13" s="1"/>
  <c r="J462" i="1"/>
  <c r="G628" i="1"/>
  <c r="J608" i="1"/>
  <c r="J637" i="1"/>
  <c r="D137" i="2"/>
  <c r="G153" i="2"/>
  <c r="F43" i="2"/>
  <c r="C39" i="10"/>
  <c r="G36" i="2"/>
  <c r="G42" i="2" s="1"/>
  <c r="J43" i="1"/>
  <c r="C43" i="2"/>
  <c r="K541" i="1"/>
  <c r="F185" i="1"/>
  <c r="H650" i="1"/>
  <c r="H654" i="1" s="1"/>
  <c r="G33" i="13"/>
  <c r="I185" i="1"/>
  <c r="G620" i="1" s="1"/>
  <c r="J620" i="1" s="1"/>
  <c r="G96" i="2"/>
  <c r="L535" i="1"/>
  <c r="G9" i="2"/>
  <c r="G19" i="2" s="1"/>
  <c r="J19" i="1"/>
  <c r="G611" i="1" s="1"/>
  <c r="G619" i="1"/>
  <c r="H458" i="1"/>
  <c r="G22" i="2"/>
  <c r="G32" i="2" s="1"/>
  <c r="J33" i="1"/>
  <c r="C130" i="2"/>
  <c r="C133" i="2" s="1"/>
  <c r="L400" i="1"/>
  <c r="C107" i="2"/>
  <c r="H638" i="1"/>
  <c r="J638" i="1" s="1"/>
  <c r="J263" i="1"/>
  <c r="G156" i="2"/>
  <c r="G650" i="1"/>
  <c r="G654" i="1" s="1"/>
  <c r="G44" i="1"/>
  <c r="H608" i="1" s="1"/>
  <c r="D119" i="2"/>
  <c r="D120" i="2" s="1"/>
  <c r="C77" i="2"/>
  <c r="C83" i="2" s="1"/>
  <c r="E123" i="2"/>
  <c r="E136" i="2" s="1"/>
  <c r="F651" i="1"/>
  <c r="I651" i="1" s="1"/>
  <c r="C11" i="10"/>
  <c r="L374" i="1"/>
  <c r="G626" i="1" s="1"/>
  <c r="J626" i="1" s="1"/>
  <c r="C12" i="10"/>
  <c r="H637" i="1"/>
  <c r="K330" i="1"/>
  <c r="K344" i="1" s="1"/>
  <c r="E111" i="2"/>
  <c r="L354" i="1"/>
  <c r="G641" i="1"/>
  <c r="J641" i="1" s="1"/>
  <c r="I450" i="1"/>
  <c r="C117" i="2"/>
  <c r="C111" i="2"/>
  <c r="C120" i="2" s="1"/>
  <c r="C49" i="2"/>
  <c r="C54" i="2" s="1"/>
  <c r="C55" i="2" s="1"/>
  <c r="C96" i="2" s="1"/>
  <c r="G104" i="1"/>
  <c r="G185" i="1" s="1"/>
  <c r="E110" i="2"/>
  <c r="E120" i="2" s="1"/>
  <c r="E137" i="2" s="1"/>
  <c r="F48" i="2"/>
  <c r="F55" i="2" s="1"/>
  <c r="F96" i="2" s="1"/>
  <c r="C29" i="10"/>
  <c r="C21" i="10"/>
  <c r="H25" i="13"/>
  <c r="D14" i="13"/>
  <c r="C14" i="13" s="1"/>
  <c r="L519" i="1"/>
  <c r="C116" i="2"/>
  <c r="E48" i="2"/>
  <c r="E55" i="2" s="1"/>
  <c r="E96" i="2" s="1"/>
  <c r="I438" i="1"/>
  <c r="G632" i="1" s="1"/>
  <c r="J632" i="1" s="1"/>
  <c r="G640" i="1"/>
  <c r="J640" i="1" s="1"/>
  <c r="D48" i="2"/>
  <c r="D55" i="2" s="1"/>
  <c r="D96" i="2" s="1"/>
  <c r="C19" i="10"/>
  <c r="I444" i="1"/>
  <c r="I451" i="1" s="1"/>
  <c r="H632" i="1" s="1"/>
  <c r="C8" i="13"/>
  <c r="K493" i="1"/>
  <c r="L203" i="1"/>
  <c r="C17" i="10"/>
  <c r="K542" i="1" l="1"/>
  <c r="C36" i="10"/>
  <c r="G616" i="1"/>
  <c r="J44" i="1"/>
  <c r="H611" i="1" s="1"/>
  <c r="G43" i="2"/>
  <c r="G623" i="1"/>
  <c r="H462" i="1"/>
  <c r="G627" i="1"/>
  <c r="H636" i="1"/>
  <c r="C136" i="2"/>
  <c r="C137" i="2" s="1"/>
  <c r="G462" i="1"/>
  <c r="C27" i="10"/>
  <c r="C28" i="10" s="1"/>
  <c r="G625" i="1"/>
  <c r="G662" i="1"/>
  <c r="C5" i="10" s="1"/>
  <c r="G657" i="1"/>
  <c r="H628" i="1"/>
  <c r="J628" i="1" s="1"/>
  <c r="J464" i="1"/>
  <c r="J458" i="1"/>
  <c r="G636" i="1"/>
  <c r="J636" i="1" s="1"/>
  <c r="G621" i="1"/>
  <c r="F650" i="1"/>
  <c r="L249" i="1"/>
  <c r="L263" i="1" s="1"/>
  <c r="C25" i="13"/>
  <c r="H33" i="13"/>
  <c r="H460" i="1"/>
  <c r="H619" i="1"/>
  <c r="G458" i="1"/>
  <c r="G618" i="1"/>
  <c r="J619" i="1"/>
  <c r="H657" i="1"/>
  <c r="H662" i="1"/>
  <c r="C6" i="10" s="1"/>
  <c r="J611" i="1"/>
  <c r="G617" i="1"/>
  <c r="F458" i="1"/>
  <c r="D33" i="13"/>
  <c r="D36" i="13" s="1"/>
  <c r="C30" i="10" l="1"/>
  <c r="D22" i="10"/>
  <c r="D13" i="10"/>
  <c r="D18" i="10"/>
  <c r="D26" i="10"/>
  <c r="D10" i="10"/>
  <c r="D15" i="10"/>
  <c r="D16" i="10"/>
  <c r="D23" i="10"/>
  <c r="D20" i="10"/>
  <c r="D25" i="10"/>
  <c r="D24" i="10"/>
  <c r="D17" i="10"/>
  <c r="D12" i="10"/>
  <c r="D11" i="10"/>
  <c r="D21" i="10"/>
  <c r="D19" i="10"/>
  <c r="H627" i="1"/>
  <c r="J460" i="1"/>
  <c r="J466" i="1" s="1"/>
  <c r="H616" i="1" s="1"/>
  <c r="H621" i="1"/>
  <c r="F460" i="1"/>
  <c r="H617" i="1"/>
  <c r="J617" i="1" s="1"/>
  <c r="H466" i="1"/>
  <c r="H614" i="1" s="1"/>
  <c r="J614" i="1" s="1"/>
  <c r="J627" i="1"/>
  <c r="H623" i="1"/>
  <c r="H464" i="1"/>
  <c r="G460" i="1"/>
  <c r="H618" i="1"/>
  <c r="J618" i="1" s="1"/>
  <c r="J623" i="1"/>
  <c r="J625" i="1"/>
  <c r="D27" i="10"/>
  <c r="F462" i="1"/>
  <c r="G622" i="1"/>
  <c r="G464" i="1"/>
  <c r="H625" i="1"/>
  <c r="F654" i="1"/>
  <c r="I650" i="1"/>
  <c r="I654" i="1" s="1"/>
  <c r="J616" i="1"/>
  <c r="J621" i="1"/>
  <c r="C41" i="10"/>
  <c r="H622" i="1" l="1"/>
  <c r="F464" i="1"/>
  <c r="F466" i="1"/>
  <c r="H612" i="1" s="1"/>
  <c r="J612" i="1" s="1"/>
  <c r="D40" i="10"/>
  <c r="D37" i="10"/>
  <c r="D38" i="10"/>
  <c r="D35" i="10"/>
  <c r="D39" i="10"/>
  <c r="J622" i="1"/>
  <c r="H646" i="1"/>
  <c r="D36" i="10"/>
  <c r="D28" i="10"/>
  <c r="G466" i="1"/>
  <c r="H613" i="1" s="1"/>
  <c r="J613" i="1" s="1"/>
  <c r="F657" i="1"/>
  <c r="F662" i="1"/>
  <c r="C4" i="10" s="1"/>
  <c r="I657" i="1"/>
  <c r="I662" i="1"/>
  <c r="C7" i="10" s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9248C93-3A12-4602-B8BD-0BAC1A92AD4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BD03524-4F02-42B0-851C-526BF58DDEB6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B76F1A2-0CF5-417A-9894-4C3841FAD3C6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1C44425-C95C-4D51-ADEF-18525D5F19FF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48AC900-3675-4D92-9353-3AE326D4B2D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A1217D0-62D7-411B-BF8D-68E4DF4441D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1FF6608-D086-42E1-A34C-CF1984F6499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A5676D5-9522-43ED-ACF7-E6CB30CFF11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5003029-B901-4CF1-9250-BA6573626CC3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CB17FB2-9364-445F-B980-B06DBB8D500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207F8CDA-E5FF-40BE-84C6-84257E2DBB4A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0CF3DE3-18DB-4C10-80CF-9531F36FA51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<sst xmlns="http://schemas.openxmlformats.org/spreadsheetml/2006/main" count="3863" uniqueCount="899">
  <si>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</si>
  <si>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</si>
  <si>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</si>
  <si>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</si>
  <si>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</si>
  <si>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</si>
  <si>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</si>
  <si>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</si>
  <si>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</si>
  <si>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</si>
  <si>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</si>
  <si>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</si>
  <si>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</si>
  <si>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</si>
  <si>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</si>
  <si>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</si>
  <si>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</si>
  <si>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</si>
  <si>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</si>
  <si>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</si>
  <si>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</si>
  <si>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</si>
  <si>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</si>
  <si>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</si>
  <si>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</si>
  <si>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</si>
  <si>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</si>
  <si>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</si>
  <si>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</si>
  <si>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</si>
  <si>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</si>
  <si>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</si>
  <si>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</si>
  <si>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</si>
  <si>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</si>
  <si>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</si>
  <si>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</si>
  <si>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</si>
  <si>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</si>
  <si>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</si>
  <si>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</si>
  <si>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</si>
  <si>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</si>
  <si>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</si>
  <si>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</si>
  <si>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</si>
  <si>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</si>
  <si>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</si>
  <si>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</si>
  <si>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</si>
  <si>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</si>
  <si>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</si>
  <si>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</si>
  <si>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</si>
  <si>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</si>
  <si>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</si>
  <si>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</si>
  <si>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</si>
  <si>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</si>
  <si>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</si>
  <si>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</si>
  <si>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</si>
  <si>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</si>
  <si>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</si>
  <si>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</si>
  <si>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</si>
  <si>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</si>
  <si>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</si>
  <si>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</si>
  <si>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</si>
  <si>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</si>
  <si>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</si>
  <si>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</si>
  <si>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</si>
  <si>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</si>
  <si>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</si>
  <si>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</si>
  <si>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</si>
  <si>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</si>
  <si>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</si>
  <si>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</si>
  <si>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</si>
  <si>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</si>
  <si>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</si>
  <si>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</si>
  <si>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</si>
  <si>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</si>
  <si>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</si>
  <si>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</si>
  <si>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</si>
  <si>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</si>
  <si>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</si>
  <si>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</si>
  <si>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</si>
  <si>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</si>
  <si>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</si>
  <si>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</si>
  <si>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</si>
  <si>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</si>
  <si>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</si>
  <si>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</si>
  <si>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</si>
  <si>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</si>
  <si>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</si>
  <si>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</si>
  <si>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</si>
  <si>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</si>
  <si>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</si>
  <si>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</si>
  <si>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</si>
  <si>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</si>
  <si>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</si>
  <si>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</si>
  <si>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</si>
  <si>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</si>
  <si>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</si>
  <si>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</si>
  <si>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</si>
  <si>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</si>
  <si>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</si>
  <si>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</si>
  <si>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</si>
  <si>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</si>
  <si>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</si>
  <si>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</si>
  <si>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</si>
  <si>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</si>
  <si>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</si>
  <si>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</si>
  <si>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</si>
  <si>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</si>
  <si>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</si>
  <si>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</si>
  <si>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</si>
  <si>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</si>
  <si>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</si>
  <si>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</si>
  <si>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</si>
  <si>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</si>
  <si>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</si>
  <si>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</si>
  <si>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</si>
  <si>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</si>
  <si>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</si>
  <si>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</si>
  <si>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</si>
  <si>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</si>
  <si>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</si>
  <si>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</si>
  <si>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</si>
  <si>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</si>
  <si>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</si>
  <si>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</si>
  <si>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</si>
  <si>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</si>
  <si>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</si>
  <si>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</si>
  <si>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</si>
  <si>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</si>
  <si>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</si>
  <si>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</si>
  <si>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</si>
  <si>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</si>
  <si>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</si>
  <si>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</si>
  <si>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</si>
  <si>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</si>
  <si>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</si>
  <si>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</si>
  <si>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</si>
  <si>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</si>
  <si>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</si>
  <si>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</si>
  <si>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</si>
  <si>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</si>
  <si>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</si>
  <si>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</si>
  <si>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</si>
  <si>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</si>
  <si>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</si>
  <si>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</si>
  <si>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</si>
  <si>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</si>
  <si>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</si>
  <si>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</si>
  <si>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</si>
  <si>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</si>
  <si>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</si>
  <si>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</si>
  <si>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</si>
  <si>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</si>
  <si>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</si>
  <si>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</si>
  <si>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</si>
  <si>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</si>
  <si>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</si>
  <si>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</si>
  <si>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</si>
  <si>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</si>
  <si>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</si>
  <si>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</si>
  <si>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</si>
  <si>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</si>
  <si>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</si>
  <si>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</si>
  <si>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</si>
  <si>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</si>
  <si>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</si>
  <si>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</si>
  <si>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</si>
  <si>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</si>
  <si>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</si>
  <si>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</si>
  <si>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</si>
  <si>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</si>
  <si>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</si>
  <si>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</si>
  <si>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</si>
  <si>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</si>
  <si>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</si>
  <si>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</si>
  <si>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</si>
  <si>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</si>
  <si>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</si>
  <si>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</si>
  <si>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</si>
  <si>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</si>
  <si>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</si>
  <si>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</si>
  <si>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</si>
  <si>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</si>
  <si>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</si>
  <si>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</si>
  <si>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</si>
  <si>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</si>
  <si>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</si>
  <si>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</si>
  <si>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</si>
  <si>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</si>
  <si>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</si>
  <si>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</si>
  <si>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</si>
  <si>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</si>
  <si>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</si>
  <si>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</si>
  <si>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</si>
  <si>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</si>
  <si>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</si>
  <si>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</si>
  <si>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</si>
  <si>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</si>
  <si>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</si>
  <si>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</si>
  <si>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</si>
  <si>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</si>
  <si>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</si>
  <si>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</si>
  <si>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</si>
  <si>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</si>
  <si>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</si>
  <si>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</si>
  <si>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</si>
  <si>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</si>
  <si>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</si>
  <si>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</si>
  <si>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</si>
  <si>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</si>
  <si>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</si>
  <si>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</si>
  <si>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</si>
  <si>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</si>
  <si>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</si>
  <si>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</si>
  <si>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</si>
  <si>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</si>
  <si>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</si>
  <si>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</si>
  <si>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</si>
  <si>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</si>
  <si>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</si>
  <si>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</si>
  <si>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</si>
  <si>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</si>
  <si>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</si>
  <si>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</si>
  <si>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</si>
  <si>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</si>
  <si>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</si>
  <si>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</si>
  <si>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</si>
  <si>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</si>
  <si>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</si>
  <si>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</si>
  <si>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</si>
  <si>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</si>
  <si>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</si>
  <si>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</si>
  <si>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</si>
  <si>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</si>
  <si>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</si>
  <si>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</si>
  <si>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</si>
  <si>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</si>
  <si>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</si>
  <si>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</si>
  <si>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</si>
  <si>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</si>
  <si>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</si>
  <si>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</si>
  <si>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</si>
  <si>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</si>
  <si>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</si>
  <si>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</si>
  <si>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</si>
  <si>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</si>
  <si>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</si>
  <si>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</si>
  <si>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</si>
  <si>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</si>
  <si>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</si>
  <si>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</si>
  <si>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</si>
  <si>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</si>
  <si>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</si>
  <si>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</si>
  <si>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</si>
  <si>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</si>
  <si>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</si>
  <si>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</si>
  <si>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</si>
  <si>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</si>
  <si>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</si>
  <si>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</si>
  <si>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</si>
  <si>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</si>
  <si>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</si>
  <si>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</si>
  <si>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</si>
  <si>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</si>
  <si>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</si>
  <si>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</si>
  <si>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</si>
  <si>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</si>
  <si>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</si>
  <si>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</si>
  <si>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</si>
  <si>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</si>
  <si>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</si>
  <si>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</si>
  <si>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</si>
  <si>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</si>
  <si>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</si>
  <si>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</si>
  <si>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</si>
  <si>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</si>
  <si>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</si>
  <si>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</si>
  <si>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</si>
  <si>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</si>
  <si>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</si>
  <si>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</si>
  <si>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</si>
  <si>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</si>
  <si>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</si>
  <si>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</si>
  <si>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</si>
  <si>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</si>
  <si>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</si>
  <si>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</si>
  <si>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</si>
  <si>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</si>
  <si>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</si>
  <si>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</si>
  <si>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</si>
  <si>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</si>
  <si>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</si>
  <si>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</si>
  <si>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</si>
  <si>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</si>
  <si>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</si>
  <si>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</si>
  <si>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</si>
  <si>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</si>
  <si>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</si>
  <si>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</si>
  <si>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</si>
  <si>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</si>
  <si>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</si>
  <si>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</si>
  <si>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</si>
  <si>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</si>
  <si>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</si>
  <si>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</si>
  <si>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</si>
  <si>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</si>
  <si>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</si>
  <si>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</si>
  <si>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</si>
  <si>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</si>
  <si>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</si>
  <si>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</si>
  <si>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</si>
  <si>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</si>
  <si>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</si>
  <si>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</si>
  <si>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</si>
  <si>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</si>
  <si>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</si>
  <si>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</si>
  <si>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</si>
  <si>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</si>
  <si>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</si>
  <si>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</si>
  <si>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</si>
  <si>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</si>
  <si>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</si>
  <si>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</si>
  <si>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</si>
  <si>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</si>
  <si>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</si>
  <si>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</si>
  <si>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</si>
  <si>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</si>
  <si>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</si>
  <si>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</si>
  <si>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</si>
  <si>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</si>
  <si>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</si>
  <si>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</si>
  <si>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</si>
  <si>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</si>
  <si>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</si>
  <si>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</si>
  <si>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</si>
  <si>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</si>
  <si>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</si>
  <si>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</si>
  <si>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</si>
  <si>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</si>
  <si>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</si>
  <si>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</si>
  <si>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</si>
  <si>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</si>
  <si>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</si>
  <si>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</si>
  <si>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</si>
  <si>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</si>
  <si>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</si>
  <si>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</si>
  <si>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</si>
  <si>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</si>
  <si>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</si>
  <si>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</si>
  <si>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</si>
  <si>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</si>
  <si>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</si>
  <si>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</si>
  <si>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</si>
  <si>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</si>
  <si>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</si>
  <si>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</si>
  <si>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</si>
  <si>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</si>
  <si>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</si>
  <si>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</si>
  <si>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</si>
  <si>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</si>
  <si>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</si>
  <si>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</si>
  <si>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</si>
  <si>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</si>
  <si>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</si>
  <si>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</si>
  <si>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</si>
  <si>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</si>
  <si>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</si>
  <si>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</si>
  <si>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</si>
  <si>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</si>
  <si>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</si>
  <si>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</si>
  <si>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</si>
  <si>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</si>
  <si>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</si>
  <si>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</si>
  <si>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</si>
  <si>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</si>
  <si>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</si>
  <si>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</si>
  <si>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</si>
  <si>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</si>
  <si>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</si>
  <si>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</si>
  <si>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</si>
  <si>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</si>
  <si>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</si>
  <si>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</si>
  <si>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</si>
  <si>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</si>
  <si>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</si>
  <si>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</si>
  <si>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</si>
  <si>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</si>
  <si>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</si>
  <si>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</si>
  <si>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</si>
  <si>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</si>
  <si>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</si>
  <si>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</si>
  <si>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</si>
  <si>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</si>
  <si>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</si>
  <si>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</si>
  <si>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</si>
  <si>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</si>
  <si>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</si>
  <si>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</si>
  <si>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</si>
  <si>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</si>
  <si>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</si>
  <si>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</si>
  <si>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</si>
  <si>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</si>
  <si>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</si>
  <si>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</si>
  <si>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</si>
  <si>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</si>
  <si>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</si>
  <si>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</si>
  <si>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</si>
  <si>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</si>
  <si>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</si>
  <si>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</si>
  <si>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</si>
  <si>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</si>
  <si>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</si>
  <si>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</si>
  <si>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</si>
  <si>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</si>
  <si>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</si>
  <si>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</si>
  <si>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</si>
  <si>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</si>
  <si>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</si>
  <si>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</si>
  <si>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</si>
  <si>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</si>
  <si>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</si>
  <si>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</si>
  <si>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</si>
  <si>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</si>
  <si>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</si>
  <si>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</si>
  <si>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</si>
  <si>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</si>
  <si>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</si>
  <si>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</si>
  <si>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</si>
  <si>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</si>
  <si>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</si>
  <si>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</si>
  <si>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</si>
  <si>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</si>
  <si>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</si>
  <si>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</si>
  <si>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</si>
  <si>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</si>
  <si>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</si>
  <si>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</si>
  <si>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</si>
  <si>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</si>
  <si>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</si>
  <si>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</si>
  <si>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</si>
  <si>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</si>
  <si>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</si>
  <si>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</si>
  <si>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</si>
  <si>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</si>
  <si>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</si>
  <si>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</si>
  <si>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</si>
  <si>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</si>
  <si>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</si>
  <si>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</si>
  <si>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</si>
  <si>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</si>
  <si>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</si>
  <si>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</si>
  <si>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</si>
  <si>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</si>
  <si>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</si>
  <si>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</si>
  <si>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</si>
  <si>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</si>
  <si>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</si>
  <si>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</si>
  <si>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</si>
  <si>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</si>
  <si>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</si>
  <si>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</si>
  <si>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</si>
  <si>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</si>
  <si>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</si>
  <si>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</si>
  <si>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</si>
  <si>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</si>
  <si>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</si>
  <si>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</si>
  <si>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</si>
  <si>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</si>
  <si>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</si>
  <si>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</si>
  <si>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</si>
  <si>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</si>
  <si>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</si>
  <si>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</si>
  <si>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</si>
  <si>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</si>
  <si>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</si>
  <si>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</si>
  <si>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</si>
  <si>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</si>
  <si>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</si>
  <si>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</si>
  <si>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</si>
  <si>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</si>
  <si>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</si>
  <si>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</si>
  <si>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</si>
  <si>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</si>
  <si>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</si>
  <si>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</si>
  <si>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</si>
  <si>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</si>
  <si>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</si>
  <si>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</si>
  <si>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</si>
  <si>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</si>
  <si>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</si>
  <si>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</si>
  <si>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</si>
  <si>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</si>
  <si>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</si>
  <si>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</si>
  <si>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</si>
  <si>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</si>
  <si>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</si>
  <si>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</si>
  <si>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</si>
  <si>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</si>
  <si>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</si>
  <si>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</si>
  <si>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</si>
  <si>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</si>
  <si>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</si>
  <si>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</si>
  <si>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</si>
  <si>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</si>
  <si>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</si>
  <si>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</si>
  <si>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</si>
  <si>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</si>
  <si>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</si>
  <si>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</si>
  <si>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</si>
  <si>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</si>
  <si>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</si>
  <si>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</si>
  <si>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</si>
  <si>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</si>
  <si>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</si>
  <si>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</si>
  <si>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</si>
  <si>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</si>
  <si>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</si>
  <si>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</si>
  <si>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</si>
  <si>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</si>
  <si>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</si>
  <si>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</si>
  <si>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</si>
  <si>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</si>
  <si>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</si>
  <si>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</si>
  <si>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</si>
  <si>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</si>
  <si>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</si>
  <si>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</si>
  <si>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</si>
  <si>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</si>
  <si>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</si>
  <si>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</si>
  <si>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</si>
  <si>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</si>
  <si>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</si>
  <si>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</si>
  <si>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</si>
  <si>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</si>
  <si>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</si>
  <si>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</si>
  <si>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</si>
  <si>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</si>
  <si>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</si>
  <si>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</si>
  <si>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</si>
  <si>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</si>
  <si>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</si>
  <si>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</si>
  <si>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</si>
  <si>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</si>
  <si>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</si>
  <si>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</si>
  <si>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</si>
  <si>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</si>
  <si>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</si>
  <si>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</si>
  <si>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</si>
  <si>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</si>
  <si>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</si>
  <si>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</si>
  <si>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</si>
  <si>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</si>
  <si>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</si>
  <si>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</si>
  <si>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</si>
  <si>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</si>
  <si>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</si>
  <si>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</si>
  <si>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</si>
  <si>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</si>
  <si>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</si>
  <si>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</si>
  <si>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</si>
  <si>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</si>
  <si>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</si>
  <si>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</si>
  <si>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</si>
  <si>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</si>
  <si>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</si>
  <si>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</si>
  <si>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</si>
  <si>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</si>
  <si>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</si>
  <si>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</si>
  <si>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</si>
  <si>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</si>
  <si>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</si>
  <si>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</si>
  <si>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</si>
  <si>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</si>
  <si>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</si>
  <si>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</si>
  <si>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</si>
  <si>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</si>
  <si>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</si>
  <si>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</si>
  <si>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</si>
  <si>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</si>
  <si>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</si>
  <si>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</si>
  <si>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</si>
  <si>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</si>
  <si>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</si>
  <si>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</si>
  <si>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</si>
  <si>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</si>
  <si>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</si>
  <si>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</si>
  <si>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</si>
  <si>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</si>
  <si>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</si>
  <si>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</si>
  <si>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</si>
  <si>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</si>
  <si>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</si>
  <si>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</si>
  <si>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</si>
  <si>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</si>
  <si>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</si>
  <si>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</si>
  <si>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</si>
  <si>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</si>
  <si>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</si>
  <si>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</si>
  <si>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</si>
  <si>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</si>
  <si>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</si>
  <si>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</si>
  <si>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</si>
  <si>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</si>
  <si>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</si>
  <si>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</si>
  <si>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</si>
  <si>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</si>
  <si>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</si>
  <si>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</si>
  <si>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</si>
  <si>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</si>
  <si>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</si>
  <si>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</si>
  <si>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</si>
  <si>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</si>
  <si>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</si>
  <si>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</si>
  <si>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</si>
  <si>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</si>
  <si>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</si>
  <si>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</si>
  <si>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</si>
  <si>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</si>
  <si>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</si>
  <si>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</si>
  <si>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</si>
  <si>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</si>
  <si>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</si>
  <si>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</si>
  <si>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</si>
  <si>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</si>
  <si>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</si>
  <si>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</si>
  <si>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</si>
  <si>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</si>
  <si>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</si>
  <si>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</si>
  <si>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</si>
  <si>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</si>
  <si>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</si>
  <si>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</si>
  <si>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</si>
  <si>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</si>
  <si>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</si>
  <si>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</si>
  <si>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</si>
  <si>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</si>
  <si>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</si>
  <si>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</si>
  <si>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</si>
  <si>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</si>
  <si>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</si>
  <si>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</si>
  <si>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</si>
  <si>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</si>
  <si>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</si>
  <si>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</si>
  <si>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</si>
  <si>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</si>
  <si>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</si>
  <si>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</si>
  <si>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</si>
  <si>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</si>
  <si>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</si>
  <si>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</si>
  <si>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</si>
  <si>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</si>
  <si>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</si>
  <si>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</si>
  <si>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</si>
  <si>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</si>
  <si>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</si>
  <si>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</si>
  <si>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</si>
  <si>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</si>
  <si>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</si>
  <si>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</si>
  <si>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</si>
  <si>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</si>
  <si>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</si>
  <si>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</si>
  <si>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</si>
  <si>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</si>
  <si>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</si>
  <si>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</si>
  <si>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</si>
  <si>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</si>
  <si>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</si>
  <si>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</si>
  <si>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</si>
  <si>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</si>
  <si>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</si>
  <si>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</si>
  <si>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</si>
  <si>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</si>
  <si>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</si>
  <si>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</si>
  <si>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</si>
  <si>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</si>
  <si>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</si>
  <si>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</si>
  <si>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</si>
  <si>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</si>
  <si>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</si>
  <si>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</si>
  <si>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</si>
  <si>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CARPENTER TRUST</t>
  </si>
  <si>
    <t>12/99</t>
  </si>
  <si>
    <t>01/20</t>
  </si>
  <si>
    <t>PITTSFIELD SCHOOL DISTRICT</t>
  </si>
  <si>
    <t>AUDITOR'S ADJ FOR PRIOR YEAR 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</si>
</sst>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560A0-3220-417D-A76A-640D3A53E491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439</v>
      </c>
      <c r="C2" s="21">
        <v>439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183210.81</v>
      </c>
      <c r="G9" s="18">
        <v>12929.08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189473.67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187378.76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37190.75</v>
      </c>
      <c r="G13" s="18">
        <v>28524.36</v>
      </c>
      <c r="H13" s="18">
        <v>184974.49</v>
      </c>
      <c r="I13" s="18"/>
      <c r="J13" s="67">
        <f>SUM(I434)</f>
        <v>236395.58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2074.84</v>
      </c>
      <c r="G14" s="18">
        <v>529.15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7277.68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409855.16000000003</v>
      </c>
      <c r="G19" s="41">
        <f>SUM(G9:G18)</f>
        <v>49260.270000000004</v>
      </c>
      <c r="H19" s="41">
        <f>SUM(H9:H18)</f>
        <v>184974.49</v>
      </c>
      <c r="I19" s="41">
        <f>SUM(I9:I18)</f>
        <v>0</v>
      </c>
      <c r="J19" s="41">
        <f>SUM(J9:J18)</f>
        <v>425869.25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30963.57</v>
      </c>
      <c r="H23" s="18">
        <v>156415.19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68444.66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182712.78</v>
      </c>
      <c r="G29" s="18">
        <v>7016.42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28231.54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251157.44</v>
      </c>
      <c r="G33" s="41">
        <f>SUM(G23:G32)</f>
        <v>37979.99</v>
      </c>
      <c r="H33" s="41">
        <f>SUM(H23:H32)</f>
        <v>184646.73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7277.68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189473.67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4002.6</v>
      </c>
      <c r="H41" s="18">
        <v>327.76</v>
      </c>
      <c r="I41" s="18"/>
      <c r="J41" s="13">
        <f>SUM(I449)</f>
        <v>236395.58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108697.72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158697.72</v>
      </c>
      <c r="G43" s="41">
        <f>SUM(G35:G42)</f>
        <v>11280.28</v>
      </c>
      <c r="H43" s="41">
        <f>SUM(H35:H42)</f>
        <v>327.76</v>
      </c>
      <c r="I43" s="41">
        <f>SUM(I35:I42)</f>
        <v>0</v>
      </c>
      <c r="J43" s="41">
        <f>SUM(J35:J42)</f>
        <v>425869.25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409855.16000000003</v>
      </c>
      <c r="G44" s="41">
        <f>G43+G33</f>
        <v>49260.27</v>
      </c>
      <c r="H44" s="41">
        <f>H43+H33</f>
        <v>184974.49000000002</v>
      </c>
      <c r="I44" s="41">
        <f>I43+I33</f>
        <v>0</v>
      </c>
      <c r="J44" s="41">
        <f>J43+J33</f>
        <v>425869.25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4139301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4139301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460.49</v>
      </c>
      <c r="G88" s="18">
        <v>35</v>
      </c>
      <c r="H88" s="18"/>
      <c r="I88" s="18"/>
      <c r="J88" s="18">
        <v>4748.3500000000004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87876.54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94904.86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>
        <v>7588.06</v>
      </c>
      <c r="I102" s="18"/>
      <c r="J102" s="18">
        <v>21386.68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560.49</v>
      </c>
      <c r="G103" s="41">
        <f>SUM(G88:G102)</f>
        <v>87911.54</v>
      </c>
      <c r="H103" s="41">
        <f>SUM(H88:H102)</f>
        <v>102492.92</v>
      </c>
      <c r="I103" s="41">
        <f>SUM(I88:I102)</f>
        <v>0</v>
      </c>
      <c r="J103" s="41">
        <f>SUM(J88:J102)</f>
        <v>26135.03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4139861.49</v>
      </c>
      <c r="G104" s="41">
        <f>G52+G103</f>
        <v>87911.54</v>
      </c>
      <c r="H104" s="41">
        <f>H52+H71+H86+H103</f>
        <v>102492.92</v>
      </c>
      <c r="I104" s="41">
        <f>I52+I103</f>
        <v>0</v>
      </c>
      <c r="J104" s="41">
        <f>J52+J103</f>
        <v>26135.03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4054980.02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679960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147072.98000000001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4882013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97763.28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289288.65000000002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2994.16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2696.81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4350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394396.09</v>
      </c>
      <c r="G128" s="41">
        <f>SUM(G115:G127)</f>
        <v>2696.81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5276409.09</v>
      </c>
      <c r="G132" s="41">
        <f>G113+SUM(G128:G129)</f>
        <v>2696.81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780063.23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247846.32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142682.44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193881.92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215509.33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5465.66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215509.33</v>
      </c>
      <c r="G154" s="41">
        <f>SUM(G142:G153)</f>
        <v>142682.44</v>
      </c>
      <c r="H154" s="41">
        <f>SUM(H142:H153)</f>
        <v>1227257.1299999999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>
        <v>3699.21</v>
      </c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215509.33</v>
      </c>
      <c r="G161" s="41">
        <f>G139+G154+SUM(G155:G160)</f>
        <v>142682.44</v>
      </c>
      <c r="H161" s="41">
        <f>H139+H154+SUM(H155:H160)</f>
        <v>1230956.3399999999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12000</v>
      </c>
      <c r="H171" s="18"/>
      <c r="I171" s="18"/>
      <c r="J171" s="18">
        <v>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11666.02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11666.02</v>
      </c>
      <c r="G175" s="41">
        <f>SUM(G171:G174)</f>
        <v>12000</v>
      </c>
      <c r="H175" s="41">
        <f>SUM(H171:H174)</f>
        <v>0</v>
      </c>
      <c r="I175" s="41">
        <f>SUM(I171:I174)</f>
        <v>0</v>
      </c>
      <c r="J175" s="41">
        <f>SUM(J171:J174)</f>
        <v>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125346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125346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137012.01999999999</v>
      </c>
      <c r="G184" s="41">
        <f>G175+SUM(G180:G183)</f>
        <v>12000</v>
      </c>
      <c r="H184" s="41">
        <f>+H175+SUM(H180:H183)</f>
        <v>0</v>
      </c>
      <c r="I184" s="41">
        <f>I169+I175+SUM(I180:I183)</f>
        <v>0</v>
      </c>
      <c r="J184" s="41">
        <f>J175</f>
        <v>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9768791.9299999997</v>
      </c>
      <c r="G185" s="47">
        <f>G104+G132+G161+G184</f>
        <v>245290.78999999998</v>
      </c>
      <c r="H185" s="47">
        <f>H104+H132+H161+H184</f>
        <v>1333449.2599999998</v>
      </c>
      <c r="I185" s="47">
        <f>I104+I132+I161+I184</f>
        <v>0</v>
      </c>
      <c r="J185" s="47">
        <f>J104+J132+J184</f>
        <v>46135.03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972300.19</v>
      </c>
      <c r="G189" s="18">
        <v>415745.97</v>
      </c>
      <c r="H189" s="18">
        <v>5344.7</v>
      </c>
      <c r="I189" s="18">
        <v>39010.050000000003</v>
      </c>
      <c r="J189" s="18"/>
      <c r="K189" s="18">
        <v>5882.59</v>
      </c>
      <c r="L189" s="19">
        <f>SUM(F189:K189)</f>
        <v>1438283.5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658589.06999999995</v>
      </c>
      <c r="G190" s="18">
        <v>211982.41</v>
      </c>
      <c r="H190" s="18">
        <v>124296.64</v>
      </c>
      <c r="I190" s="18">
        <v>1505.66</v>
      </c>
      <c r="J190" s="18"/>
      <c r="K190" s="18">
        <v>1594.49</v>
      </c>
      <c r="L190" s="19">
        <f>SUM(F190:K190)</f>
        <v>997968.27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233264.49</v>
      </c>
      <c r="G194" s="18">
        <v>103153.11</v>
      </c>
      <c r="H194" s="18">
        <v>84610.08</v>
      </c>
      <c r="I194" s="18">
        <v>1315.18</v>
      </c>
      <c r="J194" s="18"/>
      <c r="K194" s="18">
        <v>35</v>
      </c>
      <c r="L194" s="19">
        <f t="shared" ref="L194:L200" si="0">SUM(F194:K194)</f>
        <v>422377.86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68275.23</v>
      </c>
      <c r="G195" s="18">
        <v>16408.04</v>
      </c>
      <c r="H195" s="18">
        <v>45171.58</v>
      </c>
      <c r="I195" s="18">
        <v>12246.85</v>
      </c>
      <c r="J195" s="18">
        <v>635.39</v>
      </c>
      <c r="K195" s="18">
        <v>7856.47</v>
      </c>
      <c r="L195" s="19">
        <f t="shared" si="0"/>
        <v>150593.56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111089</v>
      </c>
      <c r="G196" s="18">
        <v>57054.68</v>
      </c>
      <c r="H196" s="18">
        <v>26274.25</v>
      </c>
      <c r="I196" s="18">
        <v>3286.58</v>
      </c>
      <c r="J196" s="18"/>
      <c r="K196" s="18">
        <v>3345.36</v>
      </c>
      <c r="L196" s="19">
        <f t="shared" si="0"/>
        <v>201049.86999999997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265480.53999999998</v>
      </c>
      <c r="G197" s="18">
        <v>119746.61</v>
      </c>
      <c r="H197" s="18">
        <v>15872.7</v>
      </c>
      <c r="I197" s="18">
        <v>2377.42</v>
      </c>
      <c r="J197" s="18"/>
      <c r="K197" s="18">
        <v>1379.19</v>
      </c>
      <c r="L197" s="19">
        <f t="shared" si="0"/>
        <v>404856.45999999996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99379.04</v>
      </c>
      <c r="G199" s="18">
        <v>58591.19</v>
      </c>
      <c r="H199" s="18">
        <v>83806.929999999993</v>
      </c>
      <c r="I199" s="18">
        <v>96469.98</v>
      </c>
      <c r="J199" s="18">
        <v>753.43</v>
      </c>
      <c r="K199" s="18"/>
      <c r="L199" s="19">
        <f t="shared" si="0"/>
        <v>339000.56999999995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152365.97</v>
      </c>
      <c r="I200" s="18"/>
      <c r="J200" s="18"/>
      <c r="K200" s="18"/>
      <c r="L200" s="19">
        <f t="shared" si="0"/>
        <v>152365.97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2408377.5599999996</v>
      </c>
      <c r="G203" s="41">
        <f t="shared" si="1"/>
        <v>982682.01</v>
      </c>
      <c r="H203" s="41">
        <f t="shared" si="1"/>
        <v>537742.85</v>
      </c>
      <c r="I203" s="41">
        <f t="shared" si="1"/>
        <v>156211.72</v>
      </c>
      <c r="J203" s="41">
        <f t="shared" si="1"/>
        <v>1388.82</v>
      </c>
      <c r="K203" s="41">
        <f t="shared" si="1"/>
        <v>20093.099999999999</v>
      </c>
      <c r="L203" s="41">
        <f t="shared" si="1"/>
        <v>4106496.06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345386.78</v>
      </c>
      <c r="G207" s="18">
        <v>177139.57</v>
      </c>
      <c r="H207" s="18">
        <v>3394.92</v>
      </c>
      <c r="I207" s="18">
        <v>9724.58</v>
      </c>
      <c r="J207" s="18"/>
      <c r="K207" s="18">
        <v>2518.1999999999998</v>
      </c>
      <c r="L207" s="19">
        <f>SUM(F207:K207)</f>
        <v>538164.04999999993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167831.67999999999</v>
      </c>
      <c r="G208" s="18">
        <v>69441.289999999994</v>
      </c>
      <c r="H208" s="18">
        <v>44624.08</v>
      </c>
      <c r="I208" s="18">
        <v>587.17999999999995</v>
      </c>
      <c r="J208" s="18"/>
      <c r="K208" s="18">
        <v>289.98</v>
      </c>
      <c r="L208" s="19">
        <f>SUM(F208:K208)</f>
        <v>282774.20999999996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11636.57</v>
      </c>
      <c r="G210" s="18">
        <v>1514.56</v>
      </c>
      <c r="H210" s="18">
        <v>4381.17</v>
      </c>
      <c r="I210" s="18">
        <v>4971.43</v>
      </c>
      <c r="J210" s="18"/>
      <c r="K210" s="18">
        <v>1749.75</v>
      </c>
      <c r="L210" s="19">
        <f>SUM(F210:K210)</f>
        <v>24253.48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44610.07</v>
      </c>
      <c r="G212" s="18">
        <v>21457.82</v>
      </c>
      <c r="H212" s="18">
        <v>19765.47</v>
      </c>
      <c r="I212" s="18">
        <v>704.75</v>
      </c>
      <c r="J212" s="18"/>
      <c r="K212" s="18">
        <v>143.5</v>
      </c>
      <c r="L212" s="19">
        <f t="shared" ref="L212:L218" si="2">SUM(F212:K212)</f>
        <v>86681.61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31188.13</v>
      </c>
      <c r="G213" s="18">
        <v>15405.35</v>
      </c>
      <c r="H213" s="18">
        <v>15073.81</v>
      </c>
      <c r="I213" s="18">
        <v>2751.38</v>
      </c>
      <c r="J213" s="18">
        <v>766.36</v>
      </c>
      <c r="K213" s="18">
        <v>1998.51</v>
      </c>
      <c r="L213" s="19">
        <f t="shared" si="2"/>
        <v>67183.539999999994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30297</v>
      </c>
      <c r="G214" s="18">
        <v>15591.11</v>
      </c>
      <c r="H214" s="18">
        <v>7165.69</v>
      </c>
      <c r="I214" s="18">
        <v>896.34</v>
      </c>
      <c r="J214" s="18"/>
      <c r="K214" s="18">
        <v>912.36</v>
      </c>
      <c r="L214" s="19">
        <f t="shared" si="2"/>
        <v>54862.5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93348.92</v>
      </c>
      <c r="G215" s="18">
        <v>38589.949999999997</v>
      </c>
      <c r="H215" s="18">
        <v>9936.59</v>
      </c>
      <c r="I215" s="18">
        <v>2199.3200000000002</v>
      </c>
      <c r="J215" s="18"/>
      <c r="K215" s="18">
        <v>1820.39</v>
      </c>
      <c r="L215" s="19">
        <f t="shared" si="2"/>
        <v>145895.17000000001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42892.27</v>
      </c>
      <c r="G217" s="18">
        <v>22926.75</v>
      </c>
      <c r="H217" s="18">
        <v>31155.52</v>
      </c>
      <c r="I217" s="18">
        <v>56957.43</v>
      </c>
      <c r="J217" s="18">
        <v>323.75</v>
      </c>
      <c r="K217" s="18">
        <v>70</v>
      </c>
      <c r="L217" s="19">
        <f t="shared" si="2"/>
        <v>154325.72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40829.480000000003</v>
      </c>
      <c r="I218" s="18"/>
      <c r="J218" s="18"/>
      <c r="K218" s="18"/>
      <c r="L218" s="19">
        <f t="shared" si="2"/>
        <v>40829.480000000003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767191.42</v>
      </c>
      <c r="G221" s="41">
        <f>SUM(G207:G220)</f>
        <v>362066.39999999997</v>
      </c>
      <c r="H221" s="41">
        <f>SUM(H207:H220)</f>
        <v>176326.73</v>
      </c>
      <c r="I221" s="41">
        <f>SUM(I207:I220)</f>
        <v>78792.41</v>
      </c>
      <c r="J221" s="41">
        <f>SUM(J207:J220)</f>
        <v>1090.1100000000001</v>
      </c>
      <c r="K221" s="41">
        <f t="shared" si="3"/>
        <v>9502.69</v>
      </c>
      <c r="L221" s="41">
        <f t="shared" si="3"/>
        <v>1394969.7599999998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619902.99</v>
      </c>
      <c r="G225" s="18">
        <v>290903.18</v>
      </c>
      <c r="H225" s="18">
        <v>18175.86</v>
      </c>
      <c r="I225" s="18">
        <v>29893.29</v>
      </c>
      <c r="J225" s="18"/>
      <c r="K225" s="18">
        <v>5505.8</v>
      </c>
      <c r="L225" s="19">
        <f>SUM(F225:K225)</f>
        <v>964381.12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262100.26</v>
      </c>
      <c r="G226" s="18">
        <v>107051.39</v>
      </c>
      <c r="H226" s="18">
        <v>792735.26</v>
      </c>
      <c r="I226" s="18">
        <v>537.13</v>
      </c>
      <c r="J226" s="18">
        <v>450</v>
      </c>
      <c r="K226" s="18">
        <v>712.52</v>
      </c>
      <c r="L226" s="19">
        <f>SUM(F226:K226)</f>
        <v>1163586.5600000001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10229.39</v>
      </c>
      <c r="I227" s="18"/>
      <c r="J227" s="18"/>
      <c r="K227" s="18"/>
      <c r="L227" s="19">
        <f>SUM(F227:K227)</f>
        <v>10229.39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37859.93</v>
      </c>
      <c r="G228" s="18">
        <v>4463.67</v>
      </c>
      <c r="H228" s="18">
        <v>8409.7900000000009</v>
      </c>
      <c r="I228" s="18">
        <v>10206.799999999999</v>
      </c>
      <c r="J228" s="18"/>
      <c r="K228" s="18">
        <v>4736.25</v>
      </c>
      <c r="L228" s="19">
        <f>SUM(F228:K228)</f>
        <v>65676.44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168324.79</v>
      </c>
      <c r="G230" s="18">
        <v>82929.45</v>
      </c>
      <c r="H230" s="18">
        <v>21943.93</v>
      </c>
      <c r="I230" s="18">
        <v>1409.04</v>
      </c>
      <c r="J230" s="18">
        <v>276.58999999999997</v>
      </c>
      <c r="K230" s="18">
        <v>266.5</v>
      </c>
      <c r="L230" s="19">
        <f t="shared" ref="L230:L236" si="4">SUM(F230:K230)</f>
        <v>275150.3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61318.559999999998</v>
      </c>
      <c r="G231" s="18">
        <v>35389.49</v>
      </c>
      <c r="H231" s="18">
        <v>23957.63</v>
      </c>
      <c r="I231" s="18">
        <v>4896.51</v>
      </c>
      <c r="J231" s="18">
        <v>2327.25</v>
      </c>
      <c r="K231" s="18">
        <v>3432.97</v>
      </c>
      <c r="L231" s="19">
        <f t="shared" si="4"/>
        <v>131322.40999999997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60594</v>
      </c>
      <c r="G232" s="18">
        <v>31162.33</v>
      </c>
      <c r="H232" s="18">
        <v>14331.4</v>
      </c>
      <c r="I232" s="18">
        <v>1792.68</v>
      </c>
      <c r="J232" s="18"/>
      <c r="K232" s="18">
        <v>1824.75</v>
      </c>
      <c r="L232" s="19">
        <f t="shared" si="4"/>
        <v>109705.15999999999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172542.94</v>
      </c>
      <c r="G233" s="18">
        <v>71156.039999999994</v>
      </c>
      <c r="H233" s="18">
        <v>18338.830000000002</v>
      </c>
      <c r="I233" s="18">
        <v>4604.76</v>
      </c>
      <c r="J233" s="18"/>
      <c r="K233" s="18">
        <v>4218.63</v>
      </c>
      <c r="L233" s="19">
        <f t="shared" si="4"/>
        <v>270861.2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79586.399999999994</v>
      </c>
      <c r="G235" s="18">
        <v>42912.1</v>
      </c>
      <c r="H235" s="18">
        <v>61142.03</v>
      </c>
      <c r="I235" s="18">
        <v>107459.81</v>
      </c>
      <c r="J235" s="18">
        <v>601.25</v>
      </c>
      <c r="K235" s="18">
        <v>130</v>
      </c>
      <c r="L235" s="19">
        <f t="shared" si="4"/>
        <v>291831.58999999997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353544.23</v>
      </c>
      <c r="I236" s="18"/>
      <c r="J236" s="18"/>
      <c r="K236" s="18"/>
      <c r="L236" s="19">
        <f t="shared" si="4"/>
        <v>353544.23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1462229.8699999999</v>
      </c>
      <c r="G239" s="41">
        <f t="shared" si="5"/>
        <v>665967.65</v>
      </c>
      <c r="H239" s="41">
        <f t="shared" si="5"/>
        <v>1322808.3500000001</v>
      </c>
      <c r="I239" s="41">
        <f t="shared" si="5"/>
        <v>160800.02000000002</v>
      </c>
      <c r="J239" s="41">
        <f t="shared" si="5"/>
        <v>3655.09</v>
      </c>
      <c r="K239" s="41">
        <f t="shared" si="5"/>
        <v>20827.420000000002</v>
      </c>
      <c r="L239" s="41">
        <f t="shared" si="5"/>
        <v>3636288.4000000004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8030.56</v>
      </c>
      <c r="G242" s="18">
        <v>1224.1600000000001</v>
      </c>
      <c r="H242" s="18"/>
      <c r="I242" s="18">
        <v>549.23</v>
      </c>
      <c r="J242" s="18"/>
      <c r="K242" s="18"/>
      <c r="L242" s="19">
        <f t="shared" ref="L242:L247" si="6">SUM(F242:K242)</f>
        <v>9803.9500000000007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234846</v>
      </c>
      <c r="I247" s="18"/>
      <c r="J247" s="18"/>
      <c r="K247" s="18"/>
      <c r="L247" s="19">
        <f t="shared" si="6"/>
        <v>234846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8030.56</v>
      </c>
      <c r="G248" s="41">
        <f t="shared" si="7"/>
        <v>1224.1600000000001</v>
      </c>
      <c r="H248" s="41">
        <f t="shared" si="7"/>
        <v>234846</v>
      </c>
      <c r="I248" s="41">
        <f t="shared" si="7"/>
        <v>549.23</v>
      </c>
      <c r="J248" s="41">
        <f t="shared" si="7"/>
        <v>0</v>
      </c>
      <c r="K248" s="41">
        <f t="shared" si="7"/>
        <v>0</v>
      </c>
      <c r="L248" s="41">
        <f>SUM(F248:K248)</f>
        <v>244649.95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4645829.4099999992</v>
      </c>
      <c r="G249" s="41">
        <f t="shared" si="8"/>
        <v>2011940.22</v>
      </c>
      <c r="H249" s="41">
        <f t="shared" si="8"/>
        <v>2271723.9300000002</v>
      </c>
      <c r="I249" s="41">
        <f t="shared" si="8"/>
        <v>396353.38</v>
      </c>
      <c r="J249" s="41">
        <f t="shared" si="8"/>
        <v>6134.02</v>
      </c>
      <c r="K249" s="41">
        <f t="shared" si="8"/>
        <v>50423.210000000006</v>
      </c>
      <c r="L249" s="41">
        <f t="shared" si="8"/>
        <v>9382404.1699999999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265000</v>
      </c>
      <c r="L252" s="19">
        <f>SUM(F252:K252)</f>
        <v>265000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148333.76000000001</v>
      </c>
      <c r="L253" s="19">
        <f>SUM(F253:K253)</f>
        <v>148333.76000000001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12000</v>
      </c>
      <c r="L255" s="19">
        <f>SUM(F255:K255)</f>
        <v>12000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</v>
      </c>
      <c r="L258" s="19">
        <f t="shared" si="9"/>
        <v>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445333.76000000001</v>
      </c>
      <c r="L262" s="41">
        <f t="shared" si="9"/>
        <v>445333.76000000001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4645829.4099999992</v>
      </c>
      <c r="G263" s="42">
        <f t="shared" si="11"/>
        <v>2011940.22</v>
      </c>
      <c r="H263" s="42">
        <f t="shared" si="11"/>
        <v>2271723.9300000002</v>
      </c>
      <c r="I263" s="42">
        <f t="shared" si="11"/>
        <v>396353.38</v>
      </c>
      <c r="J263" s="42">
        <f t="shared" si="11"/>
        <v>6134.02</v>
      </c>
      <c r="K263" s="42">
        <f t="shared" si="11"/>
        <v>495756.97000000003</v>
      </c>
      <c r="L263" s="42">
        <f t="shared" si="11"/>
        <v>9827737.9299999997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169582.71</v>
      </c>
      <c r="G268" s="18">
        <v>60337.14</v>
      </c>
      <c r="H268" s="18">
        <v>96413.440000000002</v>
      </c>
      <c r="I268" s="18">
        <v>7329.63</v>
      </c>
      <c r="J268" s="18"/>
      <c r="K268" s="18">
        <v>17.690000000000001</v>
      </c>
      <c r="L268" s="19">
        <f>SUM(F268:K268)</f>
        <v>333680.61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27487.69</v>
      </c>
      <c r="G269" s="18">
        <v>3789.08</v>
      </c>
      <c r="H269" s="18">
        <v>7849.78</v>
      </c>
      <c r="I269" s="18">
        <v>7974.34</v>
      </c>
      <c r="J269" s="18">
        <v>927</v>
      </c>
      <c r="K269" s="18"/>
      <c r="L269" s="19">
        <f>SUM(F269:K269)</f>
        <v>48027.89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3100</v>
      </c>
      <c r="G271" s="18">
        <v>458.15</v>
      </c>
      <c r="H271" s="18"/>
      <c r="I271" s="18"/>
      <c r="J271" s="18"/>
      <c r="K271" s="18"/>
      <c r="L271" s="19">
        <f>SUM(F271:K271)</f>
        <v>3558.15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33249.19</v>
      </c>
      <c r="G273" s="18">
        <v>13039.9</v>
      </c>
      <c r="H273" s="18"/>
      <c r="I273" s="18">
        <v>600</v>
      </c>
      <c r="J273" s="18"/>
      <c r="K273" s="18"/>
      <c r="L273" s="19">
        <f t="shared" ref="L273:L279" si="12">SUM(F273:K273)</f>
        <v>46889.090000000004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19034.97</v>
      </c>
      <c r="G274" s="18">
        <v>8492.52</v>
      </c>
      <c r="H274" s="18">
        <v>78580.740000000005</v>
      </c>
      <c r="I274" s="18">
        <v>6934.84</v>
      </c>
      <c r="J274" s="18">
        <v>3594.29</v>
      </c>
      <c r="K274" s="18"/>
      <c r="L274" s="19">
        <f t="shared" si="12"/>
        <v>116637.36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10559.6</v>
      </c>
      <c r="G276" s="18">
        <v>5081.62</v>
      </c>
      <c r="H276" s="18"/>
      <c r="I276" s="18"/>
      <c r="J276" s="18"/>
      <c r="K276" s="18"/>
      <c r="L276" s="19">
        <f t="shared" si="12"/>
        <v>15641.220000000001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>
        <v>2732.83</v>
      </c>
      <c r="I278" s="18"/>
      <c r="J278" s="18">
        <v>39197.22</v>
      </c>
      <c r="K278" s="18"/>
      <c r="L278" s="19">
        <f t="shared" si="12"/>
        <v>41930.050000000003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6600.22</v>
      </c>
      <c r="I279" s="18"/>
      <c r="J279" s="18"/>
      <c r="K279" s="18"/>
      <c r="L279" s="19">
        <f t="shared" si="12"/>
        <v>6600.22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263014.15999999997</v>
      </c>
      <c r="G282" s="42">
        <f t="shared" si="13"/>
        <v>91198.41</v>
      </c>
      <c r="H282" s="42">
        <f t="shared" si="13"/>
        <v>192177.01</v>
      </c>
      <c r="I282" s="42">
        <f t="shared" si="13"/>
        <v>22838.81</v>
      </c>
      <c r="J282" s="42">
        <f t="shared" si="13"/>
        <v>43718.51</v>
      </c>
      <c r="K282" s="42">
        <f t="shared" si="13"/>
        <v>17.690000000000001</v>
      </c>
      <c r="L282" s="41">
        <f t="shared" si="13"/>
        <v>612964.59000000008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4422.25</v>
      </c>
      <c r="G287" s="18">
        <v>592.03</v>
      </c>
      <c r="H287" s="18">
        <v>3825.21</v>
      </c>
      <c r="I287" s="18">
        <v>8984.83</v>
      </c>
      <c r="J287" s="18"/>
      <c r="K287" s="18"/>
      <c r="L287" s="19">
        <f>SUM(F287:K287)</f>
        <v>17824.32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3734.53</v>
      </c>
      <c r="G288" s="18">
        <v>485.74</v>
      </c>
      <c r="H288" s="18">
        <v>3147.01</v>
      </c>
      <c r="I288" s="18">
        <v>376.28</v>
      </c>
      <c r="J288" s="18">
        <v>1145.2</v>
      </c>
      <c r="K288" s="18"/>
      <c r="L288" s="19">
        <f>SUM(F288:K288)</f>
        <v>8888.76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11680.79</v>
      </c>
      <c r="G292" s="18">
        <v>4570.7299999999996</v>
      </c>
      <c r="H292" s="18">
        <v>1770</v>
      </c>
      <c r="I292" s="18">
        <v>747.5</v>
      </c>
      <c r="J292" s="18"/>
      <c r="K292" s="18"/>
      <c r="L292" s="19">
        <f t="shared" ref="L292:L298" si="14">SUM(F292:K292)</f>
        <v>18769.02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43063.41</v>
      </c>
      <c r="G293" s="18">
        <v>12820.11</v>
      </c>
      <c r="H293" s="18">
        <v>175319.07</v>
      </c>
      <c r="I293" s="18">
        <v>783.69</v>
      </c>
      <c r="J293" s="18">
        <v>1793.8</v>
      </c>
      <c r="K293" s="18"/>
      <c r="L293" s="19">
        <f t="shared" si="14"/>
        <v>233780.08000000002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>
        <v>983.82</v>
      </c>
      <c r="I297" s="18"/>
      <c r="J297" s="18">
        <v>1549.21</v>
      </c>
      <c r="K297" s="18"/>
      <c r="L297" s="19">
        <f t="shared" si="14"/>
        <v>2533.0300000000002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v>3283.32</v>
      </c>
      <c r="I298" s="18"/>
      <c r="J298" s="18"/>
      <c r="K298" s="18"/>
      <c r="L298" s="19">
        <f t="shared" si="14"/>
        <v>3283.32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62900.98</v>
      </c>
      <c r="G301" s="42">
        <f t="shared" si="15"/>
        <v>18468.61</v>
      </c>
      <c r="H301" s="42">
        <f t="shared" si="15"/>
        <v>188328.43000000002</v>
      </c>
      <c r="I301" s="42">
        <f t="shared" si="15"/>
        <v>10892.300000000001</v>
      </c>
      <c r="J301" s="42">
        <f t="shared" si="15"/>
        <v>4488.21</v>
      </c>
      <c r="K301" s="42">
        <f t="shared" si="15"/>
        <v>0</v>
      </c>
      <c r="L301" s="41">
        <f t="shared" si="15"/>
        <v>285078.53000000009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4204.01</v>
      </c>
      <c r="G306" s="18">
        <v>894.59</v>
      </c>
      <c r="H306" s="18">
        <v>4718.2700000000004</v>
      </c>
      <c r="I306" s="18">
        <v>3103.06</v>
      </c>
      <c r="J306" s="18"/>
      <c r="K306" s="18"/>
      <c r="L306" s="19">
        <f>SUM(F306:K306)</f>
        <v>12919.93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26591.67</v>
      </c>
      <c r="G307" s="18">
        <v>3259.59</v>
      </c>
      <c r="H307" s="18">
        <v>9582.18</v>
      </c>
      <c r="I307" s="18">
        <v>691.63</v>
      </c>
      <c r="J307" s="18">
        <v>2126.8000000000002</v>
      </c>
      <c r="K307" s="18"/>
      <c r="L307" s="19">
        <f>SUM(F307:K307)</f>
        <v>42251.87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21568.400000000001</v>
      </c>
      <c r="G311" s="18">
        <v>8469.16</v>
      </c>
      <c r="H311" s="18"/>
      <c r="I311" s="18">
        <v>1137.5</v>
      </c>
      <c r="J311" s="18"/>
      <c r="K311" s="18"/>
      <c r="L311" s="19">
        <f t="shared" ref="L311:L317" si="16">SUM(F311:K311)</f>
        <v>31175.06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56602.93</v>
      </c>
      <c r="G312" s="18">
        <v>19728.490000000002</v>
      </c>
      <c r="H312" s="18">
        <v>222918.19</v>
      </c>
      <c r="I312" s="18">
        <v>2555.29</v>
      </c>
      <c r="J312" s="18">
        <v>1153.22</v>
      </c>
      <c r="K312" s="18"/>
      <c r="L312" s="19">
        <f t="shared" si="16"/>
        <v>302958.11999999994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19590.43</v>
      </c>
      <c r="G314" s="18">
        <v>1672.03</v>
      </c>
      <c r="H314" s="18"/>
      <c r="I314" s="18"/>
      <c r="J314" s="18"/>
      <c r="K314" s="18"/>
      <c r="L314" s="19">
        <f t="shared" si="16"/>
        <v>21262.46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>
        <v>1749.01</v>
      </c>
      <c r="I316" s="18"/>
      <c r="J316" s="18">
        <v>2877.12</v>
      </c>
      <c r="K316" s="18"/>
      <c r="L316" s="19">
        <f t="shared" si="16"/>
        <v>4626.13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4417.68</v>
      </c>
      <c r="I317" s="18"/>
      <c r="J317" s="18"/>
      <c r="K317" s="18"/>
      <c r="L317" s="19">
        <f t="shared" si="16"/>
        <v>4417.68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128557.44</v>
      </c>
      <c r="G320" s="42">
        <f t="shared" si="17"/>
        <v>34023.86</v>
      </c>
      <c r="H320" s="42">
        <f t="shared" si="17"/>
        <v>243385.33000000002</v>
      </c>
      <c r="I320" s="42">
        <f t="shared" si="17"/>
        <v>7487.4800000000005</v>
      </c>
      <c r="J320" s="42">
        <f t="shared" si="17"/>
        <v>6157.14</v>
      </c>
      <c r="K320" s="42">
        <f t="shared" si="17"/>
        <v>0</v>
      </c>
      <c r="L320" s="41">
        <f t="shared" si="17"/>
        <v>419611.24999999994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>
        <v>8784</v>
      </c>
      <c r="I327" s="18">
        <v>125.25</v>
      </c>
      <c r="J327" s="18"/>
      <c r="K327" s="18"/>
      <c r="L327" s="19">
        <f t="shared" si="18"/>
        <v>8909.25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8784</v>
      </c>
      <c r="I329" s="41">
        <f t="shared" si="19"/>
        <v>125.25</v>
      </c>
      <c r="J329" s="41">
        <f t="shared" si="19"/>
        <v>0</v>
      </c>
      <c r="K329" s="41">
        <f t="shared" si="19"/>
        <v>0</v>
      </c>
      <c r="L329" s="41">
        <f t="shared" si="18"/>
        <v>8909.25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454472.57999999996</v>
      </c>
      <c r="G330" s="41">
        <f t="shared" si="20"/>
        <v>143690.88</v>
      </c>
      <c r="H330" s="41">
        <f t="shared" si="20"/>
        <v>632674.77</v>
      </c>
      <c r="I330" s="41">
        <f t="shared" si="20"/>
        <v>41343.840000000004</v>
      </c>
      <c r="J330" s="41">
        <f t="shared" si="20"/>
        <v>54363.86</v>
      </c>
      <c r="K330" s="41">
        <f t="shared" si="20"/>
        <v>17.690000000000001</v>
      </c>
      <c r="L330" s="41">
        <f t="shared" si="20"/>
        <v>1326563.6200000001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11666.02</v>
      </c>
      <c r="L336" s="19">
        <f t="shared" ref="L336:L342" si="21">SUM(F336:K336)</f>
        <v>11666.02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11666.02</v>
      </c>
      <c r="L343" s="41">
        <f>SUM(L333:L342)</f>
        <v>11666.02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454472.57999999996</v>
      </c>
      <c r="G344" s="41">
        <f>G330</f>
        <v>143690.88</v>
      </c>
      <c r="H344" s="41">
        <f>H330</f>
        <v>632674.77</v>
      </c>
      <c r="I344" s="41">
        <f>I330</f>
        <v>41343.840000000004</v>
      </c>
      <c r="J344" s="41">
        <f>J330</f>
        <v>54363.86</v>
      </c>
      <c r="K344" s="47">
        <f>K330+K343</f>
        <v>11683.710000000001</v>
      </c>
      <c r="L344" s="41">
        <f>L330+L343</f>
        <v>1338229.6400000001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41052.46</v>
      </c>
      <c r="G350" s="18">
        <v>4901.47</v>
      </c>
      <c r="H350" s="18">
        <v>2606.9499999999998</v>
      </c>
      <c r="I350" s="18">
        <v>63100.26</v>
      </c>
      <c r="J350" s="18">
        <v>3338</v>
      </c>
      <c r="K350" s="18">
        <v>22.05</v>
      </c>
      <c r="L350" s="13">
        <f>SUM(F350:K350)</f>
        <v>115021.19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20173.759999999998</v>
      </c>
      <c r="G351" s="18">
        <v>2597.4299999999998</v>
      </c>
      <c r="H351" s="18">
        <v>1151.32</v>
      </c>
      <c r="I351" s="18">
        <v>20604.16</v>
      </c>
      <c r="J351" s="18"/>
      <c r="K351" s="18">
        <v>7.2</v>
      </c>
      <c r="L351" s="19">
        <f>SUM(F351:K351)</f>
        <v>44533.869999999995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37483.160000000003</v>
      </c>
      <c r="G352" s="18">
        <v>4779.24</v>
      </c>
      <c r="H352" s="18">
        <v>2215.7800000000002</v>
      </c>
      <c r="I352" s="18">
        <v>45071.61</v>
      </c>
      <c r="J352" s="18"/>
      <c r="K352" s="18">
        <v>15.75</v>
      </c>
      <c r="L352" s="19">
        <f>SUM(F352:K352)</f>
        <v>89565.540000000008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98709.38</v>
      </c>
      <c r="G354" s="47">
        <f t="shared" si="22"/>
        <v>12278.14</v>
      </c>
      <c r="H354" s="47">
        <f t="shared" si="22"/>
        <v>5974.0499999999993</v>
      </c>
      <c r="I354" s="47">
        <f t="shared" si="22"/>
        <v>128776.03</v>
      </c>
      <c r="J354" s="47">
        <f t="shared" si="22"/>
        <v>3338</v>
      </c>
      <c r="K354" s="47">
        <f t="shared" si="22"/>
        <v>45</v>
      </c>
      <c r="L354" s="47">
        <f t="shared" si="22"/>
        <v>249120.6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59945.97</v>
      </c>
      <c r="G359" s="18">
        <v>19574.189999999999</v>
      </c>
      <c r="H359" s="18">
        <v>42818.57</v>
      </c>
      <c r="I359" s="56">
        <f>SUM(F359:H359)</f>
        <v>122338.73000000001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3154.27</v>
      </c>
      <c r="G360" s="63">
        <v>1029.96</v>
      </c>
      <c r="H360" s="63">
        <v>2253.0700000000002</v>
      </c>
      <c r="I360" s="56">
        <f>SUM(F360:H360)</f>
        <v>6437.2999999999993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63100.24</v>
      </c>
      <c r="G361" s="47">
        <f>SUM(G359:G360)</f>
        <v>20604.149999999998</v>
      </c>
      <c r="H361" s="47">
        <f>SUM(H359:H360)</f>
        <v>45071.64</v>
      </c>
      <c r="I361" s="47">
        <f>SUM(I359:I360)</f>
        <v>128776.03000000001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>
        <v>24.69</v>
      </c>
      <c r="I383" s="18"/>
      <c r="J383" s="24" t="s">
        <v>312</v>
      </c>
      <c r="K383" s="24" t="s">
        <v>312</v>
      </c>
      <c r="L383" s="56">
        <f t="shared" si="25"/>
        <v>24.69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>
        <v>20000</v>
      </c>
      <c r="H384" s="18">
        <v>251.34</v>
      </c>
      <c r="I384" s="18"/>
      <c r="J384" s="24" t="s">
        <v>312</v>
      </c>
      <c r="K384" s="24" t="s">
        <v>312</v>
      </c>
      <c r="L384" s="56">
        <f t="shared" si="25"/>
        <v>20251.34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20000</v>
      </c>
      <c r="H385" s="139">
        <f>SUM(H379:H384)</f>
        <v>276.03000000000003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20276.03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23.9</v>
      </c>
      <c r="I388" s="18"/>
      <c r="J388" s="24" t="s">
        <v>312</v>
      </c>
      <c r="K388" s="24" t="s">
        <v>312</v>
      </c>
      <c r="L388" s="56">
        <f t="shared" si="26"/>
        <v>23.9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23.9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23.9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894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>
        <v>4448.42</v>
      </c>
      <c r="I395" s="18">
        <v>21386.68</v>
      </c>
      <c r="J395" s="24" t="s">
        <v>312</v>
      </c>
      <c r="K395" s="24" t="s">
        <v>312</v>
      </c>
      <c r="L395" s="56">
        <f>SUM(F395:K395)</f>
        <v>25835.1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4448.42</v>
      </c>
      <c r="I399" s="47">
        <f>SUM(I395:I398)</f>
        <v>21386.68</v>
      </c>
      <c r="J399" s="49" t="s">
        <v>312</v>
      </c>
      <c r="K399" s="49" t="s">
        <v>312</v>
      </c>
      <c r="L399" s="47">
        <f>SUM(L395:L398)</f>
        <v>25835.1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</v>
      </c>
      <c r="H400" s="47">
        <f>H385+H393+H399</f>
        <v>4748.3500000000004</v>
      </c>
      <c r="I400" s="47">
        <f>I385+I393+I399</f>
        <v>21386.68</v>
      </c>
      <c r="J400" s="24" t="s">
        <v>312</v>
      </c>
      <c r="K400" s="24" t="s">
        <v>312</v>
      </c>
      <c r="L400" s="47">
        <f>L385+L393+L399</f>
        <v>46135.03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125346</v>
      </c>
      <c r="L414" s="56">
        <f t="shared" si="29"/>
        <v>125346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125346</v>
      </c>
      <c r="L419" s="47">
        <f t="shared" si="30"/>
        <v>125346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894</v>
      </c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>
        <v>3490</v>
      </c>
      <c r="J421" s="18"/>
      <c r="K421" s="18">
        <v>7588.06</v>
      </c>
      <c r="L421" s="56">
        <f>SUM(F421:K421)</f>
        <v>11078.060000000001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3490</v>
      </c>
      <c r="J425" s="47">
        <f t="shared" si="31"/>
        <v>0</v>
      </c>
      <c r="K425" s="47">
        <f t="shared" si="31"/>
        <v>7588.06</v>
      </c>
      <c r="L425" s="47">
        <f t="shared" si="31"/>
        <v>11078.060000000001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3490</v>
      </c>
      <c r="J426" s="47">
        <f t="shared" si="32"/>
        <v>0</v>
      </c>
      <c r="K426" s="47">
        <f t="shared" si="32"/>
        <v>132934.06</v>
      </c>
      <c r="L426" s="47">
        <f t="shared" si="32"/>
        <v>136424.06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>
        <v>189473.67</v>
      </c>
      <c r="I432" s="56">
        <f t="shared" si="33"/>
        <v>189473.67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236395.58</v>
      </c>
      <c r="G434" s="18"/>
      <c r="H434" s="18"/>
      <c r="I434" s="56">
        <f t="shared" si="33"/>
        <v>236395.58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236395.58</v>
      </c>
      <c r="G438" s="13">
        <f>SUM(G431:G437)</f>
        <v>0</v>
      </c>
      <c r="H438" s="13">
        <f>SUM(H431:H437)</f>
        <v>189473.67</v>
      </c>
      <c r="I438" s="13">
        <f>SUM(I431:I437)</f>
        <v>425869.25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>
        <v>189473.67</v>
      </c>
      <c r="I448" s="56">
        <f>SUM(F448:H448)</f>
        <v>189473.67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236395.58</v>
      </c>
      <c r="G449" s="18"/>
      <c r="H449" s="18"/>
      <c r="I449" s="56">
        <f>SUM(F449:H449)</f>
        <v>236395.58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236395.58</v>
      </c>
      <c r="G450" s="83">
        <f>SUM(G446:G449)</f>
        <v>0</v>
      </c>
      <c r="H450" s="83">
        <f>SUM(H446:H449)</f>
        <v>189473.67</v>
      </c>
      <c r="I450" s="83">
        <f>SUM(I446:I449)</f>
        <v>425869.25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236395.58</v>
      </c>
      <c r="G451" s="42">
        <f>G444+G450</f>
        <v>0</v>
      </c>
      <c r="H451" s="42">
        <f>H444+H450</f>
        <v>189473.67</v>
      </c>
      <c r="I451" s="42">
        <f>I444+I450</f>
        <v>425869.25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217643.72</v>
      </c>
      <c r="G455" s="18">
        <v>15110.09</v>
      </c>
      <c r="H455" s="18">
        <v>1648.95</v>
      </c>
      <c r="I455" s="18"/>
      <c r="J455" s="18">
        <v>516158.28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9768791.9299999997</v>
      </c>
      <c r="G458" s="18">
        <f>G185</f>
        <v>245290.78999999998</v>
      </c>
      <c r="H458" s="18">
        <f>H185</f>
        <v>1333449.2599999998</v>
      </c>
      <c r="I458" s="18"/>
      <c r="J458" s="18">
        <f>J185</f>
        <v>46135.03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>
        <v>3459.19</v>
      </c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9768791.9299999997</v>
      </c>
      <c r="G460" s="53">
        <f>SUM(G458:G459)</f>
        <v>245290.78999999998</v>
      </c>
      <c r="H460" s="53">
        <f>SUM(H458:H459)</f>
        <v>1336908.4499999997</v>
      </c>
      <c r="I460" s="53">
        <f>SUM(I458:I459)</f>
        <v>0</v>
      </c>
      <c r="J460" s="53">
        <f>SUM(J458:J459)</f>
        <v>46135.03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9827737.9299999997</v>
      </c>
      <c r="G462" s="18">
        <f>L354</f>
        <v>249120.6</v>
      </c>
      <c r="H462" s="18">
        <f>L344</f>
        <v>1338229.6400000001</v>
      </c>
      <c r="I462" s="18"/>
      <c r="J462" s="18">
        <f>L426</f>
        <v>136424.06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9827737.9299999997</v>
      </c>
      <c r="G464" s="53">
        <f>SUM(G462:G463)</f>
        <v>249120.6</v>
      </c>
      <c r="H464" s="53">
        <f>SUM(H462:H463)</f>
        <v>1338229.6400000001</v>
      </c>
      <c r="I464" s="53">
        <f>SUM(I462:I463)</f>
        <v>0</v>
      </c>
      <c r="J464" s="53">
        <f>SUM(J462:J463)</f>
        <v>136424.06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158697.72000000067</v>
      </c>
      <c r="G466" s="53">
        <f>(G455+G460)- G464</f>
        <v>11280.27999999997</v>
      </c>
      <c r="H466" s="53">
        <f>(H455+H460)- H464</f>
        <v>327.75999999954365</v>
      </c>
      <c r="I466" s="53">
        <f>(I455+I460)- I464</f>
        <v>0</v>
      </c>
      <c r="J466" s="53">
        <f>(J455+J460)- J464</f>
        <v>425869.25000000006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898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5300000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5.58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2650000</v>
      </c>
      <c r="G485" s="18"/>
      <c r="H485" s="18"/>
      <c r="I485" s="18"/>
      <c r="J485" s="18"/>
      <c r="K485" s="53">
        <f>SUM(F485:J485)</f>
        <v>2650000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265000</v>
      </c>
      <c r="G487" s="18"/>
      <c r="H487" s="18"/>
      <c r="I487" s="18"/>
      <c r="J487" s="18"/>
      <c r="K487" s="53">
        <f t="shared" si="34"/>
        <v>265000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2385000</v>
      </c>
      <c r="G488" s="205"/>
      <c r="H488" s="205"/>
      <c r="I488" s="205"/>
      <c r="J488" s="205"/>
      <c r="K488" s="206">
        <f t="shared" si="34"/>
        <v>2385000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674160.06</v>
      </c>
      <c r="G489" s="18"/>
      <c r="H489" s="18"/>
      <c r="I489" s="18"/>
      <c r="J489" s="18"/>
      <c r="K489" s="53">
        <f t="shared" si="34"/>
        <v>674160.06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3059160.06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3059160.06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265000</v>
      </c>
      <c r="G491" s="205"/>
      <c r="H491" s="205"/>
      <c r="I491" s="205"/>
      <c r="J491" s="205"/>
      <c r="K491" s="206">
        <f t="shared" si="34"/>
        <v>265000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133758.76</v>
      </c>
      <c r="G492" s="18"/>
      <c r="H492" s="18"/>
      <c r="I492" s="18"/>
      <c r="J492" s="18"/>
      <c r="K492" s="53">
        <f t="shared" si="34"/>
        <v>133758.76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398758.76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398758.76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686076.77</v>
      </c>
      <c r="G511" s="18">
        <v>213236.3</v>
      </c>
      <c r="H511" s="18">
        <v>130833.92</v>
      </c>
      <c r="I511" s="18">
        <v>9480</v>
      </c>
      <c r="J511" s="18">
        <v>927</v>
      </c>
      <c r="K511" s="18">
        <v>1594.49</v>
      </c>
      <c r="L511" s="88">
        <f>SUM(F511:K511)</f>
        <v>1042148.4800000001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171566.21</v>
      </c>
      <c r="G512" s="18">
        <v>69177.789999999994</v>
      </c>
      <c r="H512" s="18">
        <v>47771.09</v>
      </c>
      <c r="I512" s="18">
        <v>963.45</v>
      </c>
      <c r="J512" s="18">
        <v>1145.2</v>
      </c>
      <c r="K512" s="18">
        <v>289.98</v>
      </c>
      <c r="L512" s="88">
        <f>SUM(F512:K512)</f>
        <v>290913.71999999997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288691.92</v>
      </c>
      <c r="G513" s="18">
        <v>109107.07</v>
      </c>
      <c r="H513" s="18">
        <v>802317.44</v>
      </c>
      <c r="I513" s="18">
        <v>1228.6600000000001</v>
      </c>
      <c r="J513" s="18">
        <v>2126.8000000000002</v>
      </c>
      <c r="K513" s="18">
        <v>712.52</v>
      </c>
      <c r="L513" s="88">
        <f>SUM(F513:K513)</f>
        <v>1204184.4099999999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1146334.8999999999</v>
      </c>
      <c r="G514" s="108">
        <f t="shared" ref="G514:L514" si="35">SUM(G511:G513)</f>
        <v>391521.16</v>
      </c>
      <c r="H514" s="108">
        <f t="shared" si="35"/>
        <v>980922.45</v>
      </c>
      <c r="I514" s="108">
        <f t="shared" si="35"/>
        <v>11672.11</v>
      </c>
      <c r="J514" s="108">
        <f t="shared" si="35"/>
        <v>4199</v>
      </c>
      <c r="K514" s="108">
        <f t="shared" si="35"/>
        <v>2596.9899999999998</v>
      </c>
      <c r="L514" s="89">
        <f t="shared" si="35"/>
        <v>2537246.6100000003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166295.67999999999</v>
      </c>
      <c r="G516" s="18">
        <v>58821.23</v>
      </c>
      <c r="H516" s="18">
        <v>83538.080000000002</v>
      </c>
      <c r="I516" s="18">
        <v>1167.45</v>
      </c>
      <c r="J516" s="18"/>
      <c r="K516" s="18"/>
      <c r="L516" s="88">
        <f>SUM(F516:K516)</f>
        <v>309822.44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23864.75</v>
      </c>
      <c r="G517" s="18">
        <v>7348.47</v>
      </c>
      <c r="H517" s="18">
        <v>16187.3</v>
      </c>
      <c r="I517" s="18">
        <v>386.42</v>
      </c>
      <c r="J517" s="18"/>
      <c r="K517" s="18"/>
      <c r="L517" s="88">
        <f>SUM(F517:K517)</f>
        <v>47786.94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36510.5</v>
      </c>
      <c r="G518" s="18">
        <v>12441.03</v>
      </c>
      <c r="H518" s="18">
        <v>12135.3</v>
      </c>
      <c r="I518" s="18">
        <v>731.13</v>
      </c>
      <c r="J518" s="18">
        <v>276.58999999999997</v>
      </c>
      <c r="K518" s="18"/>
      <c r="L518" s="88">
        <f>SUM(F518:K518)</f>
        <v>62094.549999999996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226670.93</v>
      </c>
      <c r="G519" s="89">
        <f t="shared" ref="G519:L519" si="36">SUM(G516:G518)</f>
        <v>78610.73</v>
      </c>
      <c r="H519" s="89">
        <f t="shared" si="36"/>
        <v>111860.68000000001</v>
      </c>
      <c r="I519" s="89">
        <f t="shared" si="36"/>
        <v>2285</v>
      </c>
      <c r="J519" s="89">
        <f t="shared" si="36"/>
        <v>276.58999999999997</v>
      </c>
      <c r="K519" s="89">
        <f t="shared" si="36"/>
        <v>0</v>
      </c>
      <c r="L519" s="89">
        <f t="shared" si="36"/>
        <v>419703.93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46229.43</v>
      </c>
      <c r="G521" s="18">
        <v>16492.689999999999</v>
      </c>
      <c r="H521" s="18"/>
      <c r="I521" s="18"/>
      <c r="J521" s="18"/>
      <c r="K521" s="18"/>
      <c r="L521" s="88">
        <f>SUM(F521:K521)</f>
        <v>62722.119999999995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20248.48</v>
      </c>
      <c r="G522" s="18">
        <v>7600.06</v>
      </c>
      <c r="H522" s="18"/>
      <c r="I522" s="18"/>
      <c r="J522" s="18"/>
      <c r="K522" s="18"/>
      <c r="L522" s="88">
        <f>SUM(F522:K522)</f>
        <v>27848.54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37604.31</v>
      </c>
      <c r="G523" s="18">
        <v>14114.4</v>
      </c>
      <c r="H523" s="18"/>
      <c r="I523" s="18"/>
      <c r="J523" s="18"/>
      <c r="K523" s="18"/>
      <c r="L523" s="88">
        <f>SUM(F523:K523)</f>
        <v>51718.71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104082.22</v>
      </c>
      <c r="G524" s="89">
        <f t="shared" ref="G524:L524" si="37">SUM(G521:G523)</f>
        <v>38207.15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142289.37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60</v>
      </c>
      <c r="I526" s="18"/>
      <c r="J526" s="18"/>
      <c r="K526" s="18"/>
      <c r="L526" s="88">
        <f>SUM(F526:K526)</f>
        <v>60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120</v>
      </c>
      <c r="I527" s="18"/>
      <c r="J527" s="18"/>
      <c r="K527" s="18"/>
      <c r="L527" s="88">
        <f>SUM(F527:K527)</f>
        <v>120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285</v>
      </c>
      <c r="I528" s="18"/>
      <c r="J528" s="18"/>
      <c r="K528" s="18"/>
      <c r="L528" s="88">
        <f>SUM(F528:K528)</f>
        <v>285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465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465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65007.5</v>
      </c>
      <c r="I531" s="18"/>
      <c r="J531" s="18"/>
      <c r="K531" s="18"/>
      <c r="L531" s="88">
        <f>SUM(F531:K531)</f>
        <v>65007.5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5453.13</v>
      </c>
      <c r="I532" s="18"/>
      <c r="J532" s="18"/>
      <c r="K532" s="18"/>
      <c r="L532" s="88">
        <f>SUM(F532:K532)</f>
        <v>5453.13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250467.15</v>
      </c>
      <c r="I533" s="18"/>
      <c r="J533" s="18"/>
      <c r="K533" s="18"/>
      <c r="L533" s="88">
        <f>SUM(F533:K533)</f>
        <v>250467.15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320927.78000000003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320927.78000000003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1477088.0499999998</v>
      </c>
      <c r="G535" s="89">
        <f t="shared" ref="G535:L535" si="40">G514+G519+G524+G529+G534</f>
        <v>508339.04</v>
      </c>
      <c r="H535" s="89">
        <f t="shared" si="40"/>
        <v>1414175.91</v>
      </c>
      <c r="I535" s="89">
        <f t="shared" si="40"/>
        <v>13957.11</v>
      </c>
      <c r="J535" s="89">
        <f t="shared" si="40"/>
        <v>4475.59</v>
      </c>
      <c r="K535" s="89">
        <f t="shared" si="40"/>
        <v>2596.9899999999998</v>
      </c>
      <c r="L535" s="89">
        <f t="shared" si="40"/>
        <v>3420632.6900000004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1042148.4800000001</v>
      </c>
      <c r="G539" s="87">
        <f>L516</f>
        <v>309822.44</v>
      </c>
      <c r="H539" s="87">
        <f>L521</f>
        <v>62722.119999999995</v>
      </c>
      <c r="I539" s="87">
        <f>L526</f>
        <v>60</v>
      </c>
      <c r="J539" s="87">
        <f>L531</f>
        <v>65007.5</v>
      </c>
      <c r="K539" s="87">
        <f>SUM(F539:J539)</f>
        <v>1479760.54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290913.71999999997</v>
      </c>
      <c r="G540" s="87">
        <f>L517</f>
        <v>47786.94</v>
      </c>
      <c r="H540" s="87">
        <f>L522</f>
        <v>27848.54</v>
      </c>
      <c r="I540" s="87">
        <f>L527</f>
        <v>120</v>
      </c>
      <c r="J540" s="87">
        <f>L532</f>
        <v>5453.13</v>
      </c>
      <c r="K540" s="87">
        <f>SUM(F540:J540)</f>
        <v>372122.32999999996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1204184.4099999999</v>
      </c>
      <c r="G541" s="87">
        <f>L518</f>
        <v>62094.549999999996</v>
      </c>
      <c r="H541" s="87">
        <f>L523</f>
        <v>51718.71</v>
      </c>
      <c r="I541" s="87">
        <f>L528</f>
        <v>285</v>
      </c>
      <c r="J541" s="87">
        <f>L533</f>
        <v>250467.15</v>
      </c>
      <c r="K541" s="87">
        <f>SUM(F541:J541)</f>
        <v>1568749.8199999998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2537246.6100000003</v>
      </c>
      <c r="G542" s="89">
        <f t="shared" si="41"/>
        <v>419703.93</v>
      </c>
      <c r="H542" s="89">
        <f t="shared" si="41"/>
        <v>142289.37</v>
      </c>
      <c r="I542" s="89">
        <f t="shared" si="41"/>
        <v>465</v>
      </c>
      <c r="J542" s="89">
        <f t="shared" si="41"/>
        <v>320927.78000000003</v>
      </c>
      <c r="K542" s="89">
        <f t="shared" si="41"/>
        <v>3420632.69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>
        <v>1312.5</v>
      </c>
      <c r="I552" s="18"/>
      <c r="J552" s="18"/>
      <c r="K552" s="18"/>
      <c r="L552" s="88">
        <f>SUM(F552:K552)</f>
        <v>1312.5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1312.5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1312.5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1312.5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1312.5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325</v>
      </c>
      <c r="I565" s="87">
        <f>SUM(F565:H565)</f>
        <v>325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37604</v>
      </c>
      <c r="G569" s="18">
        <v>62947.59</v>
      </c>
      <c r="H569" s="18"/>
      <c r="I569" s="87">
        <f t="shared" si="46"/>
        <v>100551.59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3434.72</v>
      </c>
      <c r="G572" s="18"/>
      <c r="H572" s="18">
        <v>775822.03</v>
      </c>
      <c r="I572" s="87">
        <f t="shared" si="46"/>
        <v>779256.75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10229.39</v>
      </c>
      <c r="I574" s="87">
        <f t="shared" si="46"/>
        <v>10229.39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87358.47</v>
      </c>
      <c r="I581" s="18">
        <v>28525.22</v>
      </c>
      <c r="J581" s="18">
        <v>62398.91</v>
      </c>
      <c r="K581" s="104">
        <f t="shared" ref="K581:K587" si="47">SUM(H581:J581)</f>
        <v>178282.6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65007.5</v>
      </c>
      <c r="I582" s="18">
        <v>5453.13</v>
      </c>
      <c r="J582" s="18">
        <v>250467.15</v>
      </c>
      <c r="K582" s="104">
        <f t="shared" si="47"/>
        <v>320927.78000000003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27720</v>
      </c>
      <c r="K583" s="104">
        <f t="shared" si="47"/>
        <v>27720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6368.13</v>
      </c>
      <c r="J584" s="18">
        <v>12735.57</v>
      </c>
      <c r="K584" s="104">
        <f t="shared" si="47"/>
        <v>19103.7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>
        <v>483</v>
      </c>
      <c r="J585" s="18">
        <v>222.6</v>
      </c>
      <c r="K585" s="104">
        <f t="shared" si="47"/>
        <v>705.6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152365.97</v>
      </c>
      <c r="I588" s="108">
        <f>SUM(I581:I587)</f>
        <v>40829.479999999996</v>
      </c>
      <c r="J588" s="108">
        <f>SUM(J581:J587)</f>
        <v>353544.23</v>
      </c>
      <c r="K588" s="108">
        <f>SUM(K581:K587)</f>
        <v>546739.67999999993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45107.33</v>
      </c>
      <c r="I594" s="18">
        <v>5578.32</v>
      </c>
      <c r="J594" s="18">
        <v>9812.23</v>
      </c>
      <c r="K594" s="104">
        <f>SUM(H594:J594)</f>
        <v>60497.880000000005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45107.33</v>
      </c>
      <c r="I595" s="108">
        <f>SUM(I592:I594)</f>
        <v>5578.32</v>
      </c>
      <c r="J595" s="108">
        <f>SUM(J592:J594)</f>
        <v>9812.23</v>
      </c>
      <c r="K595" s="108">
        <f>SUM(K592:K594)</f>
        <v>60497.880000000005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3259</v>
      </c>
      <c r="G603" s="18">
        <v>539.53</v>
      </c>
      <c r="H603" s="18"/>
      <c r="I603" s="18"/>
      <c r="J603" s="18"/>
      <c r="K603" s="18"/>
      <c r="L603" s="88">
        <f>SUM(F603:K603)</f>
        <v>3798.5299999999997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3259</v>
      </c>
      <c r="G604" s="108">
        <f t="shared" si="48"/>
        <v>539.53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3798.5299999999997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409855.16000000003</v>
      </c>
      <c r="H607" s="109">
        <f>SUM(F44)</f>
        <v>409855.16000000003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49260.270000000004</v>
      </c>
      <c r="H608" s="109">
        <f>SUM(G44)</f>
        <v>49260.27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184974.49</v>
      </c>
      <c r="H609" s="109">
        <f>SUM(H44)</f>
        <v>184974.49000000002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425869.25</v>
      </c>
      <c r="H611" s="109">
        <f>SUM(J44)</f>
        <v>425869.25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158697.72</v>
      </c>
      <c r="H612" s="109">
        <f>F466</f>
        <v>158697.72000000067</v>
      </c>
      <c r="I612" s="121" t="s">
        <v>106</v>
      </c>
      <c r="J612" s="109">
        <f t="shared" ref="J612:J645" si="49">G612-H612</f>
        <v>-6.6938810050487518E-10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11280.28</v>
      </c>
      <c r="H613" s="109">
        <f>G466</f>
        <v>11280.27999999997</v>
      </c>
      <c r="I613" s="121" t="s">
        <v>108</v>
      </c>
      <c r="J613" s="109">
        <f t="shared" si="49"/>
        <v>3.092281986027956E-11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327.76</v>
      </c>
      <c r="H614" s="109">
        <f>H466</f>
        <v>327.75999999954365</v>
      </c>
      <c r="I614" s="121" t="s">
        <v>110</v>
      </c>
      <c r="J614" s="109">
        <f t="shared" si="49"/>
        <v>4.5633896661456674E-10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425869.25</v>
      </c>
      <c r="H616" s="109">
        <f>J466</f>
        <v>425869.25000000006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9768791.9299999997</v>
      </c>
      <c r="H617" s="104">
        <f>SUM(F458)</f>
        <v>9768791.9299999997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245290.78999999998</v>
      </c>
      <c r="H618" s="104">
        <f>SUM(G458)</f>
        <v>245290.78999999998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1333449.2599999998</v>
      </c>
      <c r="H619" s="104">
        <f>SUM(H458)</f>
        <v>1333449.2599999998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46135.03</v>
      </c>
      <c r="H621" s="104">
        <f>SUM(J458)</f>
        <v>46135.03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9827737.9299999997</v>
      </c>
      <c r="H622" s="104">
        <f>SUM(F462)</f>
        <v>9827737.9299999997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1338229.6400000001</v>
      </c>
      <c r="H623" s="104">
        <f>SUM(H462)</f>
        <v>1338229.6400000001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128776.03</v>
      </c>
      <c r="H624" s="104">
        <f>I361</f>
        <v>128776.03000000001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249120.6</v>
      </c>
      <c r="H625" s="104">
        <f>SUM(G462)</f>
        <v>249120.6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46135.03</v>
      </c>
      <c r="H627" s="164">
        <f>SUM(J458)</f>
        <v>46135.03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136424.06</v>
      </c>
      <c r="H628" s="164">
        <f>SUM(J462)</f>
        <v>136424.06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236395.58</v>
      </c>
      <c r="H629" s="104">
        <f>SUM(F451)</f>
        <v>236395.58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189473.67</v>
      </c>
      <c r="H631" s="104">
        <f>SUM(H451)</f>
        <v>189473.67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425869.25</v>
      </c>
      <c r="H632" s="104">
        <f>SUM(I451)</f>
        <v>425869.25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4748.3500000000004</v>
      </c>
      <c r="H634" s="104">
        <f>H400</f>
        <v>4748.3500000000004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</v>
      </c>
      <c r="H635" s="104">
        <f>G400</f>
        <v>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46135.03</v>
      </c>
      <c r="H636" s="104">
        <f>L400</f>
        <v>46135.03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546739.67999999993</v>
      </c>
      <c r="H637" s="104">
        <f>L200+L218+L236</f>
        <v>546739.67999999993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60497.880000000005</v>
      </c>
      <c r="H638" s="104">
        <f>(J249+J330)-(J247+J328)</f>
        <v>60497.880000000005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152365.97</v>
      </c>
      <c r="H639" s="104">
        <f>H588</f>
        <v>152365.97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40829.480000000003</v>
      </c>
      <c r="H640" s="104">
        <f>I588</f>
        <v>40829.479999999996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353544.23</v>
      </c>
      <c r="H641" s="104">
        <f>J588</f>
        <v>353544.23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12000</v>
      </c>
      <c r="H642" s="104">
        <f>K255+K337</f>
        <v>12000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</v>
      </c>
      <c r="H645" s="104">
        <f>K258+K339</f>
        <v>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4834481.8400000008</v>
      </c>
      <c r="G650" s="19">
        <f>(L221+L301+L351)</f>
        <v>1724582.1599999997</v>
      </c>
      <c r="H650" s="19">
        <f>(L239+L320+L352)</f>
        <v>4145465.1900000004</v>
      </c>
      <c r="I650" s="19">
        <f>SUM(F650:H650)</f>
        <v>10704529.190000001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40573.377729030035</v>
      </c>
      <c r="G651" s="19">
        <f>(L351/IF(SUM(L350:L352)=0,1,SUM(L350:L352))*(SUM(G89:G102)))</f>
        <v>15709.188274312921</v>
      </c>
      <c r="H651" s="19">
        <f>(L352/IF(SUM(L350:L352)=0,1,SUM(L350:L352))*(SUM(G89:G102)))</f>
        <v>31593.973996657041</v>
      </c>
      <c r="I651" s="19">
        <f>SUM(F651:H651)</f>
        <v>87876.540000000008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158966.19</v>
      </c>
      <c r="G652" s="19">
        <f>(L218+L298)-(J218+J298)</f>
        <v>44112.800000000003</v>
      </c>
      <c r="H652" s="19">
        <f>(L236+L317)-(J236+J317)</f>
        <v>357961.91</v>
      </c>
      <c r="I652" s="19">
        <f>SUM(F652:H652)</f>
        <v>561040.89999999991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86146.05</v>
      </c>
      <c r="G653" s="200">
        <f>SUM(G565:G577)+SUM(I592:I594)+L602</f>
        <v>68525.91</v>
      </c>
      <c r="H653" s="200">
        <f>SUM(H565:H577)+SUM(J592:J594)+L603</f>
        <v>799987.18</v>
      </c>
      <c r="I653" s="19">
        <f>SUM(F653:H653)</f>
        <v>954659.14000000013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4548796.2222709712</v>
      </c>
      <c r="G654" s="19">
        <f>G650-SUM(G651:G653)</f>
        <v>1596234.2617256867</v>
      </c>
      <c r="H654" s="19">
        <f>H650-SUM(H651:H653)</f>
        <v>2955922.1260033436</v>
      </c>
      <c r="I654" s="19">
        <f>I650-SUM(I651:I653)</f>
        <v>9100952.6100000013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295.89999999999998</v>
      </c>
      <c r="G655" s="249">
        <v>86.55</v>
      </c>
      <c r="H655" s="249">
        <v>148.32</v>
      </c>
      <c r="I655" s="19">
        <f>SUM(F655:H655)</f>
        <v>530.77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15372.75</v>
      </c>
      <c r="G657" s="19">
        <f>ROUND(G654/G655,2)</f>
        <v>18442.91</v>
      </c>
      <c r="H657" s="19">
        <f>ROUND(H654/H655,2)</f>
        <v>19929.36</v>
      </c>
      <c r="I657" s="19">
        <f>ROUND(I654/I655,2)</f>
        <v>17146.7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-2.1</v>
      </c>
      <c r="I660" s="19">
        <f>SUM(F660:H660)</f>
        <v>-2.1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15372.75</v>
      </c>
      <c r="G662" s="19">
        <f>ROUND((G654+G659)/(G655+G660),2)</f>
        <v>18442.91</v>
      </c>
      <c r="H662" s="19">
        <f>ROUND((H654+H659)/(H655+H660),2)</f>
        <v>20215.580000000002</v>
      </c>
      <c r="I662" s="19">
        <f>ROUND((I654+I659)/(I655+I660),2)</f>
        <v>17214.810000000001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C334-AC40-4472-ABB6-B66246A40853}">
  <sheetPr>
    <tabColor indexed="20"/>
  </sheetPr>
  <dimension ref="A1:C52"/>
  <sheetViews>
    <sheetView topLeftCell="A13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PITTSFIELD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2115798.9299999997</v>
      </c>
      <c r="C9" s="230">
        <f>'DOE25'!G189+'DOE25'!G207+'DOE25'!G225+'DOE25'!G268+'DOE25'!G287+'DOE25'!G306</f>
        <v>945612.48</v>
      </c>
    </row>
    <row r="10" spans="1:3" x14ac:dyDescent="0.2">
      <c r="A10" t="s">
        <v>810</v>
      </c>
      <c r="B10" s="241">
        <v>1842617.94</v>
      </c>
      <c r="C10" s="241">
        <v>892984.48</v>
      </c>
    </row>
    <row r="11" spans="1:3" x14ac:dyDescent="0.2">
      <c r="A11" t="s">
        <v>811</v>
      </c>
      <c r="B11" s="241">
        <v>224128.53</v>
      </c>
      <c r="C11" s="241">
        <v>48713.62</v>
      </c>
    </row>
    <row r="12" spans="1:3" x14ac:dyDescent="0.2">
      <c r="A12" t="s">
        <v>812</v>
      </c>
      <c r="B12" s="241">
        <v>49052.46</v>
      </c>
      <c r="C12" s="241">
        <v>3914.38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2115798.9300000002</v>
      </c>
      <c r="C13" s="232">
        <f>SUM(C10:C12)</f>
        <v>945612.48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1146334.8999999999</v>
      </c>
      <c r="C18" s="230">
        <f>'DOE25'!G190+'DOE25'!G208+'DOE25'!G226+'DOE25'!G269+'DOE25'!G288+'DOE25'!G307</f>
        <v>396009.50000000006</v>
      </c>
    </row>
    <row r="19" spans="1:3" x14ac:dyDescent="0.2">
      <c r="A19" t="s">
        <v>810</v>
      </c>
      <c r="B19" s="241">
        <v>483997.24</v>
      </c>
      <c r="C19" s="241">
        <v>245949.3</v>
      </c>
    </row>
    <row r="20" spans="1:3" x14ac:dyDescent="0.2">
      <c r="A20" t="s">
        <v>811</v>
      </c>
      <c r="B20" s="241">
        <v>662337.66</v>
      </c>
      <c r="C20" s="241">
        <v>150060.20000000001</v>
      </c>
    </row>
    <row r="21" spans="1:3" x14ac:dyDescent="0.2">
      <c r="A21" t="s">
        <v>812</v>
      </c>
      <c r="B21" s="241">
        <v>0</v>
      </c>
      <c r="C21" s="241">
        <v>0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1146334.8999999999</v>
      </c>
      <c r="C22" s="232">
        <f>SUM(C19:C21)</f>
        <v>396009.5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52596.5</v>
      </c>
      <c r="C36" s="236">
        <f>'DOE25'!G192+'DOE25'!G210+'DOE25'!G228+'DOE25'!G271+'DOE25'!G290+'DOE25'!G309</f>
        <v>6436.3799999999992</v>
      </c>
    </row>
    <row r="37" spans="1:3" x14ac:dyDescent="0.2">
      <c r="A37" t="s">
        <v>810</v>
      </c>
      <c r="B37" s="241">
        <v>18294.5</v>
      </c>
      <c r="C37" s="241">
        <v>3015.66</v>
      </c>
    </row>
    <row r="38" spans="1:3" x14ac:dyDescent="0.2">
      <c r="A38" t="s">
        <v>811</v>
      </c>
      <c r="B38" s="241">
        <v>5678</v>
      </c>
      <c r="C38" s="241">
        <v>1001.25</v>
      </c>
    </row>
    <row r="39" spans="1:3" x14ac:dyDescent="0.2">
      <c r="A39" t="s">
        <v>812</v>
      </c>
      <c r="B39" s="241">
        <v>28624</v>
      </c>
      <c r="C39" s="241">
        <v>2419.4699999999998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52596.5</v>
      </c>
      <c r="C40" s="232">
        <f>SUM(C37:C39)</f>
        <v>6436.3799999999992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A474-AA16-41B2-8CAE-9770D2AB3F07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PITTSFIELD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5485317.0199999996</v>
      </c>
      <c r="D5" s="20">
        <f>SUM('DOE25'!L189:L192)+SUM('DOE25'!L207:L210)+SUM('DOE25'!L225:L228)-F5-G5</f>
        <v>5461877.4399999995</v>
      </c>
      <c r="E5" s="244"/>
      <c r="F5" s="256">
        <f>SUM('DOE25'!J189:J192)+SUM('DOE25'!J207:J210)+SUM('DOE25'!J225:J228)</f>
        <v>450</v>
      </c>
      <c r="G5" s="53">
        <f>SUM('DOE25'!K189:K192)+SUM('DOE25'!K207:K210)+SUM('DOE25'!K225:K228)</f>
        <v>22989.58</v>
      </c>
      <c r="H5" s="260"/>
    </row>
    <row r="6" spans="1:9" x14ac:dyDescent="0.2">
      <c r="A6" s="32">
        <v>2100</v>
      </c>
      <c r="B6" t="s">
        <v>832</v>
      </c>
      <c r="C6" s="246">
        <f t="shared" si="0"/>
        <v>784209.77</v>
      </c>
      <c r="D6" s="20">
        <f>'DOE25'!L194+'DOE25'!L212+'DOE25'!L230-F6-G6</f>
        <v>783488.18</v>
      </c>
      <c r="E6" s="244"/>
      <c r="F6" s="256">
        <f>'DOE25'!J194+'DOE25'!J212+'DOE25'!J230</f>
        <v>276.58999999999997</v>
      </c>
      <c r="G6" s="53">
        <f>'DOE25'!K194+'DOE25'!K212+'DOE25'!K230</f>
        <v>445</v>
      </c>
      <c r="H6" s="260"/>
    </row>
    <row r="7" spans="1:9" x14ac:dyDescent="0.2">
      <c r="A7" s="32">
        <v>2200</v>
      </c>
      <c r="B7" t="s">
        <v>865</v>
      </c>
      <c r="C7" s="246">
        <f t="shared" si="0"/>
        <v>349099.50999999995</v>
      </c>
      <c r="D7" s="20">
        <f>'DOE25'!L195+'DOE25'!L213+'DOE25'!L231-F7-G7</f>
        <v>332082.55999999994</v>
      </c>
      <c r="E7" s="244"/>
      <c r="F7" s="256">
        <f>'DOE25'!J195+'DOE25'!J213+'DOE25'!J231</f>
        <v>3729</v>
      </c>
      <c r="G7" s="53">
        <f>'DOE25'!K195+'DOE25'!K213+'DOE25'!K231</f>
        <v>13287.949999999999</v>
      </c>
      <c r="H7" s="260"/>
    </row>
    <row r="8" spans="1:9" x14ac:dyDescent="0.2">
      <c r="A8" s="32">
        <v>2300</v>
      </c>
      <c r="B8" t="s">
        <v>833</v>
      </c>
      <c r="C8" s="246">
        <f t="shared" si="0"/>
        <v>79170.749999999971</v>
      </c>
      <c r="D8" s="244"/>
      <c r="E8" s="20">
        <f>'DOE25'!L196+'DOE25'!L214+'DOE25'!L232-F8-G8-D9-D11</f>
        <v>73088.27999999997</v>
      </c>
      <c r="F8" s="256">
        <f>'DOE25'!J196+'DOE25'!J214+'DOE25'!J232</f>
        <v>0</v>
      </c>
      <c r="G8" s="53">
        <f>'DOE25'!K196+'DOE25'!K214+'DOE25'!K232</f>
        <v>6082.47</v>
      </c>
      <c r="H8" s="260"/>
    </row>
    <row r="9" spans="1:9" x14ac:dyDescent="0.2">
      <c r="A9" s="32">
        <v>2310</v>
      </c>
      <c r="B9" t="s">
        <v>849</v>
      </c>
      <c r="C9" s="246">
        <f t="shared" si="0"/>
        <v>47972.27</v>
      </c>
      <c r="D9" s="245">
        <v>47972.27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7500</v>
      </c>
      <c r="D10" s="244"/>
      <c r="E10" s="245">
        <v>7500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238474.51</v>
      </c>
      <c r="D11" s="245">
        <v>238474.51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821612.83000000007</v>
      </c>
      <c r="D12" s="20">
        <f>'DOE25'!L197+'DOE25'!L215+'DOE25'!L233-F12-G12</f>
        <v>814194.62000000011</v>
      </c>
      <c r="E12" s="244"/>
      <c r="F12" s="256">
        <f>'DOE25'!J197+'DOE25'!J215+'DOE25'!J233</f>
        <v>0</v>
      </c>
      <c r="G12" s="53">
        <f>'DOE25'!K197+'DOE25'!K215+'DOE25'!K233</f>
        <v>7418.21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785157.87999999989</v>
      </c>
      <c r="D14" s="20">
        <f>'DOE25'!L199+'DOE25'!L217+'DOE25'!L235-F14-G14</f>
        <v>783279.44999999984</v>
      </c>
      <c r="E14" s="244"/>
      <c r="F14" s="256">
        <f>'DOE25'!J199+'DOE25'!J217+'DOE25'!J235</f>
        <v>1678.4299999999998</v>
      </c>
      <c r="G14" s="53">
        <f>'DOE25'!K199+'DOE25'!K217+'DOE25'!K235</f>
        <v>200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546739.67999999993</v>
      </c>
      <c r="D15" s="20">
        <f>'DOE25'!L200+'DOE25'!L218+'DOE25'!L236-F15-G15</f>
        <v>546739.67999999993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234846</v>
      </c>
      <c r="D22" s="244"/>
      <c r="E22" s="244"/>
      <c r="F22" s="256">
        <f>'DOE25'!L247+'DOE25'!L328</f>
        <v>234846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413333.76000000001</v>
      </c>
      <c r="D25" s="244"/>
      <c r="E25" s="244"/>
      <c r="F25" s="259"/>
      <c r="G25" s="257"/>
      <c r="H25" s="258">
        <f>'DOE25'!L252+'DOE25'!L253+'DOE25'!L333+'DOE25'!L334</f>
        <v>413333.76000000001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126781.87</v>
      </c>
      <c r="D29" s="20">
        <f>'DOE25'!L350+'DOE25'!L351+'DOE25'!L352-'DOE25'!I359-F29-G29</f>
        <v>123398.87</v>
      </c>
      <c r="E29" s="244"/>
      <c r="F29" s="256">
        <f>'DOE25'!J350+'DOE25'!J351+'DOE25'!J352</f>
        <v>3338</v>
      </c>
      <c r="G29" s="53">
        <f>'DOE25'!K350+'DOE25'!K351+'DOE25'!K352</f>
        <v>45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1326563.6200000001</v>
      </c>
      <c r="D31" s="20">
        <f>'DOE25'!L282+'DOE25'!L301+'DOE25'!L320+'DOE25'!L325+'DOE25'!L326+'DOE25'!L327-F31-G31</f>
        <v>1272182.07</v>
      </c>
      <c r="E31" s="244"/>
      <c r="F31" s="256">
        <f>'DOE25'!J282+'DOE25'!J301+'DOE25'!J320+'DOE25'!J325+'DOE25'!J326+'DOE25'!J327</f>
        <v>54363.86</v>
      </c>
      <c r="G31" s="53">
        <f>'DOE25'!K282+'DOE25'!K301+'DOE25'!K320+'DOE25'!K325+'DOE25'!K326+'DOE25'!K327</f>
        <v>17.690000000000001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10403689.649999997</v>
      </c>
      <c r="E33" s="247">
        <f>SUM(E5:E31)</f>
        <v>80588.27999999997</v>
      </c>
      <c r="F33" s="247">
        <f>SUM(F5:F31)</f>
        <v>298681.88</v>
      </c>
      <c r="G33" s="247">
        <f>SUM(G5:G31)</f>
        <v>50485.9</v>
      </c>
      <c r="H33" s="247">
        <f>SUM(H5:H31)</f>
        <v>413333.76000000001</v>
      </c>
    </row>
    <row r="35" spans="2:8" ht="12" thickBot="1" x14ac:dyDescent="0.25">
      <c r="B35" s="254" t="s">
        <v>878</v>
      </c>
      <c r="D35" s="255">
        <f>E33</f>
        <v>80588.27999999997</v>
      </c>
      <c r="E35" s="250"/>
    </row>
    <row r="36" spans="2:8" ht="12" thickTop="1" x14ac:dyDescent="0.2">
      <c r="B36" t="s">
        <v>846</v>
      </c>
      <c r="D36" s="20">
        <f>D33</f>
        <v>10403689.649999997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A089-1323-4F54-99CF-3BD80D7BD6C5}">
  <sheetPr transitionEvaluation="1" codeName="Sheet2">
    <tabColor indexed="10"/>
  </sheetPr>
  <dimension ref="A1:I156"/>
  <sheetViews>
    <sheetView zoomScale="75" workbookViewId="0">
      <pane ySplit="2" topLeftCell="A123" activePane="bottomLeft" state="frozen"/>
      <selection pane="bottomLeft" activeCell="C133" sqref="C13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PITTSFIELD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183210.81</v>
      </c>
      <c r="D9" s="95">
        <f>'DOE25'!G9</f>
        <v>12929.08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189473.67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187378.76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37190.75</v>
      </c>
      <c r="D13" s="95">
        <f>'DOE25'!G13</f>
        <v>28524.36</v>
      </c>
      <c r="E13" s="95">
        <f>'DOE25'!H13</f>
        <v>184974.49</v>
      </c>
      <c r="F13" s="95">
        <f>'DOE25'!I13</f>
        <v>0</v>
      </c>
      <c r="G13" s="95">
        <f>'DOE25'!J13</f>
        <v>236395.58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2074.84</v>
      </c>
      <c r="D14" s="95">
        <f>'DOE25'!G14</f>
        <v>529.15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7277.68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409855.16000000003</v>
      </c>
      <c r="D19" s="41">
        <f>SUM(D9:D18)</f>
        <v>49260.270000000004</v>
      </c>
      <c r="E19" s="41">
        <f>SUM(E9:E18)</f>
        <v>184974.49</v>
      </c>
      <c r="F19" s="41">
        <f>SUM(F9:F18)</f>
        <v>0</v>
      </c>
      <c r="G19" s="41">
        <f>SUM(G9:G18)</f>
        <v>425869.25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30963.57</v>
      </c>
      <c r="E22" s="95">
        <f>'DOE25'!H23</f>
        <v>156415.19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68444.66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182712.78</v>
      </c>
      <c r="D28" s="95">
        <f>'DOE25'!G29</f>
        <v>7016.42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28231.54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251157.44</v>
      </c>
      <c r="D32" s="41">
        <f>SUM(D22:D31)</f>
        <v>37979.99</v>
      </c>
      <c r="E32" s="41">
        <f>SUM(E22:E31)</f>
        <v>184646.73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7277.68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189473.67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4002.6</v>
      </c>
      <c r="E40" s="95">
        <f>'DOE25'!H41</f>
        <v>327.76</v>
      </c>
      <c r="F40" s="95">
        <f>'DOE25'!I41</f>
        <v>0</v>
      </c>
      <c r="G40" s="95">
        <f>'DOE25'!J41</f>
        <v>236395.58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108697.72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158697.72</v>
      </c>
      <c r="D42" s="41">
        <f>SUM(D34:D41)</f>
        <v>11280.28</v>
      </c>
      <c r="E42" s="41">
        <f>SUM(E34:E41)</f>
        <v>327.76</v>
      </c>
      <c r="F42" s="41">
        <f>SUM(F34:F41)</f>
        <v>0</v>
      </c>
      <c r="G42" s="41">
        <f>SUM(G34:G41)</f>
        <v>425869.25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409855.16000000003</v>
      </c>
      <c r="D43" s="41">
        <f>D42+D32</f>
        <v>49260.27</v>
      </c>
      <c r="E43" s="41">
        <f>E42+E32</f>
        <v>184974.49000000002</v>
      </c>
      <c r="F43" s="41">
        <f>F42+F32</f>
        <v>0</v>
      </c>
      <c r="G43" s="41">
        <f>G42+G32</f>
        <v>425869.25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4139301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460.49</v>
      </c>
      <c r="D51" s="95">
        <f>'DOE25'!G88</f>
        <v>35</v>
      </c>
      <c r="E51" s="95">
        <f>'DOE25'!H88</f>
        <v>0</v>
      </c>
      <c r="F51" s="95">
        <f>'DOE25'!I88</f>
        <v>0</v>
      </c>
      <c r="G51" s="95">
        <f>'DOE25'!J88</f>
        <v>4748.3500000000004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87876.54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100</v>
      </c>
      <c r="D53" s="95">
        <f>SUM('DOE25'!G90:G102)</f>
        <v>0</v>
      </c>
      <c r="E53" s="95">
        <f>SUM('DOE25'!H90:H102)</f>
        <v>102492.92</v>
      </c>
      <c r="F53" s="95">
        <f>SUM('DOE25'!I90:I102)</f>
        <v>0</v>
      </c>
      <c r="G53" s="95">
        <f>SUM('DOE25'!J90:J102)</f>
        <v>21386.68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560.49</v>
      </c>
      <c r="D54" s="130">
        <f>SUM(D49:D53)</f>
        <v>87911.54</v>
      </c>
      <c r="E54" s="130">
        <f>SUM(E49:E53)</f>
        <v>102492.92</v>
      </c>
      <c r="F54" s="130">
        <f>SUM(F49:F53)</f>
        <v>0</v>
      </c>
      <c r="G54" s="130">
        <f>SUM(G49:G53)</f>
        <v>26135.03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4139861.49</v>
      </c>
      <c r="D55" s="22">
        <f>D48+D54</f>
        <v>87911.54</v>
      </c>
      <c r="E55" s="22">
        <f>E48+E54</f>
        <v>102492.92</v>
      </c>
      <c r="F55" s="22">
        <f>F48+F54</f>
        <v>0</v>
      </c>
      <c r="G55" s="22">
        <f>G48+G54</f>
        <v>26135.03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4054980.02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679960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147072.98000000001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4882013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97763.28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289288.65000000002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2994.16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4350</v>
      </c>
      <c r="D69" s="95">
        <f>SUM('DOE25'!G123:G127)</f>
        <v>2696.81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394396.09</v>
      </c>
      <c r="D70" s="130">
        <f>SUM(D64:D69)</f>
        <v>2696.81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5276409.09</v>
      </c>
      <c r="D73" s="130">
        <f>SUM(D71:D72)+D70+D62</f>
        <v>2696.81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215509.33</v>
      </c>
      <c r="D80" s="95">
        <f>SUM('DOE25'!G145:G153)</f>
        <v>142682.44</v>
      </c>
      <c r="E80" s="95">
        <f>SUM('DOE25'!H145:H153)</f>
        <v>1227257.1299999999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3699.21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215509.33</v>
      </c>
      <c r="D83" s="131">
        <f>SUM(D77:D82)</f>
        <v>142682.44</v>
      </c>
      <c r="E83" s="131">
        <f>SUM(E77:E82)</f>
        <v>1230956.3399999999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12000</v>
      </c>
      <c r="E88" s="95">
        <f>'DOE25'!H171</f>
        <v>0</v>
      </c>
      <c r="F88" s="95">
        <f>'DOE25'!I171</f>
        <v>0</v>
      </c>
      <c r="G88" s="95">
        <f>'DOE25'!J171</f>
        <v>20000</v>
      </c>
    </row>
    <row r="89" spans="1:7" x14ac:dyDescent="0.2">
      <c r="A89" t="s">
        <v>789</v>
      </c>
      <c r="B89" s="32" t="s">
        <v>211</v>
      </c>
      <c r="C89" s="95">
        <f>SUM('DOE25'!F172:F173)</f>
        <v>11666.02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125346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137012.01999999999</v>
      </c>
      <c r="D95" s="86">
        <f>SUM(D85:D94)</f>
        <v>12000</v>
      </c>
      <c r="E95" s="86">
        <f>SUM(E85:E94)</f>
        <v>0</v>
      </c>
      <c r="F95" s="86">
        <f>SUM(F85:F94)</f>
        <v>0</v>
      </c>
      <c r="G95" s="86">
        <f>SUM(G85:G94)</f>
        <v>20000</v>
      </c>
    </row>
    <row r="96" spans="1:7" ht="12.75" thickTop="1" thickBot="1" x14ac:dyDescent="0.25">
      <c r="A96" s="33" t="s">
        <v>796</v>
      </c>
      <c r="C96" s="86">
        <f>C55+C73+C83+C95</f>
        <v>9768791.9299999997</v>
      </c>
      <c r="D96" s="86">
        <f>D55+D73+D83+D95</f>
        <v>245290.78999999998</v>
      </c>
      <c r="E96" s="86">
        <f>E55+E73+E83+E95</f>
        <v>1333449.2599999998</v>
      </c>
      <c r="F96" s="86">
        <f>F55+F73+F83+F95</f>
        <v>0</v>
      </c>
      <c r="G96" s="86">
        <f>G55+G73+G95</f>
        <v>46135.03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2940828.67</v>
      </c>
      <c r="D101" s="24" t="s">
        <v>312</v>
      </c>
      <c r="E101" s="95">
        <f>('DOE25'!L268)+('DOE25'!L287)+('DOE25'!L306)</f>
        <v>364424.86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2444329.04</v>
      </c>
      <c r="D102" s="24" t="s">
        <v>312</v>
      </c>
      <c r="E102" s="95">
        <f>('DOE25'!L269)+('DOE25'!L288)+('DOE25'!L307)</f>
        <v>99168.52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10229.39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89929.919999999998</v>
      </c>
      <c r="D104" s="24" t="s">
        <v>312</v>
      </c>
      <c r="E104" s="95">
        <f>+('DOE25'!L271)+('DOE25'!L290)+('DOE25'!L309)</f>
        <v>3558.15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9803.9500000000007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8909.25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5495120.9699999997</v>
      </c>
      <c r="D107" s="86">
        <f>SUM(D101:D106)</f>
        <v>0</v>
      </c>
      <c r="E107" s="86">
        <f>SUM(E101:E106)</f>
        <v>476060.78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784209.77</v>
      </c>
      <c r="D110" s="24" t="s">
        <v>312</v>
      </c>
      <c r="E110" s="95">
        <f>+('DOE25'!L273)+('DOE25'!L292)+('DOE25'!L311)</f>
        <v>96833.17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349099.50999999995</v>
      </c>
      <c r="D111" s="24" t="s">
        <v>312</v>
      </c>
      <c r="E111" s="95">
        <f>+('DOE25'!L274)+('DOE25'!L293)+('DOE25'!L312)</f>
        <v>653375.55999999994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365617.52999999997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821612.83000000007</v>
      </c>
      <c r="D113" s="24" t="s">
        <v>312</v>
      </c>
      <c r="E113" s="95">
        <f>+('DOE25'!L276)+('DOE25'!L295)+('DOE25'!L314)</f>
        <v>36903.68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785157.87999999989</v>
      </c>
      <c r="D115" s="24" t="s">
        <v>312</v>
      </c>
      <c r="E115" s="95">
        <f>+('DOE25'!L278)+('DOE25'!L297)+('DOE25'!L316)</f>
        <v>49089.21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546739.67999999993</v>
      </c>
      <c r="D116" s="24" t="s">
        <v>312</v>
      </c>
      <c r="E116" s="95">
        <f>+('DOE25'!L279)+('DOE25'!L298)+('DOE25'!L317)</f>
        <v>14301.220000000001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249120.6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3652437.2</v>
      </c>
      <c r="D120" s="86">
        <f>SUM(D110:D119)</f>
        <v>249120.6</v>
      </c>
      <c r="E120" s="86">
        <f>SUM(E110:E119)</f>
        <v>850502.84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234846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265000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148333.76000000001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11666.02</v>
      </c>
      <c r="F126" s="95">
        <f>'DOE25'!K373</f>
        <v>0</v>
      </c>
      <c r="G126" s="95">
        <f>'DOE25'!K426</f>
        <v>132934.06</v>
      </c>
    </row>
    <row r="127" spans="1:7" x14ac:dyDescent="0.2">
      <c r="A127" t="s">
        <v>256</v>
      </c>
      <c r="B127" s="32" t="s">
        <v>257</v>
      </c>
      <c r="C127" s="95">
        <f>'DOE25'!L255</f>
        <v>12000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20276.03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23.9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25835.1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-26135.03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680179.76</v>
      </c>
      <c r="D136" s="141">
        <f>SUM(D122:D135)</f>
        <v>0</v>
      </c>
      <c r="E136" s="141">
        <f>SUM(E122:E135)</f>
        <v>11666.02</v>
      </c>
      <c r="F136" s="141">
        <f>SUM(F122:F135)</f>
        <v>0</v>
      </c>
      <c r="G136" s="141">
        <f>SUM(G122:G135)</f>
        <v>132934.06</v>
      </c>
    </row>
    <row r="137" spans="1:9" ht="12.75" thickTop="1" thickBot="1" x14ac:dyDescent="0.25">
      <c r="A137" s="33" t="s">
        <v>267</v>
      </c>
      <c r="C137" s="86">
        <f>(C107+C120+C136)</f>
        <v>9827737.9299999997</v>
      </c>
      <c r="D137" s="86">
        <f>(D107+D120+D136)</f>
        <v>249120.6</v>
      </c>
      <c r="E137" s="86">
        <f>(E107+E120+E136)</f>
        <v>1338229.6400000001</v>
      </c>
      <c r="F137" s="86">
        <f>(F107+F120+F136)</f>
        <v>0</v>
      </c>
      <c r="G137" s="86">
        <f>(G107+G120+G136)</f>
        <v>132934.06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12/99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01/20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5300000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5.58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2650000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2650000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265000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265000</v>
      </c>
    </row>
    <row r="151" spans="1:7" x14ac:dyDescent="0.2">
      <c r="A151" s="22" t="s">
        <v>35</v>
      </c>
      <c r="B151" s="137">
        <f>'DOE25'!F488</f>
        <v>2385000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2385000</v>
      </c>
    </row>
    <row r="152" spans="1:7" x14ac:dyDescent="0.2">
      <c r="A152" s="22" t="s">
        <v>36</v>
      </c>
      <c r="B152" s="137">
        <f>'DOE25'!F489</f>
        <v>674160.06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674160.06</v>
      </c>
    </row>
    <row r="153" spans="1:7" x14ac:dyDescent="0.2">
      <c r="A153" s="22" t="s">
        <v>37</v>
      </c>
      <c r="B153" s="137">
        <f>'DOE25'!F490</f>
        <v>3059160.06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3059160.06</v>
      </c>
    </row>
    <row r="154" spans="1:7" x14ac:dyDescent="0.2">
      <c r="A154" s="22" t="s">
        <v>38</v>
      </c>
      <c r="B154" s="137">
        <f>'DOE25'!F491</f>
        <v>265000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265000</v>
      </c>
    </row>
    <row r="155" spans="1:7" x14ac:dyDescent="0.2">
      <c r="A155" s="22" t="s">
        <v>39</v>
      </c>
      <c r="B155" s="137">
        <f>'DOE25'!F492</f>
        <v>133758.76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133758.76</v>
      </c>
    </row>
    <row r="156" spans="1:7" x14ac:dyDescent="0.2">
      <c r="A156" s="22" t="s">
        <v>269</v>
      </c>
      <c r="B156" s="137">
        <f>'DOE25'!F493</f>
        <v>398758.76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398758.76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5184-C74D-4257-8E19-CDB1D65262DD}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PITTSFIELD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15373</v>
      </c>
    </row>
    <row r="5" spans="1:4" x14ac:dyDescent="0.2">
      <c r="B5" t="s">
        <v>735</v>
      </c>
      <c r="C5" s="179">
        <f>IF('DOE25'!G655+'DOE25'!G660=0,0,ROUND('DOE25'!G662,0))</f>
        <v>18443</v>
      </c>
    </row>
    <row r="6" spans="1:4" x14ac:dyDescent="0.2">
      <c r="B6" t="s">
        <v>62</v>
      </c>
      <c r="C6" s="179">
        <f>IF('DOE25'!H655+'DOE25'!H660=0,0,ROUND('DOE25'!H662,0))</f>
        <v>20216</v>
      </c>
    </row>
    <row r="7" spans="1:4" x14ac:dyDescent="0.2">
      <c r="B7" t="s">
        <v>736</v>
      </c>
      <c r="C7" s="179">
        <f>IF('DOE25'!I655+'DOE25'!I660=0,0,ROUND('DOE25'!I662,0))</f>
        <v>17215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3305254</v>
      </c>
      <c r="D10" s="182">
        <f>ROUND((C10/$C$28)*100,1)</f>
        <v>30.7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2543498</v>
      </c>
      <c r="D11" s="182">
        <f>ROUND((C11/$C$28)*100,1)</f>
        <v>23.6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10229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93488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881043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1002475</v>
      </c>
      <c r="D16" s="182">
        <f t="shared" si="0"/>
        <v>9.3000000000000007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365618</v>
      </c>
      <c r="D17" s="182">
        <f t="shared" si="0"/>
        <v>3.4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858517</v>
      </c>
      <c r="D18" s="182">
        <f t="shared" si="0"/>
        <v>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834247</v>
      </c>
      <c r="D20" s="182">
        <f t="shared" si="0"/>
        <v>7.7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561041</v>
      </c>
      <c r="D21" s="182">
        <f t="shared" si="0"/>
        <v>5.2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9804</v>
      </c>
      <c r="D23" s="182">
        <f t="shared" si="0"/>
        <v>0.1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8909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148334</v>
      </c>
      <c r="D25" s="182">
        <f t="shared" si="0"/>
        <v>1.4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161244.46000000002</v>
      </c>
      <c r="D27" s="182">
        <f t="shared" si="0"/>
        <v>1.5</v>
      </c>
    </row>
    <row r="28" spans="1:4" x14ac:dyDescent="0.2">
      <c r="B28" s="187" t="s">
        <v>754</v>
      </c>
      <c r="C28" s="180">
        <f>SUM(C10:C27)</f>
        <v>10783701.460000001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234846</v>
      </c>
    </row>
    <row r="30" spans="1:4" x14ac:dyDescent="0.2">
      <c r="B30" s="187" t="s">
        <v>760</v>
      </c>
      <c r="C30" s="180">
        <f>SUM(C28:C29)</f>
        <v>11018547.460000001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265000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4139301</v>
      </c>
      <c r="D35" s="182">
        <f t="shared" ref="D35:D40" si="1">ROUND((C35/$C$41)*100,1)</f>
        <v>37.200000000000003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129223.44000000041</v>
      </c>
      <c r="D36" s="182">
        <f t="shared" si="1"/>
        <v>1.2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4882013</v>
      </c>
      <c r="D37" s="182">
        <f t="shared" si="1"/>
        <v>43.8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397093</v>
      </c>
      <c r="D38" s="182">
        <f t="shared" si="1"/>
        <v>3.6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1589148</v>
      </c>
      <c r="D39" s="182">
        <f t="shared" si="1"/>
        <v>14.3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11136778.440000001</v>
      </c>
      <c r="D41" s="184">
        <f>SUM(D35:D40)</f>
        <v>100.1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43F3-BB45-4E2D-8ECE-A52CF03C877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PITTSFIELD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2011-11-02T12:46:33Z</cp:lastPrinted>
  <dcterms:created xsi:type="dcterms:W3CDTF">1997-12-04T19:04:30Z</dcterms:created>
  <dcterms:modified xsi:type="dcterms:W3CDTF">2025-01-10T20:12:38Z</dcterms:modified>
</cp:coreProperties>
</file>