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1E1B3229-E8C3-4E8D-A9D8-E0D5CB2324FC}" xr6:coauthVersionLast="47" xr6:coauthVersionMax="47" xr10:uidLastSave="{00000000-0000-0000-0000-000000000000}"/>
  <workbookProtection workbookPassword="B30A" lockStructure="1"/>
  <bookViews>
    <workbookView xWindow="-120" yWindow="-120" windowWidth="29040" windowHeight="15990" tabRatio="855" xr2:uid="{A0B83314-804F-461A-84DA-4B933934401F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1" l="1"/>
  <c r="C37" i="10"/>
  <c r="C40" i="10"/>
  <c r="C42" i="10"/>
  <c r="B2" i="10"/>
  <c r="L252" i="1"/>
  <c r="L333" i="1"/>
  <c r="E123" i="2" s="1"/>
  <c r="L247" i="1"/>
  <c r="L328" i="1"/>
  <c r="L366" i="1"/>
  <c r="L367" i="1"/>
  <c r="L368" i="1"/>
  <c r="L369" i="1"/>
  <c r="L370" i="1"/>
  <c r="L371" i="1"/>
  <c r="L372" i="1"/>
  <c r="L190" i="1"/>
  <c r="L208" i="1"/>
  <c r="L226" i="1"/>
  <c r="L269" i="1"/>
  <c r="L288" i="1"/>
  <c r="L307" i="1"/>
  <c r="L189" i="1"/>
  <c r="L207" i="1"/>
  <c r="L225" i="1"/>
  <c r="L268" i="1"/>
  <c r="L287" i="1"/>
  <c r="L306" i="1"/>
  <c r="E101" i="2" s="1"/>
  <c r="L191" i="1"/>
  <c r="L209" i="1"/>
  <c r="L227" i="1"/>
  <c r="L270" i="1"/>
  <c r="L289" i="1"/>
  <c r="L308" i="1"/>
  <c r="L192" i="1"/>
  <c r="L210" i="1"/>
  <c r="L228" i="1"/>
  <c r="L271" i="1"/>
  <c r="L290" i="1"/>
  <c r="L309" i="1"/>
  <c r="L194" i="1"/>
  <c r="L212" i="1"/>
  <c r="L230" i="1"/>
  <c r="L273" i="1"/>
  <c r="L292" i="1"/>
  <c r="L311" i="1"/>
  <c r="L195" i="1"/>
  <c r="L213" i="1"/>
  <c r="L231" i="1"/>
  <c r="L274" i="1"/>
  <c r="L293" i="1"/>
  <c r="L312" i="1"/>
  <c r="C16" i="10"/>
  <c r="L196" i="1"/>
  <c r="L201" i="1"/>
  <c r="L214" i="1"/>
  <c r="L219" i="1"/>
  <c r="L232" i="1"/>
  <c r="L237" i="1"/>
  <c r="L275" i="1"/>
  <c r="L280" i="1"/>
  <c r="L294" i="1"/>
  <c r="L299" i="1"/>
  <c r="L313" i="1"/>
  <c r="L318" i="1"/>
  <c r="E117" i="2" s="1"/>
  <c r="L197" i="1"/>
  <c r="L215" i="1"/>
  <c r="L233" i="1"/>
  <c r="L276" i="1"/>
  <c r="L295" i="1"/>
  <c r="L314" i="1"/>
  <c r="L198" i="1"/>
  <c r="L216" i="1"/>
  <c r="L234" i="1"/>
  <c r="L277" i="1"/>
  <c r="L296" i="1"/>
  <c r="L315" i="1"/>
  <c r="L199" i="1"/>
  <c r="L217" i="1"/>
  <c r="L235" i="1"/>
  <c r="L278" i="1"/>
  <c r="L297" i="1"/>
  <c r="L316" i="1"/>
  <c r="L200" i="1"/>
  <c r="L218" i="1"/>
  <c r="L236" i="1"/>
  <c r="L279" i="1"/>
  <c r="L298" i="1"/>
  <c r="L317" i="1"/>
  <c r="H652" i="1" s="1"/>
  <c r="L242" i="1"/>
  <c r="C105" i="2" s="1"/>
  <c r="L324" i="1"/>
  <c r="E105" i="2" s="1"/>
  <c r="L243" i="1"/>
  <c r="L244" i="1"/>
  <c r="L245" i="1"/>
  <c r="L246" i="1"/>
  <c r="L325" i="1"/>
  <c r="L326" i="1"/>
  <c r="L327" i="1"/>
  <c r="L253" i="1"/>
  <c r="L334" i="1"/>
  <c r="E124" i="2" s="1"/>
  <c r="C25" i="10"/>
  <c r="L260" i="1"/>
  <c r="L261" i="1"/>
  <c r="C135" i="2" s="1"/>
  <c r="L341" i="1"/>
  <c r="L342" i="1"/>
  <c r="C26" i="10"/>
  <c r="L350" i="1"/>
  <c r="L351" i="1"/>
  <c r="L352" i="1"/>
  <c r="L353" i="1"/>
  <c r="F52" i="1"/>
  <c r="G52" i="1"/>
  <c r="H52" i="1"/>
  <c r="I52" i="1"/>
  <c r="J52" i="1"/>
  <c r="G48" i="2" s="1"/>
  <c r="F71" i="1"/>
  <c r="F86" i="1"/>
  <c r="F103" i="1"/>
  <c r="F104" i="1"/>
  <c r="G103" i="1"/>
  <c r="G104" i="1"/>
  <c r="H71" i="1"/>
  <c r="H86" i="1"/>
  <c r="E50" i="2" s="1"/>
  <c r="H103" i="1"/>
  <c r="H104" i="1"/>
  <c r="I103" i="1"/>
  <c r="J103" i="1"/>
  <c r="F113" i="1"/>
  <c r="F128" i="1"/>
  <c r="G113" i="1"/>
  <c r="G128" i="1"/>
  <c r="G132" i="1" s="1"/>
  <c r="H113" i="1"/>
  <c r="H128" i="1"/>
  <c r="I113" i="1"/>
  <c r="I128" i="1"/>
  <c r="J113" i="1"/>
  <c r="J128" i="1"/>
  <c r="F139" i="1"/>
  <c r="F154" i="1"/>
  <c r="F161" i="1"/>
  <c r="G139" i="1"/>
  <c r="D77" i="2" s="1"/>
  <c r="G154" i="1"/>
  <c r="H139" i="1"/>
  <c r="H154" i="1"/>
  <c r="H161" i="1"/>
  <c r="I139" i="1"/>
  <c r="I154" i="1"/>
  <c r="L601" i="1"/>
  <c r="F653" i="1"/>
  <c r="L301" i="1"/>
  <c r="G651" i="1"/>
  <c r="L602" i="1"/>
  <c r="G653" i="1" s="1"/>
  <c r="L239" i="1"/>
  <c r="H651" i="1"/>
  <c r="L603" i="1"/>
  <c r="H653" i="1" s="1"/>
  <c r="I655" i="1"/>
  <c r="I660" i="1"/>
  <c r="I659" i="1"/>
  <c r="I359" i="1"/>
  <c r="J282" i="1"/>
  <c r="J301" i="1"/>
  <c r="J320" i="1"/>
  <c r="K282" i="1"/>
  <c r="K301" i="1"/>
  <c r="K320" i="1"/>
  <c r="L379" i="1"/>
  <c r="L380" i="1"/>
  <c r="L381" i="1"/>
  <c r="L382" i="1"/>
  <c r="L383" i="1"/>
  <c r="L384" i="1"/>
  <c r="L387" i="1"/>
  <c r="L388" i="1"/>
  <c r="L389" i="1"/>
  <c r="L390" i="1"/>
  <c r="L391" i="1"/>
  <c r="L392" i="1"/>
  <c r="L395" i="1"/>
  <c r="L396" i="1"/>
  <c r="L397" i="1"/>
  <c r="L398" i="1"/>
  <c r="L258" i="1"/>
  <c r="L336" i="1"/>
  <c r="L337" i="1"/>
  <c r="E127" i="2" s="1"/>
  <c r="L338" i="1"/>
  <c r="L339" i="1"/>
  <c r="L343" i="1"/>
  <c r="K343" i="1"/>
  <c r="L511" i="1"/>
  <c r="F539" i="1"/>
  <c r="L512" i="1"/>
  <c r="F540" i="1"/>
  <c r="L513" i="1"/>
  <c r="F541" i="1"/>
  <c r="F542" i="1"/>
  <c r="L516" i="1"/>
  <c r="G539" i="1"/>
  <c r="L517" i="1"/>
  <c r="G540" i="1"/>
  <c r="L518" i="1"/>
  <c r="G541" i="1"/>
  <c r="G542" i="1"/>
  <c r="L521" i="1"/>
  <c r="H539" i="1"/>
  <c r="L522" i="1"/>
  <c r="H540" i="1"/>
  <c r="L523" i="1"/>
  <c r="H541" i="1" s="1"/>
  <c r="L526" i="1"/>
  <c r="I539" i="1"/>
  <c r="L527" i="1"/>
  <c r="I540" i="1"/>
  <c r="L528" i="1"/>
  <c r="I541" i="1" s="1"/>
  <c r="I542" i="1" s="1"/>
  <c r="L531" i="1"/>
  <c r="J539" i="1"/>
  <c r="L532" i="1"/>
  <c r="J540" i="1" s="1"/>
  <c r="L533" i="1"/>
  <c r="J541" i="1" s="1"/>
  <c r="K262" i="1"/>
  <c r="J262" i="1"/>
  <c r="I262" i="1"/>
  <c r="H262" i="1"/>
  <c r="G262" i="1"/>
  <c r="F262" i="1"/>
  <c r="L262" i="1" s="1"/>
  <c r="I431" i="1"/>
  <c r="J9" i="1"/>
  <c r="I432" i="1"/>
  <c r="J10" i="1"/>
  <c r="G10" i="2" s="1"/>
  <c r="I433" i="1"/>
  <c r="J12" i="1" s="1"/>
  <c r="I434" i="1"/>
  <c r="J13" i="1" s="1"/>
  <c r="G13" i="2" s="1"/>
  <c r="I435" i="1"/>
  <c r="J14" i="1"/>
  <c r="G14" i="2" s="1"/>
  <c r="I436" i="1"/>
  <c r="J17" i="1"/>
  <c r="I437" i="1"/>
  <c r="J18" i="1"/>
  <c r="I440" i="1"/>
  <c r="J23" i="1"/>
  <c r="I441" i="1"/>
  <c r="J24" i="1" s="1"/>
  <c r="G23" i="2" s="1"/>
  <c r="I442" i="1"/>
  <c r="J25" i="1" s="1"/>
  <c r="G24" i="2" s="1"/>
  <c r="I443" i="1"/>
  <c r="J32" i="1"/>
  <c r="G31" i="2" s="1"/>
  <c r="I446" i="1"/>
  <c r="J37" i="1"/>
  <c r="I447" i="1"/>
  <c r="J38" i="1"/>
  <c r="I448" i="1"/>
  <c r="J40" i="1"/>
  <c r="I449" i="1"/>
  <c r="J41" i="1" s="1"/>
  <c r="G40" i="2" s="1"/>
  <c r="K411" i="1"/>
  <c r="K419" i="1"/>
  <c r="K425" i="1"/>
  <c r="K426" i="1"/>
  <c r="G126" i="2" s="1"/>
  <c r="G136" i="2" s="1"/>
  <c r="L255" i="1"/>
  <c r="L256" i="1"/>
  <c r="C128" i="2" s="1"/>
  <c r="L257" i="1"/>
  <c r="F490" i="1"/>
  <c r="B153" i="2" s="1"/>
  <c r="G490" i="1"/>
  <c r="H490" i="1"/>
  <c r="I490" i="1"/>
  <c r="E153" i="2" s="1"/>
  <c r="J490" i="1"/>
  <c r="F493" i="1"/>
  <c r="G493" i="1"/>
  <c r="H493" i="1"/>
  <c r="D156" i="2" s="1"/>
  <c r="I493" i="1"/>
  <c r="E156" i="2" s="1"/>
  <c r="J493" i="1"/>
  <c r="F19" i="1"/>
  <c r="G607" i="1" s="1"/>
  <c r="G19" i="1"/>
  <c r="H19" i="1"/>
  <c r="I19" i="1"/>
  <c r="F33" i="1"/>
  <c r="G33" i="1"/>
  <c r="H33" i="1"/>
  <c r="I33" i="1"/>
  <c r="F43" i="1"/>
  <c r="F44" i="1" s="1"/>
  <c r="H607" i="1" s="1"/>
  <c r="G43" i="1"/>
  <c r="H43" i="1"/>
  <c r="I43" i="1"/>
  <c r="G44" i="1"/>
  <c r="H44" i="1"/>
  <c r="I44" i="1"/>
  <c r="H610" i="1" s="1"/>
  <c r="F169" i="1"/>
  <c r="I169" i="1"/>
  <c r="F175" i="1"/>
  <c r="G175" i="1"/>
  <c r="H175" i="1"/>
  <c r="I175" i="1"/>
  <c r="J175" i="1"/>
  <c r="J184" i="1" s="1"/>
  <c r="F180" i="1"/>
  <c r="G180" i="1"/>
  <c r="H180" i="1"/>
  <c r="I180" i="1"/>
  <c r="I184" i="1"/>
  <c r="F203" i="1"/>
  <c r="G203" i="1"/>
  <c r="H203" i="1"/>
  <c r="I203" i="1"/>
  <c r="J203" i="1"/>
  <c r="K203" i="1"/>
  <c r="F221" i="1"/>
  <c r="G221" i="1"/>
  <c r="H221" i="1"/>
  <c r="I221" i="1"/>
  <c r="J221" i="1"/>
  <c r="K221" i="1"/>
  <c r="F239" i="1"/>
  <c r="G239" i="1"/>
  <c r="H239" i="1"/>
  <c r="I239" i="1"/>
  <c r="J239" i="1"/>
  <c r="K239" i="1"/>
  <c r="F248" i="1"/>
  <c r="G248" i="1"/>
  <c r="H248" i="1"/>
  <c r="I248" i="1"/>
  <c r="J248" i="1"/>
  <c r="K248" i="1"/>
  <c r="L248" i="1"/>
  <c r="G249" i="1"/>
  <c r="G263" i="1" s="1"/>
  <c r="I249" i="1"/>
  <c r="J249" i="1"/>
  <c r="I263" i="1"/>
  <c r="F282" i="1"/>
  <c r="G282" i="1"/>
  <c r="H282" i="1"/>
  <c r="I282" i="1"/>
  <c r="F301" i="1"/>
  <c r="G301" i="1"/>
  <c r="H301" i="1"/>
  <c r="I301" i="1"/>
  <c r="F320" i="1"/>
  <c r="G320" i="1"/>
  <c r="H320" i="1"/>
  <c r="I320" i="1"/>
  <c r="F329" i="1"/>
  <c r="G329" i="1"/>
  <c r="H329" i="1"/>
  <c r="I329" i="1"/>
  <c r="J329" i="1"/>
  <c r="K329" i="1"/>
  <c r="I330" i="1"/>
  <c r="I344" i="1" s="1"/>
  <c r="F354" i="1"/>
  <c r="G354" i="1"/>
  <c r="H354" i="1"/>
  <c r="I354" i="1"/>
  <c r="G624" i="1" s="1"/>
  <c r="J354" i="1"/>
  <c r="K354" i="1"/>
  <c r="I360" i="1"/>
  <c r="I361" i="1" s="1"/>
  <c r="H624" i="1" s="1"/>
  <c r="F361" i="1"/>
  <c r="G361" i="1"/>
  <c r="H361" i="1"/>
  <c r="L373" i="1"/>
  <c r="F374" i="1"/>
  <c r="G374" i="1"/>
  <c r="H374" i="1"/>
  <c r="I374" i="1"/>
  <c r="J374" i="1"/>
  <c r="K374" i="1"/>
  <c r="F385" i="1"/>
  <c r="G385" i="1"/>
  <c r="H385" i="1"/>
  <c r="I385" i="1"/>
  <c r="F393" i="1"/>
  <c r="G393" i="1"/>
  <c r="H393" i="1"/>
  <c r="I393" i="1"/>
  <c r="F399" i="1"/>
  <c r="G399" i="1"/>
  <c r="G400" i="1" s="1"/>
  <c r="H635" i="1" s="1"/>
  <c r="H399" i="1"/>
  <c r="I399" i="1"/>
  <c r="I400" i="1" s="1"/>
  <c r="L405" i="1"/>
  <c r="L406" i="1"/>
  <c r="L407" i="1"/>
  <c r="L408" i="1"/>
  <c r="L409" i="1"/>
  <c r="L410" i="1"/>
  <c r="F411" i="1"/>
  <c r="G411" i="1"/>
  <c r="H411" i="1"/>
  <c r="I411" i="1"/>
  <c r="J411" i="1"/>
  <c r="L413" i="1"/>
  <c r="L414" i="1"/>
  <c r="L415" i="1"/>
  <c r="L416" i="1"/>
  <c r="L417" i="1"/>
  <c r="L418" i="1"/>
  <c r="F419" i="1"/>
  <c r="G419" i="1"/>
  <c r="H419" i="1"/>
  <c r="I419" i="1"/>
  <c r="J419" i="1"/>
  <c r="L421" i="1"/>
  <c r="L422" i="1"/>
  <c r="L423" i="1"/>
  <c r="L424" i="1"/>
  <c r="F425" i="1"/>
  <c r="G425" i="1"/>
  <c r="H425" i="1"/>
  <c r="I425" i="1"/>
  <c r="J425" i="1"/>
  <c r="G426" i="1"/>
  <c r="I426" i="1"/>
  <c r="F438" i="1"/>
  <c r="G629" i="1" s="1"/>
  <c r="G438" i="1"/>
  <c r="H438" i="1"/>
  <c r="G631" i="1" s="1"/>
  <c r="F444" i="1"/>
  <c r="G444" i="1"/>
  <c r="H444" i="1"/>
  <c r="I444" i="1"/>
  <c r="F450" i="1"/>
  <c r="G450" i="1"/>
  <c r="G451" i="1" s="1"/>
  <c r="H630" i="1" s="1"/>
  <c r="H450" i="1"/>
  <c r="F451" i="1"/>
  <c r="H451" i="1"/>
  <c r="F460" i="1"/>
  <c r="G460" i="1"/>
  <c r="H460" i="1"/>
  <c r="I460" i="1"/>
  <c r="J460" i="1"/>
  <c r="F464" i="1"/>
  <c r="F466" i="1" s="1"/>
  <c r="H612" i="1" s="1"/>
  <c r="G464" i="1"/>
  <c r="H464" i="1"/>
  <c r="I464" i="1"/>
  <c r="J464" i="1"/>
  <c r="J466" i="1"/>
  <c r="K485" i="1"/>
  <c r="K486" i="1"/>
  <c r="K487" i="1"/>
  <c r="K488" i="1"/>
  <c r="K489" i="1"/>
  <c r="K490" i="1"/>
  <c r="K491" i="1"/>
  <c r="K492" i="1"/>
  <c r="F507" i="1"/>
  <c r="G507" i="1"/>
  <c r="H507" i="1"/>
  <c r="I507" i="1"/>
  <c r="F514" i="1"/>
  <c r="G514" i="1"/>
  <c r="H514" i="1"/>
  <c r="I514" i="1"/>
  <c r="J514" i="1"/>
  <c r="K514" i="1"/>
  <c r="L514" i="1"/>
  <c r="F519" i="1"/>
  <c r="G519" i="1"/>
  <c r="H519" i="1"/>
  <c r="I519" i="1"/>
  <c r="J519" i="1"/>
  <c r="K519" i="1"/>
  <c r="L519" i="1"/>
  <c r="F524" i="1"/>
  <c r="G524" i="1"/>
  <c r="H524" i="1"/>
  <c r="I524" i="1"/>
  <c r="J524" i="1"/>
  <c r="K524" i="1"/>
  <c r="F529" i="1"/>
  <c r="G529" i="1"/>
  <c r="H529" i="1"/>
  <c r="I529" i="1"/>
  <c r="J529" i="1"/>
  <c r="K529" i="1"/>
  <c r="F534" i="1"/>
  <c r="F535" i="1" s="1"/>
  <c r="G534" i="1"/>
  <c r="H534" i="1"/>
  <c r="I534" i="1"/>
  <c r="J534" i="1"/>
  <c r="K534" i="1"/>
  <c r="K535" i="1"/>
  <c r="L547" i="1"/>
  <c r="L548" i="1"/>
  <c r="L549" i="1"/>
  <c r="F550" i="1"/>
  <c r="G550" i="1"/>
  <c r="H550" i="1"/>
  <c r="I550" i="1"/>
  <c r="J550" i="1"/>
  <c r="K550" i="1"/>
  <c r="L552" i="1"/>
  <c r="L553" i="1"/>
  <c r="L554" i="1"/>
  <c r="F555" i="1"/>
  <c r="G555" i="1"/>
  <c r="H555" i="1"/>
  <c r="I555" i="1"/>
  <c r="J555" i="1"/>
  <c r="K555" i="1"/>
  <c r="L557" i="1"/>
  <c r="L558" i="1"/>
  <c r="L559" i="1"/>
  <c r="L560" i="1" s="1"/>
  <c r="F560" i="1"/>
  <c r="G560" i="1"/>
  <c r="H560" i="1"/>
  <c r="I560" i="1"/>
  <c r="J560" i="1"/>
  <c r="K560" i="1"/>
  <c r="K561" i="1" s="1"/>
  <c r="G561" i="1"/>
  <c r="J561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K581" i="1"/>
  <c r="K582" i="1"/>
  <c r="K583" i="1"/>
  <c r="K584" i="1"/>
  <c r="K585" i="1"/>
  <c r="K586" i="1"/>
  <c r="K587" i="1"/>
  <c r="H588" i="1"/>
  <c r="I588" i="1"/>
  <c r="H640" i="1" s="1"/>
  <c r="J588" i="1"/>
  <c r="K592" i="1"/>
  <c r="K593" i="1"/>
  <c r="K594" i="1"/>
  <c r="H595" i="1"/>
  <c r="I595" i="1"/>
  <c r="J595" i="1"/>
  <c r="K595" i="1"/>
  <c r="G638" i="1" s="1"/>
  <c r="F604" i="1"/>
  <c r="G604" i="1"/>
  <c r="H604" i="1"/>
  <c r="I604" i="1"/>
  <c r="J604" i="1"/>
  <c r="K604" i="1"/>
  <c r="G608" i="1"/>
  <c r="H608" i="1"/>
  <c r="G609" i="1"/>
  <c r="H609" i="1"/>
  <c r="G610" i="1"/>
  <c r="G613" i="1"/>
  <c r="G614" i="1"/>
  <c r="G615" i="1"/>
  <c r="H616" i="1"/>
  <c r="H617" i="1"/>
  <c r="H618" i="1"/>
  <c r="H619" i="1"/>
  <c r="H620" i="1"/>
  <c r="H621" i="1"/>
  <c r="H622" i="1"/>
  <c r="H623" i="1"/>
  <c r="H625" i="1"/>
  <c r="H626" i="1"/>
  <c r="H627" i="1"/>
  <c r="H628" i="1"/>
  <c r="H629" i="1"/>
  <c r="G630" i="1"/>
  <c r="J630" i="1" s="1"/>
  <c r="H631" i="1"/>
  <c r="G633" i="1"/>
  <c r="G634" i="1"/>
  <c r="H637" i="1"/>
  <c r="H639" i="1"/>
  <c r="G641" i="1"/>
  <c r="H641" i="1"/>
  <c r="G642" i="1"/>
  <c r="H642" i="1"/>
  <c r="G643" i="1"/>
  <c r="H643" i="1"/>
  <c r="J643" i="1"/>
  <c r="G644" i="1"/>
  <c r="H644" i="1"/>
  <c r="G645" i="1"/>
  <c r="H645" i="1"/>
  <c r="B2" i="13"/>
  <c r="F8" i="13"/>
  <c r="G8" i="13"/>
  <c r="E8" i="13"/>
  <c r="D39" i="13"/>
  <c r="F13" i="13"/>
  <c r="G13" i="13"/>
  <c r="F16" i="13"/>
  <c r="G16" i="13"/>
  <c r="F5" i="13"/>
  <c r="G5" i="13"/>
  <c r="F6" i="13"/>
  <c r="G6" i="13"/>
  <c r="F7" i="13"/>
  <c r="G7" i="13"/>
  <c r="D7" i="13"/>
  <c r="C7" i="13" s="1"/>
  <c r="F12" i="13"/>
  <c r="G12" i="13"/>
  <c r="F14" i="13"/>
  <c r="G14" i="13"/>
  <c r="D14" i="13"/>
  <c r="C14" i="13" s="1"/>
  <c r="F15" i="13"/>
  <c r="G15" i="13"/>
  <c r="F17" i="13"/>
  <c r="G17" i="13"/>
  <c r="D17" i="13"/>
  <c r="C17" i="13" s="1"/>
  <c r="F18" i="13"/>
  <c r="G18" i="13"/>
  <c r="F19" i="13"/>
  <c r="G19" i="13"/>
  <c r="D19" i="13"/>
  <c r="F29" i="13"/>
  <c r="G29" i="13"/>
  <c r="G31" i="13"/>
  <c r="C19" i="13"/>
  <c r="C11" i="13"/>
  <c r="C10" i="13"/>
  <c r="C9" i="13"/>
  <c r="C8" i="13"/>
  <c r="C60" i="2"/>
  <c r="G51" i="2"/>
  <c r="G53" i="2"/>
  <c r="C124" i="2"/>
  <c r="A1" i="2"/>
  <c r="A2" i="2"/>
  <c r="C9" i="2"/>
  <c r="D9" i="2"/>
  <c r="E9" i="2"/>
  <c r="F9" i="2"/>
  <c r="G9" i="2"/>
  <c r="C10" i="2"/>
  <c r="D10" i="2"/>
  <c r="E10" i="2"/>
  <c r="F10" i="2"/>
  <c r="C11" i="2"/>
  <c r="C12" i="2"/>
  <c r="D12" i="2"/>
  <c r="E12" i="2"/>
  <c r="F12" i="2"/>
  <c r="C13" i="2"/>
  <c r="D13" i="2"/>
  <c r="E13" i="2"/>
  <c r="F13" i="2"/>
  <c r="C14" i="2"/>
  <c r="D14" i="2"/>
  <c r="E14" i="2"/>
  <c r="F14" i="2"/>
  <c r="F15" i="2"/>
  <c r="C16" i="2"/>
  <c r="D16" i="2"/>
  <c r="E16" i="2"/>
  <c r="F16" i="2"/>
  <c r="C17" i="2"/>
  <c r="D17" i="2"/>
  <c r="E17" i="2"/>
  <c r="F17" i="2"/>
  <c r="G17" i="2"/>
  <c r="C18" i="2"/>
  <c r="D18" i="2"/>
  <c r="E18" i="2"/>
  <c r="F18" i="2"/>
  <c r="G18" i="2"/>
  <c r="C22" i="2"/>
  <c r="D22" i="2"/>
  <c r="E22" i="2"/>
  <c r="F22" i="2"/>
  <c r="G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F26" i="2"/>
  <c r="C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F32" i="2"/>
  <c r="C34" i="2"/>
  <c r="D34" i="2"/>
  <c r="E34" i="2"/>
  <c r="F34" i="2"/>
  <c r="C35" i="2"/>
  <c r="D35" i="2"/>
  <c r="E35" i="2"/>
  <c r="F35" i="2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9" i="2"/>
  <c r="C40" i="2"/>
  <c r="D40" i="2"/>
  <c r="E40" i="2"/>
  <c r="F40" i="2"/>
  <c r="C41" i="2"/>
  <c r="D41" i="2"/>
  <c r="E41" i="2"/>
  <c r="F41" i="2"/>
  <c r="E42" i="2"/>
  <c r="C48" i="2"/>
  <c r="D48" i="2"/>
  <c r="E48" i="2"/>
  <c r="F48" i="2"/>
  <c r="C49" i="2"/>
  <c r="E49" i="2"/>
  <c r="C50" i="2"/>
  <c r="C51" i="2"/>
  <c r="D51" i="2"/>
  <c r="E51" i="2"/>
  <c r="F51" i="2"/>
  <c r="D52" i="2"/>
  <c r="C53" i="2"/>
  <c r="D53" i="2"/>
  <c r="E53" i="2"/>
  <c r="F53" i="2"/>
  <c r="D54" i="2"/>
  <c r="C58" i="2"/>
  <c r="C59" i="2"/>
  <c r="C61" i="2"/>
  <c r="D61" i="2"/>
  <c r="D62" i="2" s="1"/>
  <c r="E61" i="2"/>
  <c r="F61" i="2"/>
  <c r="G61" i="2"/>
  <c r="E62" i="2"/>
  <c r="F62" i="2"/>
  <c r="G62" i="2"/>
  <c r="C64" i="2"/>
  <c r="F64" i="2"/>
  <c r="C65" i="2"/>
  <c r="F65" i="2"/>
  <c r="C66" i="2"/>
  <c r="C67" i="2"/>
  <c r="C68" i="2"/>
  <c r="E68" i="2"/>
  <c r="F68" i="2"/>
  <c r="C69" i="2"/>
  <c r="D69" i="2"/>
  <c r="E69" i="2"/>
  <c r="F69" i="2"/>
  <c r="G69" i="2"/>
  <c r="D70" i="2"/>
  <c r="G70" i="2"/>
  <c r="C71" i="2"/>
  <c r="D71" i="2"/>
  <c r="E71" i="2"/>
  <c r="C72" i="2"/>
  <c r="E72" i="2"/>
  <c r="G73" i="2"/>
  <c r="C77" i="2"/>
  <c r="E77" i="2"/>
  <c r="F77" i="2"/>
  <c r="C79" i="2"/>
  <c r="E79" i="2"/>
  <c r="F79" i="2"/>
  <c r="C80" i="2"/>
  <c r="D80" i="2"/>
  <c r="E80" i="2"/>
  <c r="F80" i="2"/>
  <c r="C81" i="2"/>
  <c r="D81" i="2"/>
  <c r="E81" i="2"/>
  <c r="F81" i="2"/>
  <c r="C82" i="2"/>
  <c r="C85" i="2"/>
  <c r="F85" i="2"/>
  <c r="C86" i="2"/>
  <c r="F86" i="2"/>
  <c r="D88" i="2"/>
  <c r="E88" i="2"/>
  <c r="F88" i="2"/>
  <c r="G88" i="2"/>
  <c r="C89" i="2"/>
  <c r="D89" i="2"/>
  <c r="E89" i="2"/>
  <c r="F89" i="2"/>
  <c r="G89" i="2"/>
  <c r="C90" i="2"/>
  <c r="D90" i="2"/>
  <c r="E90" i="2"/>
  <c r="G90" i="2"/>
  <c r="C91" i="2"/>
  <c r="D91" i="2"/>
  <c r="E91" i="2"/>
  <c r="F91" i="2"/>
  <c r="C92" i="2"/>
  <c r="D92" i="2"/>
  <c r="E92" i="2"/>
  <c r="F92" i="2"/>
  <c r="C93" i="2"/>
  <c r="D93" i="2"/>
  <c r="E93" i="2"/>
  <c r="F93" i="2"/>
  <c r="C94" i="2"/>
  <c r="D94" i="2"/>
  <c r="E94" i="2"/>
  <c r="F94" i="2"/>
  <c r="E95" i="2"/>
  <c r="G95" i="2"/>
  <c r="C102" i="2"/>
  <c r="C103" i="2"/>
  <c r="C104" i="2"/>
  <c r="E104" i="2"/>
  <c r="D107" i="2"/>
  <c r="F107" i="2"/>
  <c r="G107" i="2"/>
  <c r="E110" i="2"/>
  <c r="C111" i="2"/>
  <c r="C112" i="2"/>
  <c r="C114" i="2"/>
  <c r="E114" i="2"/>
  <c r="E115" i="2"/>
  <c r="E116" i="2"/>
  <c r="C117" i="2"/>
  <c r="D119" i="2"/>
  <c r="D120" i="2" s="1"/>
  <c r="F120" i="2"/>
  <c r="G120" i="2"/>
  <c r="G137" i="2" s="1"/>
  <c r="E122" i="2"/>
  <c r="D126" i="2"/>
  <c r="D136" i="2" s="1"/>
  <c r="E126" i="2"/>
  <c r="F126" i="2"/>
  <c r="C127" i="2"/>
  <c r="C129" i="2"/>
  <c r="E129" i="2"/>
  <c r="C134" i="2"/>
  <c r="E134" i="2"/>
  <c r="E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F148" i="2"/>
  <c r="B149" i="2"/>
  <c r="C149" i="2"/>
  <c r="D149" i="2"/>
  <c r="E149" i="2"/>
  <c r="F149" i="2"/>
  <c r="B150" i="2"/>
  <c r="C150" i="2"/>
  <c r="D150" i="2"/>
  <c r="E150" i="2"/>
  <c r="F150" i="2"/>
  <c r="B151" i="2"/>
  <c r="C151" i="2"/>
  <c r="D151" i="2"/>
  <c r="E151" i="2"/>
  <c r="F151" i="2"/>
  <c r="B152" i="2"/>
  <c r="C152" i="2"/>
  <c r="D152" i="2"/>
  <c r="E152" i="2"/>
  <c r="F152" i="2"/>
  <c r="C153" i="2"/>
  <c r="D153" i="2"/>
  <c r="F153" i="2"/>
  <c r="B154" i="2"/>
  <c r="C154" i="2"/>
  <c r="D154" i="2"/>
  <c r="E154" i="2"/>
  <c r="F154" i="2"/>
  <c r="B155" i="2"/>
  <c r="C155" i="2"/>
  <c r="D155" i="2"/>
  <c r="E155" i="2"/>
  <c r="F155" i="2"/>
  <c r="B156" i="2"/>
  <c r="C156" i="2"/>
  <c r="F156" i="2"/>
  <c r="B4" i="12"/>
  <c r="B36" i="12"/>
  <c r="C36" i="12"/>
  <c r="B40" i="12"/>
  <c r="C40" i="12"/>
  <c r="B27" i="12"/>
  <c r="C27" i="12"/>
  <c r="B31" i="12"/>
  <c r="C31" i="12"/>
  <c r="B9" i="12"/>
  <c r="B13" i="12"/>
  <c r="C9" i="12"/>
  <c r="C13" i="12"/>
  <c r="B18" i="12"/>
  <c r="B22" i="12"/>
  <c r="C18" i="12"/>
  <c r="C22" i="12"/>
  <c r="B1" i="12"/>
  <c r="A22" i="12" l="1"/>
  <c r="A13" i="12"/>
  <c r="A31" i="12"/>
  <c r="A40" i="12"/>
  <c r="G156" i="2"/>
  <c r="G155" i="2"/>
  <c r="G154" i="2"/>
  <c r="G152" i="2"/>
  <c r="G151" i="2"/>
  <c r="G150" i="2"/>
  <c r="G149" i="2"/>
  <c r="G148" i="2"/>
  <c r="D95" i="2"/>
  <c r="C95" i="2"/>
  <c r="F95" i="2"/>
  <c r="F83" i="2"/>
  <c r="E83" i="2"/>
  <c r="C83" i="2"/>
  <c r="E70" i="2"/>
  <c r="E73" i="2" s="1"/>
  <c r="F70" i="2"/>
  <c r="F73" i="2" s="1"/>
  <c r="C70" i="2"/>
  <c r="C62" i="2"/>
  <c r="F54" i="2"/>
  <c r="C54" i="2"/>
  <c r="C55" i="2" s="1"/>
  <c r="F55" i="2"/>
  <c r="F96" i="2" s="1"/>
  <c r="D55" i="2"/>
  <c r="G42" i="2"/>
  <c r="F42" i="2"/>
  <c r="F43" i="2" s="1"/>
  <c r="D42" i="2"/>
  <c r="C42" i="2"/>
  <c r="C32" i="2"/>
  <c r="E32" i="2"/>
  <c r="E43" i="2" s="1"/>
  <c r="D32" i="2"/>
  <c r="F19" i="2"/>
  <c r="D19" i="2"/>
  <c r="C19" i="2"/>
  <c r="E19" i="2"/>
  <c r="G54" i="2"/>
  <c r="D29" i="13"/>
  <c r="C29" i="13" s="1"/>
  <c r="D18" i="13"/>
  <c r="C18" i="13" s="1"/>
  <c r="G33" i="13"/>
  <c r="J645" i="1"/>
  <c r="J644" i="1"/>
  <c r="J642" i="1"/>
  <c r="J641" i="1"/>
  <c r="J609" i="1"/>
  <c r="J608" i="1"/>
  <c r="K588" i="1"/>
  <c r="G637" i="1" s="1"/>
  <c r="J637" i="1" s="1"/>
  <c r="I561" i="1"/>
  <c r="L555" i="1"/>
  <c r="H561" i="1"/>
  <c r="F561" i="1"/>
  <c r="L550" i="1"/>
  <c r="L561" i="1" s="1"/>
  <c r="H535" i="1"/>
  <c r="J535" i="1"/>
  <c r="I535" i="1"/>
  <c r="G535" i="1"/>
  <c r="I466" i="1"/>
  <c r="H615" i="1" s="1"/>
  <c r="J615" i="1" s="1"/>
  <c r="H466" i="1"/>
  <c r="H614" i="1" s="1"/>
  <c r="G466" i="1"/>
  <c r="H613" i="1" s="1"/>
  <c r="J631" i="1"/>
  <c r="J629" i="1"/>
  <c r="L425" i="1"/>
  <c r="L419" i="1"/>
  <c r="J426" i="1"/>
  <c r="H426" i="1"/>
  <c r="F426" i="1"/>
  <c r="L411" i="1"/>
  <c r="H400" i="1"/>
  <c r="H634" i="1" s="1"/>
  <c r="J634" i="1" s="1"/>
  <c r="F400" i="1"/>
  <c r="H633" i="1" s="1"/>
  <c r="J633" i="1" s="1"/>
  <c r="J624" i="1"/>
  <c r="L329" i="1"/>
  <c r="F330" i="1"/>
  <c r="F344" i="1" s="1"/>
  <c r="H330" i="1"/>
  <c r="H344" i="1" s="1"/>
  <c r="G330" i="1"/>
  <c r="G344" i="1" s="1"/>
  <c r="K249" i="1"/>
  <c r="K263" i="1" s="1"/>
  <c r="H249" i="1"/>
  <c r="H263" i="1" s="1"/>
  <c r="F249" i="1"/>
  <c r="F263" i="1" s="1"/>
  <c r="H184" i="1"/>
  <c r="G184" i="1"/>
  <c r="F184" i="1"/>
  <c r="K493" i="1"/>
  <c r="J33" i="1"/>
  <c r="I438" i="1"/>
  <c r="G632" i="1" s="1"/>
  <c r="H542" i="1"/>
  <c r="K540" i="1"/>
  <c r="K539" i="1"/>
  <c r="L399" i="1"/>
  <c r="C132" i="2" s="1"/>
  <c r="L393" i="1"/>
  <c r="C131" i="2" s="1"/>
  <c r="L385" i="1"/>
  <c r="K330" i="1"/>
  <c r="K344" i="1" s="1"/>
  <c r="J330" i="1"/>
  <c r="I653" i="1"/>
  <c r="L604" i="1"/>
  <c r="I161" i="1"/>
  <c r="D83" i="2"/>
  <c r="J132" i="1"/>
  <c r="I132" i="1"/>
  <c r="H132" i="1"/>
  <c r="F132" i="1"/>
  <c r="H185" i="1"/>
  <c r="G619" i="1" s="1"/>
  <c r="J619" i="1" s="1"/>
  <c r="G55" i="2"/>
  <c r="G96" i="2" s="1"/>
  <c r="I104" i="1"/>
  <c r="I185" i="1" s="1"/>
  <c r="G620" i="1" s="1"/>
  <c r="J620" i="1" s="1"/>
  <c r="C35" i="10"/>
  <c r="F651" i="1"/>
  <c r="I651" i="1" s="1"/>
  <c r="L354" i="1"/>
  <c r="E106" i="2"/>
  <c r="C106" i="2"/>
  <c r="G652" i="1"/>
  <c r="C21" i="10"/>
  <c r="C115" i="2"/>
  <c r="C19" i="10"/>
  <c r="E113" i="2"/>
  <c r="D12" i="13"/>
  <c r="C12" i="13" s="1"/>
  <c r="E112" i="2"/>
  <c r="C17" i="10"/>
  <c r="E111" i="2"/>
  <c r="E120" i="2" s="1"/>
  <c r="D6" i="13"/>
  <c r="C6" i="13" s="1"/>
  <c r="C15" i="10"/>
  <c r="C13" i="10"/>
  <c r="L282" i="1"/>
  <c r="C12" i="10"/>
  <c r="L203" i="1"/>
  <c r="E102" i="2"/>
  <c r="C11" i="10"/>
  <c r="L374" i="1"/>
  <c r="G626" i="1" s="1"/>
  <c r="J626" i="1" s="1"/>
  <c r="C29" i="10"/>
  <c r="H25" i="13"/>
  <c r="J613" i="1"/>
  <c r="D137" i="2"/>
  <c r="G32" i="2"/>
  <c r="G43" i="2" s="1"/>
  <c r="J610" i="1"/>
  <c r="J19" i="1"/>
  <c r="G611" i="1" s="1"/>
  <c r="G12" i="2"/>
  <c r="F185" i="1"/>
  <c r="G617" i="1" s="1"/>
  <c r="J617" i="1" s="1"/>
  <c r="C27" i="10"/>
  <c r="G625" i="1"/>
  <c r="J625" i="1" s="1"/>
  <c r="F650" i="1"/>
  <c r="D73" i="2"/>
  <c r="D96" i="2" s="1"/>
  <c r="E54" i="2"/>
  <c r="E55" i="2" s="1"/>
  <c r="E96" i="2" s="1"/>
  <c r="G19" i="2"/>
  <c r="J542" i="1"/>
  <c r="L400" i="1"/>
  <c r="C130" i="2"/>
  <c r="C133" i="2" s="1"/>
  <c r="C43" i="2"/>
  <c r="C38" i="10"/>
  <c r="H33" i="13"/>
  <c r="C25" i="13"/>
  <c r="G153" i="2"/>
  <c r="K541" i="1"/>
  <c r="K542" i="1" s="1"/>
  <c r="D43" i="2"/>
  <c r="J43" i="1"/>
  <c r="E136" i="2"/>
  <c r="J614" i="1"/>
  <c r="L426" i="1"/>
  <c r="G628" i="1" s="1"/>
  <c r="J628" i="1" s="1"/>
  <c r="J607" i="1"/>
  <c r="L529" i="1"/>
  <c r="I450" i="1"/>
  <c r="I451" i="1" s="1"/>
  <c r="H632" i="1" s="1"/>
  <c r="J632" i="1" s="1"/>
  <c r="L221" i="1"/>
  <c r="G650" i="1" s="1"/>
  <c r="G654" i="1" s="1"/>
  <c r="F122" i="2"/>
  <c r="F136" i="2" s="1"/>
  <c r="F137" i="2" s="1"/>
  <c r="C116" i="2"/>
  <c r="C110" i="2"/>
  <c r="E103" i="2"/>
  <c r="E107" i="2" s="1"/>
  <c r="E137" i="2" s="1"/>
  <c r="F31" i="13"/>
  <c r="E13" i="13"/>
  <c r="C13" i="13" s="1"/>
  <c r="L320" i="1"/>
  <c r="J104" i="1"/>
  <c r="J185" i="1" s="1"/>
  <c r="C20" i="10"/>
  <c r="D15" i="13"/>
  <c r="C15" i="13" s="1"/>
  <c r="G161" i="1"/>
  <c r="G185" i="1" s="1"/>
  <c r="G618" i="1" s="1"/>
  <c r="J618" i="1" s="1"/>
  <c r="C122" i="2"/>
  <c r="G640" i="1"/>
  <c r="J640" i="1" s="1"/>
  <c r="G612" i="1"/>
  <c r="J612" i="1" s="1"/>
  <c r="J263" i="1"/>
  <c r="C23" i="10"/>
  <c r="C18" i="10"/>
  <c r="C10" i="10"/>
  <c r="C32" i="10"/>
  <c r="F22" i="13"/>
  <c r="C22" i="13" s="1"/>
  <c r="D5" i="13"/>
  <c r="L534" i="1"/>
  <c r="C101" i="2"/>
  <c r="C107" i="2" s="1"/>
  <c r="G639" i="1"/>
  <c r="J639" i="1" s="1"/>
  <c r="G635" i="1"/>
  <c r="J635" i="1" s="1"/>
  <c r="F652" i="1"/>
  <c r="I652" i="1" s="1"/>
  <c r="C113" i="2"/>
  <c r="C123" i="2"/>
  <c r="L524" i="1"/>
  <c r="L535" i="1" s="1"/>
  <c r="C24" i="10"/>
  <c r="E16" i="13"/>
  <c r="C16" i="13" s="1"/>
  <c r="C136" i="2" l="1"/>
  <c r="L330" i="1"/>
  <c r="L344" i="1" s="1"/>
  <c r="G623" i="1" s="1"/>
  <c r="J623" i="1" s="1"/>
  <c r="D31" i="13"/>
  <c r="C31" i="13" s="1"/>
  <c r="J344" i="1"/>
  <c r="H638" i="1"/>
  <c r="J638" i="1" s="1"/>
  <c r="C73" i="2"/>
  <c r="C96" i="2" s="1"/>
  <c r="G657" i="1"/>
  <c r="G662" i="1"/>
  <c r="C5" i="10" s="1"/>
  <c r="C36" i="10"/>
  <c r="C28" i="10"/>
  <c r="D27" i="10" s="1"/>
  <c r="D10" i="10"/>
  <c r="C39" i="10"/>
  <c r="G627" i="1"/>
  <c r="J627" i="1" s="1"/>
  <c r="H636" i="1"/>
  <c r="F33" i="13"/>
  <c r="G636" i="1"/>
  <c r="J636" i="1" s="1"/>
  <c r="G621" i="1"/>
  <c r="J621" i="1" s="1"/>
  <c r="D24" i="10"/>
  <c r="D23" i="10"/>
  <c r="H650" i="1"/>
  <c r="H654" i="1" s="1"/>
  <c r="C120" i="2"/>
  <c r="C137" i="2" s="1"/>
  <c r="G616" i="1"/>
  <c r="J616" i="1" s="1"/>
  <c r="J44" i="1"/>
  <c r="H611" i="1" s="1"/>
  <c r="J611" i="1" s="1"/>
  <c r="E33" i="13"/>
  <c r="D35" i="13" s="1"/>
  <c r="F654" i="1"/>
  <c r="D33" i="13"/>
  <c r="D36" i="13" s="1"/>
  <c r="C5" i="13"/>
  <c r="L249" i="1"/>
  <c r="L263" i="1" s="1"/>
  <c r="G622" i="1" s="1"/>
  <c r="J622" i="1" s="1"/>
  <c r="C41" i="10" l="1"/>
  <c r="D39" i="10"/>
  <c r="H657" i="1"/>
  <c r="H662" i="1"/>
  <c r="C6" i="10" s="1"/>
  <c r="C30" i="10"/>
  <c r="D22" i="10"/>
  <c r="D16" i="10"/>
  <c r="D19" i="10"/>
  <c r="D17" i="10"/>
  <c r="D21" i="10"/>
  <c r="D12" i="10"/>
  <c r="D25" i="10"/>
  <c r="D11" i="10"/>
  <c r="D13" i="10"/>
  <c r="D26" i="10"/>
  <c r="D15" i="10"/>
  <c r="D20" i="10"/>
  <c r="I650" i="1"/>
  <c r="I654" i="1" s="1"/>
  <c r="F657" i="1"/>
  <c r="F662" i="1"/>
  <c r="C4" i="10" s="1"/>
  <c r="D18" i="10"/>
  <c r="H646" i="1"/>
  <c r="D28" i="10" l="1"/>
  <c r="I657" i="1"/>
  <c r="I662" i="1"/>
  <c r="C7" i="10" s="1"/>
  <c r="D37" i="10"/>
  <c r="D40" i="10"/>
  <c r="D35" i="10"/>
  <c r="D38" i="10"/>
  <c r="D36" i="10"/>
  <c r="D4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695F7952-6006-4CAA-B596-8C4E6B1E95BB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272E532F-5755-452B-B41A-905B3A39EF8E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1B8A91FF-8889-4D6B-BE00-CFB04967AA7B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B8D06305-00B1-4B69-82DF-7A25434A4545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D73957AF-0085-4386-ADB6-AFD3DC9CF682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ACB3BCDC-38ED-4937-A878-25EC79776326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585B3402-5DC1-4D82-8B7C-17D92C5E5B1B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BC0EAFA9-830C-44AE-9A65-DA472DF20E3E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F8B42F66-D4D7-4530-AA34-9010472ED963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81E290B7-51AB-4D5A-B82D-1E4E8A513789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76932596-61E1-4D29-BCAB-478339A8F5C1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06A89C4A-9CE2-4555-9D1E-9ACF1E63FCC0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<sst xmlns="http://schemas.openxmlformats.org/spreadsheetml/2006/main" count="3862" uniqueCount="898">
  <si>
    <t>NAME:</t>
  </si>
  <si>
    <t>DIST</t>
  </si>
  <si>
    <t>LOC</t>
  </si>
  <si>
    <t>DOE 25  2010-2011</t>
  </si>
  <si>
    <t>Portsmouth</t>
  </si>
  <si>
    <t>Acct</t>
  </si>
  <si>
    <t>(1)</t>
  </si>
  <si>
    <t>(2)</t>
  </si>
  <si>
    <t>(3)</t>
  </si>
  <si>
    <t>(4)</t>
  </si>
  <si>
    <t>(5)</t>
  </si>
  <si>
    <t>(6)</t>
  </si>
  <si>
    <t>(7)</t>
  </si>
  <si>
    <t>TITLES</t>
  </si>
  <si>
    <t>PAGE</t>
  </si>
  <si>
    <t>LINE</t>
  </si>
  <si>
    <t>No</t>
  </si>
  <si>
    <t>****************************</t>
  </si>
  <si>
    <t>BALANCE SHEET</t>
  </si>
  <si>
    <t>Fund 10</t>
  </si>
  <si>
    <t>Fund 21</t>
  </si>
  <si>
    <t>Fund 22</t>
  </si>
  <si>
    <t>Fund 30</t>
  </si>
  <si>
    <t>Fund 70</t>
  </si>
  <si>
    <t>GENERAL</t>
  </si>
  <si>
    <t>FOOD SERVICE</t>
  </si>
  <si>
    <t>ALL OTHER</t>
  </si>
  <si>
    <t>CAPITAL PROJECTS</t>
  </si>
  <si>
    <t>TRUST/AGENCY</t>
  </si>
  <si>
    <t xml:space="preserve">     ASSETS</t>
  </si>
  <si>
    <t>SPECIAL REVENUE</t>
  </si>
  <si>
    <t>Current Assets</t>
  </si>
  <si>
    <t>............</t>
  </si>
  <si>
    <t xml:space="preserve">  CASH</t>
  </si>
  <si>
    <t xml:space="preserve">   1</t>
  </si>
  <si>
    <t>A</t>
  </si>
  <si>
    <t xml:space="preserve">  INVESTMENTS</t>
  </si>
  <si>
    <t xml:space="preserve">  ASSESSMENTS RECEIVABLE</t>
  </si>
  <si>
    <t xml:space="preserve">  INTERFUND RECEIVABLE</t>
  </si>
  <si>
    <t xml:space="preserve">  INTERGOVERNMENTAL RECEIVABLES</t>
  </si>
  <si>
    <t xml:space="preserve">  OTHER RECEIVABLES</t>
  </si>
  <si>
    <t xml:space="preserve">  BOND PROCEEDS RECEIVABLE</t>
  </si>
  <si>
    <t xml:space="preserve">  INVENTORIES</t>
  </si>
  <si>
    <t xml:space="preserve">  PREPAID EXPENSES</t>
  </si>
  <si>
    <t xml:space="preserve">  OTHER CURRENT ASSETS</t>
  </si>
  <si>
    <t xml:space="preserve">Total Current Assets </t>
  </si>
  <si>
    <t xml:space="preserve">   </t>
  </si>
  <si>
    <t xml:space="preserve">     LIABILITY &amp; FUND EQUITY</t>
  </si>
  <si>
    <t>Current Liabilities</t>
  </si>
  <si>
    <t xml:space="preserve">  INTERFUND PAYABLES</t>
  </si>
  <si>
    <t>L</t>
  </si>
  <si>
    <t xml:space="preserve">  INTERGOVERNMENTAL PAYABLES</t>
  </si>
  <si>
    <t xml:space="preserve">  OTHER PAYABLES</t>
  </si>
  <si>
    <t xml:space="preserve">  CONTRACTS PAYABLE</t>
  </si>
  <si>
    <t xml:space="preserve">  BOND AND INTEREST PAYABLE</t>
  </si>
  <si>
    <t xml:space="preserve">  LOANS AND INTEREST PAYABLE</t>
  </si>
  <si>
    <t xml:space="preserve">  ACCRUED EXPENSES</t>
  </si>
  <si>
    <t xml:space="preserve">  PAYROLL DEDUCTIONS</t>
  </si>
  <si>
    <t xml:space="preserve">  DEFERRED REVENUES</t>
  </si>
  <si>
    <t xml:space="preserve">  OTHER CURRENT LIABILITIES</t>
  </si>
  <si>
    <t>Total  Current Liabilities</t>
  </si>
  <si>
    <t xml:space="preserve">  Fund Equity</t>
  </si>
  <si>
    <t xml:space="preserve"> </t>
  </si>
  <si>
    <t xml:space="preserve">  RESERVE FOR INVENTORIES</t>
  </si>
  <si>
    <t>F</t>
  </si>
  <si>
    <t xml:space="preserve">  RESERVE FOR PREPAID EXPENSES</t>
  </si>
  <si>
    <t xml:space="preserve">  RESERVE FOR ENCUMBRANCES</t>
  </si>
  <si>
    <t xml:space="preserve">  RESERVE FOR CONTINUING APPROPRIATIONS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</si>
  <si>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</si>
  <si>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</si>
  <si>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</si>
  <si>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</si>
  <si>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 xml:space="preserve">Total Fund Equity </t>
  </si>
  <si>
    <t>Total Liabilities and Fund Equity</t>
  </si>
  <si>
    <t>STATEMENT OF REVENUES</t>
  </si>
  <si>
    <t>Revenue from Local Sources</t>
  </si>
  <si>
    <t>Assessments</t>
  </si>
  <si>
    <t xml:space="preserve">  CURRENT APPROPRIATION</t>
  </si>
  <si>
    <t xml:space="preserve">   2</t>
  </si>
  <si>
    <t>R</t>
  </si>
  <si>
    <t xml:space="preserve">  DEFICIT APPROPRIATION</t>
  </si>
  <si>
    <t xml:space="preserve">  OTHER</t>
  </si>
  <si>
    <t xml:space="preserve"> Total Assessments</t>
  </si>
  <si>
    <t xml:space="preserve">TUITION  </t>
  </si>
  <si>
    <t>Tuition from Individuals</t>
  </si>
  <si>
    <t xml:space="preserve">  REGULAR DAY SCHOOL</t>
  </si>
  <si>
    <t xml:space="preserve">  SUMMER SCHOOL</t>
  </si>
  <si>
    <t xml:space="preserve">  DRIVER EDUCATION</t>
  </si>
  <si>
    <t xml:space="preserve">  ADULT EDUCATION</t>
  </si>
  <si>
    <t>Tuition from Other LEAs Within NH</t>
  </si>
  <si>
    <t xml:space="preserve">  SPECIAL EDUCATION</t>
  </si>
  <si>
    <t xml:space="preserve">  VOCATIONAL</t>
  </si>
  <si>
    <t>Tuition from Other LEAs outside NH</t>
  </si>
  <si>
    <t>Tuition from Other Sources</t>
  </si>
  <si>
    <t>Total Tuition</t>
  </si>
  <si>
    <t xml:space="preserve"> 18</t>
  </si>
  <si>
    <t>TRANSPORTATION FEES</t>
  </si>
  <si>
    <t>Transportation Fees from Individuals</t>
  </si>
  <si>
    <t xml:space="preserve">   3</t>
  </si>
  <si>
    <t>Other LEAs Within NH</t>
  </si>
  <si>
    <t>Other LEAs Outside NH</t>
  </si>
  <si>
    <t xml:space="preserve">  TRANSPORTATION FEES FOR NON-STUDENT</t>
  </si>
  <si>
    <t xml:space="preserve">Total Transportation </t>
  </si>
  <si>
    <t>Additional Revenues</t>
  </si>
  <si>
    <t xml:space="preserve">  EARNINGS ON INVESTMENTS</t>
  </si>
  <si>
    <t xml:space="preserve">  FOOD SERVICE SALES</t>
  </si>
  <si>
    <t xml:space="preserve">  STUDENT ACTIVITIES</t>
  </si>
  <si>
    <t xml:space="preserve">  COMMUNITY SERVICE ACTIVITIES</t>
  </si>
  <si>
    <t>Other Revenue from Local Sources</t>
  </si>
  <si>
    <t xml:space="preserve">  RENTALS</t>
  </si>
  <si>
    <t xml:space="preserve">  CONTRIBUTION &amp; DONATIONS</t>
  </si>
  <si>
    <t xml:space="preserve">  SALE OF FIXED ASSETS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</si>
  <si>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</si>
  <si>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</si>
  <si>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</si>
  <si>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SAUs</t>
  </si>
  <si>
    <t xml:space="preserve">  SERVICES PROVIDED TO LOCAL GOV UNITS</t>
  </si>
  <si>
    <t xml:space="preserve">  REFUND OF PRIOR YEAR EXPENDITURES</t>
  </si>
  <si>
    <t>Total Additional/Other Revenue</t>
  </si>
  <si>
    <t>Total Local Revenue</t>
  </si>
  <si>
    <t>REVENUES</t>
  </si>
  <si>
    <t>Revenue from State Sources</t>
  </si>
  <si>
    <t>Unrestricted Grants-In-Aid</t>
  </si>
  <si>
    <t xml:space="preserve">  ADEQUACY AID GRANT</t>
  </si>
  <si>
    <t xml:space="preserve">   4</t>
  </si>
  <si>
    <t xml:space="preserve">  STATEWIDE ENHANCED EDUCATION TAX</t>
  </si>
  <si>
    <t xml:space="preserve">  ADEQUACY AID GRANT - EDJOBS</t>
  </si>
  <si>
    <t xml:space="preserve">  OTHER STATE AID</t>
  </si>
  <si>
    <t xml:space="preserve">Total Unrestricted Grants-In-Aid </t>
  </si>
  <si>
    <t>Restricted Grants-In-Aid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</si>
  <si>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</si>
  <si>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</si>
  <si>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</si>
  <si>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</si>
  <si>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</si>
  <si>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</si>
  <si>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</si>
  <si>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</si>
  <si>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 xml:space="preserve">  CHILD NUTRITION</t>
  </si>
  <si>
    <t xml:space="preserve">  SCHOOL IMPROVEMENT AID</t>
  </si>
  <si>
    <t xml:space="preserve">  OTHER RESTRICTED STATE AID</t>
  </si>
  <si>
    <t>Total Restricted Grants-In-Aid</t>
  </si>
  <si>
    <t>PUBLIC INTER AGENCIES</t>
  </si>
  <si>
    <t>REVENUE IN LIEU OF TAXES</t>
  </si>
  <si>
    <t>REVENUE FOR/ON BEHALF OF LEA</t>
  </si>
  <si>
    <t>Total State Revenue</t>
  </si>
  <si>
    <t>Revenues from Federal sources</t>
  </si>
  <si>
    <t xml:space="preserve">   FROM THE FEDERAL GOV'T DIRECT</t>
  </si>
  <si>
    <t xml:space="preserve">   5</t>
  </si>
  <si>
    <t xml:space="preserve">   FROM THE FEDERAL GOV'T THROUGH STATE</t>
  </si>
  <si>
    <t>Total Unrestricted Grants-In-Aid</t>
  </si>
  <si>
    <t xml:space="preserve"> FROM THE FEDERAL GOV'T DIRECT</t>
  </si>
  <si>
    <t xml:space="preserve">    </t>
  </si>
  <si>
    <t xml:space="preserve">   ELEMENTARY/SECONDARY PROGRAMS</t>
  </si>
  <si>
    <t xml:space="preserve">   VOCATIONAL PROGRAMS</t>
  </si>
  <si>
    <t xml:space="preserve">   DISABILITIES PROGRAMS</t>
  </si>
  <si>
    <t xml:space="preserve"> FROM THE FEDERAL GOV'T THROUGH STATE</t>
  </si>
  <si>
    <t xml:space="preserve">   ELEM/SEC(ESEA) - TITLE 1</t>
  </si>
  <si>
    <t xml:space="preserve">   ELEM/SEC(ESEA) - ALL OTHER PROGRAMS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</si>
  <si>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</si>
  <si>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</si>
  <si>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</si>
  <si>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</si>
  <si>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</si>
  <si>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Total Restricted Grants-In-Aid </t>
  </si>
  <si>
    <t xml:space="preserve">  OTHER PUBLIC INTERMEDIATE AGENCIES</t>
  </si>
  <si>
    <t>Revenue in Lieu of Taxes</t>
  </si>
  <si>
    <t xml:space="preserve">    FEDERAL FOREST RESERVE</t>
  </si>
  <si>
    <t xml:space="preserve">    OTHER REVENUE IN LIEU OF TAXES</t>
  </si>
  <si>
    <t>Revenue For/On Behalf of LEA</t>
  </si>
  <si>
    <t xml:space="preserve"> REVENUE FOR/ON BEHALF OF LEA</t>
  </si>
  <si>
    <t xml:space="preserve">Total Revenue from Federal Sources </t>
  </si>
  <si>
    <t>OTHER FINANCING SOURCES</t>
  </si>
  <si>
    <t>Sales of Bonds &amp; Notes Proceeds</t>
  </si>
  <si>
    <t xml:space="preserve">  PRINCIPAL</t>
  </si>
  <si>
    <t xml:space="preserve">   6</t>
  </si>
  <si>
    <t xml:space="preserve">  PREMIUM</t>
  </si>
  <si>
    <t xml:space="preserve">  ACCRUED INTEREST</t>
  </si>
  <si>
    <t xml:space="preserve">  REIMBURSEMENT ANTICIPATION NOTES</t>
  </si>
  <si>
    <t xml:space="preserve"> Total Sale of Bonds and Notes</t>
  </si>
  <si>
    <t>Interfund Transfers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</si>
  <si>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</si>
  <si>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</si>
  <si>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</si>
  <si>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</si>
  <si>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>Total Interfund Transfers</t>
  </si>
  <si>
    <t>Transfer from Trust Funds</t>
  </si>
  <si>
    <t xml:space="preserve">  FROM CAPITAL RESERVE FUND</t>
  </si>
  <si>
    <t xml:space="preserve">  FROM OTHER EXPENDABLE TRUST FUNDS</t>
  </si>
  <si>
    <t xml:space="preserve">  FROM NONEXPENDABLE TRUST FUNDS</t>
  </si>
  <si>
    <t>Total Transfer from Trust Funds</t>
  </si>
  <si>
    <t>COMPENSATION FOR LOSS OF FIXED ASSETS</t>
  </si>
  <si>
    <t>CAPITAL LEASES</t>
  </si>
  <si>
    <t>LEASE PURCHASES</t>
  </si>
  <si>
    <t>Total Other Financing Sources</t>
  </si>
  <si>
    <t>Total Revenue &amp; Other Financing Sources</t>
  </si>
  <si>
    <t>GENERAL FUND</t>
  </si>
  <si>
    <t>100</t>
  </si>
  <si>
    <t>200</t>
  </si>
  <si>
    <t>300,400,500</t>
  </si>
  <si>
    <t>600</t>
  </si>
  <si>
    <t>700</t>
  </si>
  <si>
    <t>800/900</t>
  </si>
  <si>
    <t>ELEMENTARY EXPENDITURES</t>
  </si>
  <si>
    <t>Salaries</t>
  </si>
  <si>
    <t>Employee Benefits</t>
  </si>
  <si>
    <t>Purchased Services</t>
  </si>
  <si>
    <t>Supplies</t>
  </si>
  <si>
    <t>Property</t>
  </si>
  <si>
    <t>Other</t>
  </si>
  <si>
    <t>Total</t>
  </si>
  <si>
    <t xml:space="preserve"> Instruction</t>
  </si>
  <si>
    <t xml:space="preserve">    REGULAR PROGRAMS</t>
  </si>
  <si>
    <t xml:space="preserve">   7</t>
  </si>
  <si>
    <t xml:space="preserve">  1</t>
  </si>
  <si>
    <t>E</t>
  </si>
  <si>
    <t xml:space="preserve">    SPECIAL PROGRAMS</t>
  </si>
  <si>
    <t xml:space="preserve">  2</t>
  </si>
  <si>
    <t xml:space="preserve">    VOCATIONAL PROGRAMS</t>
  </si>
  <si>
    <t xml:space="preserve">  3</t>
  </si>
  <si>
    <t xml:space="preserve">    OTHER INSTRUCTIONAL PROGRAMS</t>
  </si>
  <si>
    <t xml:space="preserve">  4</t>
  </si>
  <si>
    <t>Support Services</t>
  </si>
  <si>
    <t xml:space="preserve">    STUDENT</t>
  </si>
  <si>
    <t xml:space="preserve">  5</t>
  </si>
  <si>
    <t xml:space="preserve">    INSTRUCTIONAL STAFF</t>
  </si>
  <si>
    <t xml:space="preserve">  6</t>
  </si>
  <si>
    <t xml:space="preserve">    GENERAL ADMINISTRATION</t>
  </si>
  <si>
    <t xml:space="preserve">  7</t>
  </si>
  <si>
    <t xml:space="preserve">    SCHOOL ADMINISTRATION</t>
  </si>
  <si>
    <t xml:space="preserve">  8</t>
  </si>
  <si>
    <t xml:space="preserve">    BUSINESS</t>
  </si>
  <si>
    <t xml:space="preserve">  9</t>
  </si>
  <si>
    <t xml:space="preserve">    OPERATION/MAINTENANCE OF PLANT</t>
  </si>
  <si>
    <t xml:space="preserve"> 10</t>
  </si>
  <si>
    <t xml:space="preserve">    STUDENT TRANSPORTATION</t>
  </si>
  <si>
    <t xml:space="preserve"> 11</t>
  </si>
  <si>
    <t xml:space="preserve">    CENTRAL</t>
  </si>
  <si>
    <t xml:space="preserve"> 12</t>
  </si>
  <si>
    <t xml:space="preserve">    OTHER</t>
  </si>
  <si>
    <t xml:space="preserve"> 13</t>
  </si>
  <si>
    <t>Total Elementary Expenditures</t>
  </si>
  <si>
    <t xml:space="preserve"> 14</t>
  </si>
  <si>
    <t>MIDDLE/JUNIOR HIGH EXPENDITURES</t>
  </si>
  <si>
    <t xml:space="preserve">   8</t>
  </si>
  <si>
    <t>Total Middle/Junior High Expenditures</t>
  </si>
  <si>
    <t>HIGH SCHOOL EXPENDITURES</t>
  </si>
  <si>
    <t>Instruction</t>
  </si>
  <si>
    <t xml:space="preserve">   9</t>
  </si>
  <si>
    <t>Total High School Expenditures</t>
  </si>
  <si>
    <t xml:space="preserve">  DISTRICT WIDE EXPENDITURES</t>
  </si>
  <si>
    <t>PRIVATE PROGRAMS</t>
  </si>
  <si>
    <t xml:space="preserve">  10</t>
  </si>
  <si>
    <t>ADULT/CONTINUING ED PROGRAMS</t>
  </si>
  <si>
    <t>COMMUNITY/JR. COLLEGE ED. PROGRAMS</t>
  </si>
  <si>
    <t>COMMUNITY SERVICE PROGRAMS</t>
  </si>
  <si>
    <t>NON-STUDENT TRANSPORTATION</t>
  </si>
  <si>
    <t>FACILITIES ACQUISITION &amp; CONSTRUCTION</t>
  </si>
  <si>
    <t xml:space="preserve">Total District Wide Expenditures </t>
  </si>
  <si>
    <t>Total Expenditures General Fund</t>
  </si>
  <si>
    <t>OTHER FINANCING USES</t>
  </si>
  <si>
    <t xml:space="preserve">  </t>
  </si>
  <si>
    <t>Debt Service</t>
  </si>
  <si>
    <t xml:space="preserve">  INTEREST</t>
  </si>
  <si>
    <t>Fund Transfers</t>
  </si>
  <si>
    <t xml:space="preserve">  FOOD SERVICE SPECIAL REV. FUND</t>
  </si>
  <si>
    <t xml:space="preserve">  ALL OTHER SPECIAL REV. FUNDS</t>
  </si>
  <si>
    <t xml:space="preserve">  CAPITAL PROJECT FUNDS</t>
  </si>
  <si>
    <t xml:space="preserve">  TRUST/AGENCY FUNDS</t>
  </si>
  <si>
    <t>Intergovernmental Agency Allocations</t>
  </si>
  <si>
    <t xml:space="preserve">  TO CHARTER SCHOOLS</t>
  </si>
  <si>
    <t xml:space="preserve">  TO OTHER AGENCIES</t>
  </si>
  <si>
    <t>Total Other Financing Uses</t>
  </si>
  <si>
    <t xml:space="preserve">Total Expenditures &amp; Other Financing Uses </t>
  </si>
  <si>
    <t>SPECIAL REVENUE FUND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</si>
  <si>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</si>
  <si>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</si>
  <si>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</si>
  <si>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</si>
  <si>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</si>
  <si>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Total District Wide Expenditures</t>
  </si>
  <si>
    <t>Total Expenditures Special Revenue Funds</t>
  </si>
  <si>
    <t xml:space="preserve">  TO GENERAL FUND</t>
  </si>
  <si>
    <t xml:space="preserve">  TO FOOD SERVICE SPEC REV. FUND</t>
  </si>
  <si>
    <t xml:space="preserve">  TO CAPITAL PROJECTS FUNDS</t>
  </si>
  <si>
    <t xml:space="preserve">  TO TRUST/AGENCY FUNDS</t>
  </si>
  <si>
    <t>Total Expenditures &amp; Other Financing Uses</t>
  </si>
  <si>
    <t>Operation of Non-Instructional Services</t>
  </si>
  <si>
    <t>Food service Operations</t>
  </si>
  <si>
    <t xml:space="preserve">  ELEMENTARY</t>
  </si>
  <si>
    <t xml:space="preserve">  15</t>
  </si>
  <si>
    <t xml:space="preserve">  MIDDLE/JUNIOR HIGH</t>
  </si>
  <si>
    <t xml:space="preserve">  HIGH</t>
  </si>
  <si>
    <t>TRANSFER TO OTHER FUNDS</t>
  </si>
  <si>
    <t>SUMMARY OF OBJECT 600 SUPPLIES (COLUMN 4)</t>
  </si>
  <si>
    <t>ELEMENTARY</t>
  </si>
  <si>
    <t>MIDDLE/JR HIGH</t>
  </si>
  <si>
    <t>HIGH</t>
  </si>
  <si>
    <t>TOTAL</t>
  </si>
  <si>
    <t>FOOD</t>
  </si>
  <si>
    <t>S</t>
  </si>
  <si>
    <t>OTHER SUPPLIES</t>
  </si>
  <si>
    <t>FUNCTION</t>
  </si>
  <si>
    <t>Facilities Acquisition &amp; Construction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</si>
  <si>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</si>
  <si>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</si>
  <si>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</si>
  <si>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</si>
  <si>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</si>
  <si>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</si>
  <si>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15</t>
  </si>
  <si>
    <t xml:space="preserve"> 16</t>
  </si>
  <si>
    <t xml:space="preserve"> 17</t>
  </si>
  <si>
    <t xml:space="preserve">TRUST FUNDS: </t>
  </si>
  <si>
    <t>COMBINING STATEMENT OF REVENUES</t>
  </si>
  <si>
    <t>INTERFUND</t>
  </si>
  <si>
    <t>INTEREST</t>
  </si>
  <si>
    <t>OTHER</t>
  </si>
  <si>
    <t>Capital Reserve Funds</t>
  </si>
  <si>
    <t>APPROPRIATIONS</t>
  </si>
  <si>
    <t>TRANSFERS</t>
  </si>
  <si>
    <t>EARNED</t>
  </si>
  <si>
    <t>INCOME</t>
  </si>
  <si>
    <t xml:space="preserve">  LAND ACQUISITION</t>
  </si>
  <si>
    <t xml:space="preserve">  16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</si>
  <si>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</si>
  <si>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</si>
  <si>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</si>
  <si>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</si>
  <si>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</si>
  <si>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>Subtotal (Lines 1 thru 6)</t>
  </si>
  <si>
    <t>Other Expendable Funds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</si>
  <si>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</si>
  <si>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</si>
  <si>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</si>
  <si>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</si>
  <si>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Subtotal (Lines 8 thru 13)</t>
  </si>
  <si>
    <t>Non-Expendable Funds</t>
  </si>
  <si>
    <t>Scholarship Trust Funds</t>
  </si>
  <si>
    <t>School  Trust Funds</t>
  </si>
  <si>
    <t>Subtotal (Lines 15 thru 19)</t>
  </si>
  <si>
    <t xml:space="preserve">Total Trust Fund Revenue </t>
  </si>
  <si>
    <t>EMPLOYEE</t>
  </si>
  <si>
    <t>PURCHASE</t>
  </si>
  <si>
    <t>COMBINING STATEMENT OF EXPENDITURES</t>
  </si>
  <si>
    <t>SALARIES</t>
  </si>
  <si>
    <t>BENEFITS</t>
  </si>
  <si>
    <t>SERVICES</t>
  </si>
  <si>
    <t>SUPPLIES</t>
  </si>
  <si>
    <t>PROPERTY</t>
  </si>
  <si>
    <t>School Trust Funds</t>
  </si>
  <si>
    <t>Total Trust Fund Expenditures</t>
  </si>
  <si>
    <t>TRUST FUNDS:</t>
  </si>
  <si>
    <t>COMBINING BALANCE SHEET</t>
  </si>
  <si>
    <t>Capital Reserve</t>
  </si>
  <si>
    <t>Other Expendable</t>
  </si>
  <si>
    <t>Non-Expendable</t>
  </si>
  <si>
    <t>CURRENT ASSETS</t>
  </si>
  <si>
    <t xml:space="preserve">  INTERFUND RECEIVABLES</t>
  </si>
  <si>
    <t xml:space="preserve">  PREPAID EXPENSE</t>
  </si>
  <si>
    <t xml:space="preserve">  OTHER ASSETS</t>
  </si>
  <si>
    <t>CURRENT LIABILITIES</t>
  </si>
  <si>
    <t xml:space="preserve">  OTHER LIABILITIES</t>
  </si>
  <si>
    <t xml:space="preserve">Total Current Liabilities </t>
  </si>
  <si>
    <t>FUND EQUITY</t>
  </si>
  <si>
    <t xml:space="preserve">  RESERVED FOR ENCUMBRANCES</t>
  </si>
  <si>
    <t xml:space="preserve">  RESERVED FOR CONTINUING APPROPRIATIONS</t>
  </si>
  <si>
    <t xml:space="preserve">  RESERVED FOR ENDOWMENTS</t>
  </si>
  <si>
    <t>Tot Liabilities &amp; 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</si>
  <si>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</si>
  <si>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</si>
  <si>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</si>
  <si>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</si>
  <si>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</si>
  <si>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</si>
  <si>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TOTAL FUND EQUITY, JULY 1, 2010</t>
  </si>
  <si>
    <t>Additions</t>
  </si>
  <si>
    <t xml:space="preserve">  REVENUE *</t>
  </si>
  <si>
    <t xml:space="preserve">  OTHER ADDITIONS **</t>
  </si>
  <si>
    <t xml:space="preserve">Total Additions </t>
  </si>
  <si>
    <t>Deletions</t>
  </si>
  <si>
    <t xml:space="preserve">  EXPENDITURES ***</t>
  </si>
  <si>
    <t xml:space="preserve">  OTHER DELETIONS **</t>
  </si>
  <si>
    <t>Total Deletions</t>
  </si>
  <si>
    <t xml:space="preserve">Total Fund Equity June 30, 2011**** </t>
  </si>
  <si>
    <t>*    Must agree with totals on Page 6, line 19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</si>
  <si>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</si>
  <si>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t>*** Must agree with total for:</t>
  </si>
  <si>
    <t xml:space="preserve">  General Fund on.. ……..………...…..Page 10,Line 18, Col. 7</t>
  </si>
  <si>
    <t xml:space="preserve">  Food Service Special Revenue Fund on…..Page 15, Line 5, Col. 7</t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</si>
  <si>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</si>
  <si>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 xml:space="preserve">  All Other Special Revenue Funds on ……..Page 14, Line 17, Col. 7</t>
  </si>
  <si>
    <t xml:space="preserve">  Capital Projects Funds on…….……………….Page 15, Line 17, Col. 7</t>
  </si>
  <si>
    <t xml:space="preserve">  Trust Funds on….…………………………………..Page 17, Line 20, Col.7</t>
  </si>
  <si>
    <t>**** Must agree with………….…………………….Page 1, Line 31</t>
  </si>
  <si>
    <t xml:space="preserve">AMORTIZATION SCHEDULE OF LONG TERM DEBT </t>
  </si>
  <si>
    <t>For the Fiscal Year Ending on June 30, 2011</t>
  </si>
  <si>
    <t>REPORT IN WHOLE DOLLARS</t>
  </si>
  <si>
    <t>DEBT 1</t>
  </si>
  <si>
    <t>DEBT 2</t>
  </si>
  <si>
    <t>DEBT 3</t>
  </si>
  <si>
    <t>DEBT 4</t>
  </si>
  <si>
    <t>DEBT 5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</si>
  <si>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</si>
  <si>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</si>
  <si>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</si>
  <si>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</si>
  <si>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</si>
  <si>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</si>
  <si>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</si>
  <si>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</si>
  <si>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</si>
  <si>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</si>
  <si>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</si>
  <si>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Principal to be Paid Next Fiscal Year</t>
  </si>
  <si>
    <t xml:space="preserve">  Amount of Interest to be Paid Next Fiscal Year</t>
  </si>
  <si>
    <t xml:space="preserve">  Total Debt Next Fiscal Year Lines 12 plus 13)</t>
  </si>
  <si>
    <t>BAL BEG OF YEAR</t>
  </si>
  <si>
    <t>ADDITIONS</t>
  </si>
  <si>
    <t>DEDUCTIONS</t>
  </si>
  <si>
    <t>BAL END OF YEAR</t>
  </si>
  <si>
    <t>COMPENSATED ABSENCES PAYABLE</t>
  </si>
  <si>
    <t>FIXED ASSET GROUP OF ACCOUNTS (OPTIONAL)</t>
  </si>
  <si>
    <t>For Fiscal Year Ending June 30, 2011</t>
  </si>
  <si>
    <t>BEGINNING OF YEAR</t>
  </si>
  <si>
    <t>END OF YEAR</t>
  </si>
  <si>
    <t>Debit</t>
  </si>
  <si>
    <t>Credit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</si>
  <si>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</si>
  <si>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</si>
  <si>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</si>
  <si>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</si>
  <si>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</si>
  <si>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</si>
  <si>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Total </t>
  </si>
  <si>
    <t>DETAILED EXP DATA FOR SPECIAL EDUCATION</t>
  </si>
  <si>
    <t>(Data for Handicapped/Disabled Only) (All Funds)</t>
  </si>
  <si>
    <t>INSTRUCTION</t>
  </si>
  <si>
    <t xml:space="preserve">  Elementary</t>
  </si>
  <si>
    <t xml:space="preserve">  Middle/Junior High</t>
  </si>
  <si>
    <t xml:space="preserve">  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</si>
  <si>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</si>
  <si>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</si>
  <si>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</si>
  <si>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</si>
  <si>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</si>
  <si>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</si>
  <si>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</si>
  <si>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</si>
  <si>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</si>
  <si>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</si>
  <si>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</si>
  <si>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</si>
  <si>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</si>
  <si>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</si>
  <si>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</si>
  <si>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</si>
  <si>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</si>
  <si>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Instructional Level</t>
  </si>
  <si>
    <t>Lines 1,2,3</t>
  </si>
  <si>
    <t>Lines 5,6,7</t>
  </si>
  <si>
    <t>Lines 9,10,11</t>
  </si>
  <si>
    <t>Lines 13, 14,15</t>
  </si>
  <si>
    <t>Lines 17, 18,19</t>
  </si>
  <si>
    <t>DETAILED EXP DATA FOR SPECIAL EDUCATION (Data for Culturally Deprived, Bilingual and Gifted/Talented) (All Funds)</t>
  </si>
  <si>
    <t>ACTIVITY</t>
  </si>
  <si>
    <t>CULTURALLY DEPRIVED</t>
  </si>
  <si>
    <t>BILINGUAL</t>
  </si>
  <si>
    <t>GIFTED AND TALENTED</t>
  </si>
  <si>
    <t>TOTAL (Lines 4, 8, 12)</t>
  </si>
  <si>
    <t>DETAILED EXPENDITURE DATA REGARDING TUITION (All Funds) - DO NOT INCLUDE CHARTER SCHOOLS</t>
  </si>
  <si>
    <t>Description</t>
  </si>
  <si>
    <t>Object</t>
  </si>
  <si>
    <t>(1) Elementary</t>
  </si>
  <si>
    <t>(2) Middle/Jr. High</t>
  </si>
  <si>
    <t>(3) High</t>
  </si>
  <si>
    <t>(4) Total</t>
  </si>
  <si>
    <t xml:space="preserve">  Regular Program Tuition to LEAs within NH</t>
  </si>
  <si>
    <t xml:space="preserve">  Regular Program Tuition to LEAs outside NH</t>
  </si>
  <si>
    <t xml:space="preserve">  Regular Program Tuition to Public Academies/JMA * </t>
  </si>
  <si>
    <t xml:space="preserve">  Regular Program Tuition to Private and Other Schools</t>
  </si>
  <si>
    <t xml:space="preserve">  Special Program Tuition to LEAs within NH</t>
  </si>
  <si>
    <t xml:space="preserve">  Special Program Tuition to LEAs outside NH</t>
  </si>
  <si>
    <t xml:space="preserve">  Special Program Tuition to Public Academies/JMA *</t>
  </si>
  <si>
    <t xml:space="preserve">  Special Program Tuition to Private and Other Schools </t>
  </si>
  <si>
    <t xml:space="preserve">  Special Program Residential Costs</t>
  </si>
  <si>
    <t xml:space="preserve">  Vocational Program Tuition to LEAs within NH</t>
  </si>
  <si>
    <t xml:space="preserve">  Vocational Program Tuition to LEAs outside NH</t>
  </si>
  <si>
    <t xml:space="preserve">  Vocational Program Tuition to Public Academies/JMA*</t>
  </si>
  <si>
    <t xml:space="preserve">  Vocational Program Tuition to Private &amp; Other Schools</t>
  </si>
  <si>
    <t xml:space="preserve">  *Coe-Brown, Pinkerton and Prospect Mtn only</t>
  </si>
  <si>
    <t>DETAILED EXPENDITURE DATA ON TRANSPORTATION EXPENDITURES (General Fund only)</t>
  </si>
  <si>
    <t>Function</t>
  </si>
  <si>
    <t>Elementary</t>
  </si>
  <si>
    <t>Middle/Jr. High</t>
  </si>
  <si>
    <t>High</t>
  </si>
  <si>
    <t xml:space="preserve">  Regular To and From Transportation</t>
  </si>
  <si>
    <t>ALL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</si>
  <si>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</si>
  <si>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</si>
  <si>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</si>
  <si>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Co curricular Trips/Field Trips</t>
  </si>
  <si>
    <t xml:space="preserve">  Intra-District Transportation</t>
  </si>
  <si>
    <t xml:space="preserve">  Other Transportation</t>
  </si>
  <si>
    <t>DETAILED EXPENDITURE DATA ON CAPITAL ITEMS IN THE GENERAL AND OTHER SPECIAL REV FUNDS</t>
  </si>
  <si>
    <t xml:space="preserve">  Land and Improvements</t>
  </si>
  <si>
    <t>All except 4000</t>
  </si>
  <si>
    <t xml:space="preserve">  Buildings</t>
  </si>
  <si>
    <t xml:space="preserve">  Equipment (Mach/Furn/Veh/Computers)</t>
  </si>
  <si>
    <t>DETAILED EXPENDITURE DATA ON SUMMER SCHOOL PROGRAMS EXPENDITURES (All Funds Combined)</t>
  </si>
  <si>
    <t xml:space="preserve">  High School</t>
  </si>
  <si>
    <t>Page/Line/Column</t>
  </si>
  <si>
    <t>CHECK</t>
  </si>
  <si>
    <t>1/11/1</t>
  </si>
  <si>
    <t>1/32/1</t>
  </si>
  <si>
    <t>TOTALS</t>
  </si>
  <si>
    <t>1/11/2</t>
  </si>
  <si>
    <t>1/32/2</t>
  </si>
  <si>
    <t>1/11/3</t>
  </si>
  <si>
    <t>1/32/3</t>
  </si>
  <si>
    <t>1/11/4</t>
  </si>
  <si>
    <t>1/32/4</t>
  </si>
  <si>
    <t>1/11/5</t>
  </si>
  <si>
    <t>1/32/5</t>
  </si>
  <si>
    <t>1/31/1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</si>
  <si>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</si>
  <si>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</si>
  <si>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</si>
  <si>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</si>
  <si>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</si>
  <si>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</si>
  <si>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</si>
  <si>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</si>
  <si>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</si>
  <si>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6/19/1</t>
  </si>
  <si>
    <t>19/2/1</t>
  </si>
  <si>
    <t>6/19/2</t>
  </si>
  <si>
    <t>19/2/2</t>
  </si>
  <si>
    <t>6/19/3</t>
  </si>
  <si>
    <t>19/2/3</t>
  </si>
  <si>
    <t>6/19/4</t>
  </si>
  <si>
    <t>19/2/4</t>
  </si>
  <si>
    <t>6/19/5</t>
  </si>
  <si>
    <t>19/2/5</t>
  </si>
  <si>
    <t>10/18/7</t>
  </si>
  <si>
    <t>19/5/1</t>
  </si>
  <si>
    <t>14/17/7</t>
  </si>
  <si>
    <t>19/5/3</t>
  </si>
  <si>
    <t>15/5/4</t>
  </si>
  <si>
    <t>15/8/4</t>
  </si>
  <si>
    <t>15/5/7</t>
  </si>
  <si>
    <t>19/5/2</t>
  </si>
  <si>
    <t>15/17/7</t>
  </si>
  <si>
    <t>19/5/4</t>
  </si>
  <si>
    <t>16/20/7</t>
  </si>
  <si>
    <t>17/20/7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</si>
  <si>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</si>
  <si>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</si>
  <si>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</si>
  <si>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</si>
  <si>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</si>
  <si>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</si>
  <si>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</si>
  <si>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</si>
  <si>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</si>
  <si>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2/1/5</t>
  </si>
  <si>
    <t>16/20/1</t>
  </si>
  <si>
    <t>3/11/5</t>
  </si>
  <si>
    <t>16/20/3</t>
  </si>
  <si>
    <t>6/10/5</t>
  </si>
  <si>
    <t>16/20/2</t>
  </si>
  <si>
    <t>23/8/6</t>
  </si>
  <si>
    <t>7/11/7+8/11/7+9/11/7</t>
  </si>
  <si>
    <t>23/12/6</t>
  </si>
  <si>
    <t>(10/8/5+14/7/5)-(10/6/5+14/5/5)</t>
  </si>
  <si>
    <t>7/11/7</t>
  </si>
  <si>
    <t>23/8/3</t>
  </si>
  <si>
    <t>8/11/7</t>
  </si>
  <si>
    <t>23/8/4</t>
  </si>
  <si>
    <t>9/11/7</t>
  </si>
  <si>
    <t>23/8/5</t>
  </si>
  <si>
    <t>6/6/2</t>
  </si>
  <si>
    <t>(10/11/6+14/11/6)</t>
  </si>
  <si>
    <t>6/6/3</t>
  </si>
  <si>
    <t>10/12/6</t>
  </si>
  <si>
    <t>6/6/4</t>
  </si>
  <si>
    <t>10/13/6+14/12/6</t>
  </si>
  <si>
    <t>6/6/5</t>
  </si>
  <si>
    <t>10/14/6+14/13/6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</si>
  <si>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</si>
  <si>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</si>
  <si>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</si>
  <si>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</si>
  <si>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</si>
  <si>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</si>
  <si>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</si>
  <si>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</si>
  <si>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</si>
  <si>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</si>
  <si>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</si>
  <si>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</si>
  <si>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</si>
  <si>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</si>
  <si>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</si>
  <si>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</si>
  <si>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 xml:space="preserve">District Name:  </t>
  </si>
  <si>
    <t>See Instructions on Row 48</t>
  </si>
  <si>
    <t>General and Special Revenue Fund Personnel Expenditures for Instruction</t>
  </si>
  <si>
    <t xml:space="preserve">Totals - Reported on Pages 7-9 and 11-13 </t>
  </si>
  <si>
    <t>Account Code - 1100</t>
  </si>
  <si>
    <t>Regular Programs</t>
  </si>
  <si>
    <t>Benefits</t>
  </si>
  <si>
    <t>Totals</t>
  </si>
  <si>
    <t xml:space="preserve">   1. Teachers</t>
  </si>
  <si>
    <t xml:space="preserve">   2. Aides/Paras</t>
  </si>
  <si>
    <t xml:space="preserve">   3. Other</t>
  </si>
  <si>
    <t>Account Code - 1200</t>
  </si>
  <si>
    <t>Special Programs</t>
  </si>
  <si>
    <t>Account Code - 1300</t>
  </si>
  <si>
    <t>Vocational Programs</t>
  </si>
  <si>
    <t>Account Code - 1400</t>
  </si>
  <si>
    <t>Other Instructional Programs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</si>
  <si>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</si>
  <si>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</si>
  <si>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</si>
  <si>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</si>
  <si>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>Instructions</t>
  </si>
  <si>
    <t xml:space="preserve">  1.  The top line in each section is the sum of amounts reported at all grade levels for both the general and </t>
  </si>
  <si>
    <t xml:space="preserve">  special revenue funds on the DOE-25 worksheet.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</si>
  <si>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</si>
  <si>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"Check Total OK", will change to "Check Total Error" in cells A13, A22, A31 and A40.</t>
  </si>
  <si>
    <t>Schedule of Expenditures for Computation of Indirect Cost</t>
  </si>
  <si>
    <t>Dist Name:</t>
  </si>
  <si>
    <t>Direct/</t>
  </si>
  <si>
    <t>Indirect</t>
  </si>
  <si>
    <t>Excluded Cost per OMB Circular A-87</t>
  </si>
  <si>
    <t>Disallowed Cost</t>
  </si>
  <si>
    <t>Cost</t>
  </si>
  <si>
    <t>Capital Outlay/Property</t>
  </si>
  <si>
    <t>Debt Services</t>
  </si>
  <si>
    <t>Code</t>
  </si>
  <si>
    <t>Fund</t>
  </si>
  <si>
    <t>Expenditures</t>
  </si>
  <si>
    <t>Objects 100-600</t>
  </si>
  <si>
    <t>Object 700</t>
  </si>
  <si>
    <t>Object 800-900</t>
  </si>
  <si>
    <t>Function 5100</t>
  </si>
  <si>
    <t>Support Services - Student</t>
  </si>
  <si>
    <t>Support Services - Instructional Staff</t>
  </si>
  <si>
    <t>General Administration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</si>
  <si>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</si>
  <si>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</si>
  <si>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</si>
  <si>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School Administration</t>
  </si>
  <si>
    <t>Business</t>
  </si>
  <si>
    <t>Operation and Maintenance of Plant</t>
  </si>
  <si>
    <t>Student Transportation</t>
  </si>
  <si>
    <t>Central</t>
  </si>
  <si>
    <t>Adult/Continuing Ed Programs</t>
  </si>
  <si>
    <t>Community/Jr. College Programs</t>
  </si>
  <si>
    <t>Community Service Programs</t>
  </si>
  <si>
    <t>Capital Outlay</t>
  </si>
  <si>
    <t>Facilities Acquisition And Construction</t>
  </si>
  <si>
    <t>5110-5120</t>
  </si>
  <si>
    <t>Principal &amp; Interest</t>
  </si>
  <si>
    <t>Special Revenue Funds</t>
  </si>
  <si>
    <t xml:space="preserve"> 1. Food Service Operations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</si>
  <si>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</si>
  <si>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1000-2800</t>
  </si>
  <si>
    <t xml:space="preserve"> 2. Special Revenue Expenditures</t>
  </si>
  <si>
    <t>Total Grand Expenditures</t>
  </si>
  <si>
    <t>Total Indirect Cost</t>
  </si>
  <si>
    <t>Total Direct Cost</t>
  </si>
  <si>
    <t>Indirect Cost Rate to be determine at later date for FY2012-2013</t>
  </si>
  <si>
    <t>Includes Audit - Y/N</t>
  </si>
  <si>
    <t>Notes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</si>
  <si>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</si>
  <si>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pool of expenditures, and is added to the direct pool of expenditures.</t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</si>
  <si>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</si>
  <si>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</si>
  <si>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t xml:space="preserve">         Superintendent, Superintendent's Secretary and Assistant Superintendent (where applicable) whose responsibilites is directing and managing all affairs of the LEA.</t>
  </si>
  <si>
    <t xml:space="preserve">         The activities of the Assistant Superintendent's office should be charge  here, unless the activities can be placed properly into a service area such as;  </t>
  </si>
  <si>
    <t xml:space="preserve">         2500 Business - Assistant Superintendent of Finance.  This is an"unallowed" cost that is subtracted from the indirect pool of expenditures, and is added</t>
  </si>
  <si>
    <t xml:space="preserve">         to the direct pool of expenditures.</t>
  </si>
  <si>
    <t>Acct #</t>
  </si>
  <si>
    <t xml:space="preserve">  Current Assets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</si>
  <si>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</si>
  <si>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</si>
  <si>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</si>
  <si>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</si>
  <si>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</si>
  <si>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</si>
  <si>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</si>
  <si>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</si>
  <si>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</si>
  <si>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</si>
  <si>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</si>
  <si>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 xml:space="preserve">     LIAB &amp; FUND EQUITY</t>
  </si>
  <si>
    <t xml:space="preserve">  Current Liabilities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</si>
  <si>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</si>
  <si>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</si>
  <si>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</si>
  <si>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</si>
  <si>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</si>
  <si>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</si>
  <si>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</si>
  <si>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</si>
  <si>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</si>
  <si>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</si>
  <si>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</si>
  <si>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</si>
  <si>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</si>
  <si>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</si>
  <si>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</si>
  <si>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</si>
  <si>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</si>
  <si>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</si>
  <si>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</si>
  <si>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</si>
  <si>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</si>
  <si>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TRUST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</si>
  <si>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</si>
  <si>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</si>
  <si>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</si>
  <si>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</si>
  <si>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</si>
  <si>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</si>
  <si>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</si>
  <si>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</si>
  <si>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</si>
  <si>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</si>
  <si>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</si>
  <si>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</si>
  <si>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</si>
  <si>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</si>
  <si>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</si>
  <si>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</si>
  <si>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9. Adequacy Education Grant</t>
  </si>
  <si>
    <t>10.  Statewide Enhanced Education Tax</t>
  </si>
  <si>
    <t>11. Adequacy Education Grant - EDJOBS</t>
  </si>
  <si>
    <t>12. Other (Specify)</t>
  </si>
  <si>
    <t>3190-3199</t>
  </si>
  <si>
    <t>13.  Total Unrestricted Grants-in-Aid 9-12</t>
  </si>
  <si>
    <t>RESTRICTED GRANTS-IN-AID</t>
  </si>
  <si>
    <t>14. School Building Aid</t>
  </si>
  <si>
    <t>15. Kindergarten Building Aid</t>
  </si>
  <si>
    <t>16.  Kindergarten Aid</t>
  </si>
  <si>
    <t>17. Catastrophic Aid</t>
  </si>
  <si>
    <t>18. Vocational Education</t>
  </si>
  <si>
    <t>3241-3249</t>
  </si>
  <si>
    <t>19.  All Other Restricted Grants-in Aid</t>
  </si>
  <si>
    <t>3250-3299</t>
  </si>
  <si>
    <t>20. Total Restricted Grants-in Aid (Lines 14-19)</t>
  </si>
  <si>
    <t>21. Grants-in-Aid Through Other Public Intermediate Agencies</t>
  </si>
  <si>
    <t>22. Revenue In Liew of Taxes</t>
  </si>
  <si>
    <t>23. Total Revenue from State Sources Lines 13, and 20-22</t>
  </si>
  <si>
    <t>Revenue From Federal Sources</t>
  </si>
  <si>
    <t>24. Unrestricted Grants-In-Aid</t>
  </si>
  <si>
    <t>4100-4299</t>
  </si>
  <si>
    <t>25. Restricted Grants-in-Aid Direct from Fed Gov't</t>
  </si>
  <si>
    <t>4300-4399</t>
  </si>
  <si>
    <t>26. Restricted Grants-in-Aid  from Fed Gov't thru State</t>
  </si>
  <si>
    <t>4500-4599</t>
  </si>
  <si>
    <t>27. Other Revenue for /on Behalf of LEA</t>
  </si>
  <si>
    <t>4700-4999</t>
  </si>
  <si>
    <t>28. Federal Forest Land Distribution</t>
  </si>
  <si>
    <t>29. Total Revenue from Federal Gov't (Lines 24-28)</t>
  </si>
  <si>
    <t>Other Financing Sources</t>
  </si>
  <si>
    <t>30. Sale of Bonds and Notes</t>
  </si>
  <si>
    <t>5100-5139</t>
  </si>
  <si>
    <t>31.  Reimbursement Anticipation Notes</t>
  </si>
  <si>
    <t>32. Transfer from General Fund</t>
  </si>
  <si>
    <t>33. Transfer from Special Revenue Funds</t>
  </si>
  <si>
    <t>5220-5229</t>
  </si>
  <si>
    <t>34. Transfer from Capital Projects</t>
  </si>
  <si>
    <t>5230-5239</t>
  </si>
  <si>
    <t>35. Transfer from Capital Reserve Funds</t>
  </si>
  <si>
    <t>36. Transfer from Trust Funds</t>
  </si>
  <si>
    <t>5252-5253</t>
  </si>
  <si>
    <t>37. Compensation for Loss of Fixed Assets</t>
  </si>
  <si>
    <t>5300-5399</t>
  </si>
  <si>
    <t>38. Capital Lease/Lease Purchases</t>
  </si>
  <si>
    <t>5500-5600</t>
  </si>
  <si>
    <t>39. Total Other Financing Sources (Lines 30-38)</t>
  </si>
  <si>
    <t>40. Total Revenue &amp; Other Financing Sources (Lines 8,23,29,39)</t>
  </si>
  <si>
    <t>SPECIAL REVENEU</t>
  </si>
  <si>
    <t>EXPENDITURES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</si>
  <si>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</si>
  <si>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</si>
  <si>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</si>
  <si>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</si>
  <si>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</si>
  <si>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</si>
  <si>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</si>
  <si>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</si>
  <si>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</si>
  <si>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</si>
  <si>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</si>
  <si>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</si>
  <si>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</si>
  <si>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</si>
  <si>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</si>
  <si>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</si>
  <si>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</si>
  <si>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</si>
  <si>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</si>
  <si>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</si>
  <si>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</si>
  <si>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</si>
  <si>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</si>
  <si>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</si>
  <si>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</si>
  <si>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</si>
  <si>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</si>
  <si>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</si>
  <si>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</si>
  <si>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</si>
  <si>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</si>
  <si>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Other Outlays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</si>
  <si>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</si>
  <si>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</si>
  <si>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</si>
  <si>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</si>
  <si>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</si>
  <si>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</si>
  <si>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</si>
  <si>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</si>
  <si>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</si>
  <si>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</si>
  <si>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</si>
  <si>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</si>
  <si>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</si>
  <si>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</si>
  <si>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29.  Transfer to Fiduciary Fund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</si>
  <si>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</si>
  <si>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</si>
  <si>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</si>
  <si>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</si>
  <si>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</si>
  <si>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For the Fiscal Year Ending on June 30th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</si>
  <si>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</si>
  <si>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</si>
  <si>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</si>
  <si>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</si>
  <si>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</si>
  <si>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</si>
  <si>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</si>
  <si>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</si>
  <si>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</si>
  <si>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</si>
  <si>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</si>
  <si>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</si>
  <si>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</si>
  <si>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Total Debt (P&amp;I) to be Paid Next Fisc. Yr</t>
  </si>
  <si>
    <t>School District Profile</t>
  </si>
  <si>
    <t>2010-2011 Current Expenditure Per Pupil(in dollars)</t>
  </si>
  <si>
    <t>Middle/Junior</t>
  </si>
  <si>
    <t>District Total</t>
  </si>
  <si>
    <t>2010-11-Current Expenditure Per Pupil</t>
  </si>
  <si>
    <t>$</t>
  </si>
  <si>
    <t>%</t>
  </si>
  <si>
    <t>Regular Education</t>
  </si>
  <si>
    <t>Student Support Services</t>
  </si>
  <si>
    <t>Instructional Staff Support</t>
  </si>
  <si>
    <t>2300&amp;2800</t>
  </si>
  <si>
    <t>Genral Administration &amp; Business</t>
  </si>
  <si>
    <t>Business Services</t>
  </si>
  <si>
    <t>Plant Operations</t>
  </si>
  <si>
    <t>Transportation</t>
  </si>
  <si>
    <t>Other Support Services</t>
  </si>
  <si>
    <t>Non-public Programs</t>
  </si>
  <si>
    <t>1600-1800,2750</t>
  </si>
  <si>
    <t>Community Programs</t>
  </si>
  <si>
    <t>Bond Interest</t>
  </si>
  <si>
    <t>5310+5390</t>
  </si>
  <si>
    <t>Charter Schools/Other Agencies</t>
  </si>
  <si>
    <t>Total Recurring Expenditures</t>
  </si>
  <si>
    <t>Facility Construction</t>
  </si>
  <si>
    <t>Total Expenditures</t>
  </si>
  <si>
    <t>Bonds &amp; Notes Principal Repayment</t>
  </si>
  <si>
    <t>2010-11-Total Revenues</t>
  </si>
  <si>
    <t>Local Property Tax</t>
  </si>
  <si>
    <t>Tuition, Food &amp; Other Local Services</t>
  </si>
  <si>
    <t>3111&amp;3112&amp;3119</t>
  </si>
  <si>
    <t>State Foundation/Adequacy Aid</t>
  </si>
  <si>
    <t>3120-3900</t>
  </si>
  <si>
    <t>Other State Aid</t>
  </si>
  <si>
    <t>Federal Aid</t>
  </si>
  <si>
    <t>5300-5600</t>
  </si>
  <si>
    <t xml:space="preserve">Other   </t>
  </si>
  <si>
    <t>Total Revenues</t>
  </si>
  <si>
    <t>5110&amp;5140</t>
  </si>
  <si>
    <t>Sales of Bonds &amp; Notes</t>
  </si>
  <si>
    <t>Comments</t>
  </si>
  <si>
    <t>District Notes</t>
  </si>
  <si>
    <t>Page #</t>
  </si>
  <si>
    <t>Line #</t>
  </si>
  <si>
    <t>Bureau of Data Management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</si>
</sst>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Alignment="1" applyProtection="1">
      <alignment horizontal="left"/>
    </xf>
    <xf numFmtId="0" fontId="9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1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2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4704D-9332-429D-AC44-7DD87E36B58E}">
  <sheetPr transitionEvaluation="1" transitionEntry="1" codeName="Sheet1">
    <tabColor indexed="56"/>
  </sheetPr>
  <dimension ref="A1:AQ666"/>
  <sheetViews>
    <sheetView tabSelected="1" zoomScale="75" workbookViewId="0">
      <pane xSplit="5" ySplit="3" topLeftCell="F630" activePane="bottomRight" state="frozen"/>
      <selection pane="bottomRight" activeCell="H661" sqref="H661"/>
      <selection pane="bottomLeft" activeCell="A4" sqref="A4"/>
      <selection pane="topRight" activeCell="F1" sqref="F1"/>
    </sheetView>
  </sheetViews>
  <sheetFormatPr defaultRowHeight="12" customHeight="1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>
      <c r="A1" s="1" t="s">
        <v>0</v>
      </c>
      <c r="B1" s="2" t="s">
        <v>1</v>
      </c>
      <c r="C1" s="2" t="s">
        <v>2</v>
      </c>
      <c r="D1" s="2"/>
      <c r="E1" s="2"/>
      <c r="F1" s="13"/>
      <c r="G1" s="13"/>
      <c r="H1" s="15" t="s">
        <v>3</v>
      </c>
      <c r="I1" s="13"/>
      <c r="J1" s="13"/>
      <c r="K1" s="13"/>
      <c r="L1" s="13"/>
    </row>
    <row r="2" spans="1:13" s="3" customFormat="1" ht="12" customHeight="1">
      <c r="A2" s="175" t="s">
        <v>4</v>
      </c>
      <c r="B2" s="21">
        <v>449</v>
      </c>
      <c r="C2" s="21">
        <v>449</v>
      </c>
      <c r="D2" s="21"/>
      <c r="E2" s="6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12</v>
      </c>
    </row>
    <row r="3" spans="1:13" s="3" customFormat="1" ht="12" customHeight="1">
      <c r="A3" s="5" t="s">
        <v>13</v>
      </c>
      <c r="B3" s="6" t="s">
        <v>14</v>
      </c>
      <c r="C3" s="6" t="s">
        <v>15</v>
      </c>
      <c r="D3" s="6"/>
      <c r="E3" s="23" t="s">
        <v>16</v>
      </c>
    </row>
    <row r="4" spans="1:13" s="3" customFormat="1" ht="12" customHeight="1">
      <c r="A4" s="1" t="s">
        <v>17</v>
      </c>
      <c r="K4" s="13"/>
      <c r="L4" s="13"/>
    </row>
    <row r="5" spans="1:13" s="3" customFormat="1" ht="12" customHeight="1">
      <c r="A5" s="1" t="s">
        <v>18</v>
      </c>
      <c r="F5" s="23" t="s">
        <v>19</v>
      </c>
      <c r="G5" s="23" t="s">
        <v>20</v>
      </c>
      <c r="H5" s="23" t="s">
        <v>21</v>
      </c>
      <c r="I5" s="23" t="s">
        <v>22</v>
      </c>
      <c r="J5" s="23" t="s">
        <v>23</v>
      </c>
      <c r="K5" s="13"/>
      <c r="L5" s="13"/>
    </row>
    <row r="6" spans="1:13" s="3" customFormat="1" ht="12" customHeight="1">
      <c r="B6" s="7"/>
      <c r="C6" s="7"/>
      <c r="D6" s="7"/>
      <c r="F6" s="221" t="s">
        <v>24</v>
      </c>
      <c r="G6" s="221" t="s">
        <v>25</v>
      </c>
      <c r="H6" s="221" t="s">
        <v>26</v>
      </c>
      <c r="I6" s="221" t="s">
        <v>27</v>
      </c>
      <c r="J6" s="221" t="s">
        <v>28</v>
      </c>
      <c r="K6" s="13"/>
      <c r="L6" s="13"/>
      <c r="M6" s="8"/>
    </row>
    <row r="7" spans="1:13" s="3" customFormat="1" ht="12" customHeight="1">
      <c r="A7" s="1" t="s">
        <v>29</v>
      </c>
      <c r="B7" s="7"/>
      <c r="C7" s="7"/>
      <c r="D7" s="7"/>
      <c r="E7" s="7"/>
      <c r="F7" s="221"/>
      <c r="G7" s="222"/>
      <c r="H7" s="221" t="s">
        <v>30</v>
      </c>
      <c r="I7" s="222"/>
      <c r="J7" s="222"/>
      <c r="K7" s="13"/>
      <c r="L7" s="13"/>
      <c r="M7" s="8"/>
    </row>
    <row r="8" spans="1:13" s="3" customFormat="1" ht="12" customHeight="1">
      <c r="A8" s="29" t="s">
        <v>31</v>
      </c>
      <c r="B8" s="7"/>
      <c r="C8" s="7"/>
      <c r="D8" s="7"/>
      <c r="E8" s="7"/>
      <c r="F8" s="24" t="s">
        <v>32</v>
      </c>
      <c r="G8" s="24" t="s">
        <v>32</v>
      </c>
      <c r="H8" s="24" t="s">
        <v>32</v>
      </c>
      <c r="I8" s="24" t="s">
        <v>32</v>
      </c>
      <c r="J8" s="24" t="s">
        <v>32</v>
      </c>
      <c r="K8" s="24" t="s">
        <v>32</v>
      </c>
      <c r="L8" s="24" t="s">
        <v>32</v>
      </c>
      <c r="M8" s="8"/>
    </row>
    <row r="9" spans="1:13" s="3" customFormat="1" ht="12" customHeight="1">
      <c r="A9" s="1" t="s">
        <v>33</v>
      </c>
      <c r="B9" s="2" t="s">
        <v>34</v>
      </c>
      <c r="C9" s="6">
        <v>1</v>
      </c>
      <c r="D9" s="2" t="s">
        <v>35</v>
      </c>
      <c r="E9" s="6">
        <v>100</v>
      </c>
      <c r="F9" s="18"/>
      <c r="G9" s="18">
        <v>37355.629999999997</v>
      </c>
      <c r="H9" s="18"/>
      <c r="I9" s="18"/>
      <c r="J9" s="67">
        <f>SUM(I431)</f>
        <v>171398.6</v>
      </c>
      <c r="K9" s="24" t="s">
        <v>32</v>
      </c>
      <c r="L9" s="24" t="s">
        <v>32</v>
      </c>
      <c r="M9" s="8"/>
    </row>
    <row r="10" spans="1:13" s="3" customFormat="1" ht="12" customHeight="1">
      <c r="A10" s="1" t="s">
        <v>36</v>
      </c>
      <c r="B10" s="2" t="s">
        <v>34</v>
      </c>
      <c r="C10" s="6">
        <v>2</v>
      </c>
      <c r="D10" s="2" t="s">
        <v>35</v>
      </c>
      <c r="E10" s="6">
        <v>110</v>
      </c>
      <c r="F10" s="18"/>
      <c r="G10" s="18"/>
      <c r="H10" s="18"/>
      <c r="I10" s="18"/>
      <c r="J10" s="67">
        <f>SUM(I432)</f>
        <v>4796734.9800000004</v>
      </c>
      <c r="K10" s="24" t="s">
        <v>32</v>
      </c>
      <c r="L10" s="24" t="s">
        <v>32</v>
      </c>
      <c r="M10" s="8"/>
    </row>
    <row r="11" spans="1:13" s="3" customFormat="1" ht="12" customHeight="1">
      <c r="A11" s="1" t="s">
        <v>37</v>
      </c>
      <c r="B11" s="2" t="s">
        <v>34</v>
      </c>
      <c r="C11" s="6">
        <v>3</v>
      </c>
      <c r="D11" s="2" t="s">
        <v>35</v>
      </c>
      <c r="E11" s="6">
        <v>120</v>
      </c>
      <c r="F11" s="18"/>
      <c r="G11" s="24" t="s">
        <v>32</v>
      </c>
      <c r="H11" s="24" t="s">
        <v>32</v>
      </c>
      <c r="I11" s="24" t="s">
        <v>32</v>
      </c>
      <c r="J11" s="24" t="s">
        <v>32</v>
      </c>
      <c r="K11" s="24" t="s">
        <v>32</v>
      </c>
      <c r="L11" s="24" t="s">
        <v>32</v>
      </c>
      <c r="M11" s="8"/>
    </row>
    <row r="12" spans="1:13" s="3" customFormat="1" ht="12" customHeight="1">
      <c r="A12" s="1" t="s">
        <v>38</v>
      </c>
      <c r="B12" s="2" t="s">
        <v>34</v>
      </c>
      <c r="C12" s="6">
        <v>4</v>
      </c>
      <c r="D12" s="2" t="s">
        <v>35</v>
      </c>
      <c r="E12" s="6">
        <v>130</v>
      </c>
      <c r="F12" s="18"/>
      <c r="G12" s="18"/>
      <c r="H12" s="18"/>
      <c r="I12" s="18"/>
      <c r="J12" s="67">
        <f>SUM(I433)</f>
        <v>0</v>
      </c>
      <c r="K12" s="24" t="s">
        <v>32</v>
      </c>
      <c r="L12" s="24" t="s">
        <v>32</v>
      </c>
      <c r="M12" s="8"/>
    </row>
    <row r="13" spans="1:13" s="3" customFormat="1" ht="12" customHeight="1">
      <c r="A13" s="1" t="s">
        <v>39</v>
      </c>
      <c r="B13" s="2" t="s">
        <v>34</v>
      </c>
      <c r="C13" s="6">
        <v>5</v>
      </c>
      <c r="D13" s="2" t="s">
        <v>35</v>
      </c>
      <c r="E13" s="6">
        <v>140</v>
      </c>
      <c r="F13" s="18"/>
      <c r="G13" s="18">
        <v>24551.35</v>
      </c>
      <c r="H13" s="18">
        <v>672255.5</v>
      </c>
      <c r="I13" s="18"/>
      <c r="J13" s="67">
        <f>SUM(I434)</f>
        <v>0</v>
      </c>
      <c r="K13" s="24" t="s">
        <v>32</v>
      </c>
      <c r="L13" s="24" t="s">
        <v>32</v>
      </c>
      <c r="M13" s="8"/>
    </row>
    <row r="14" spans="1:13" s="3" customFormat="1" ht="12" customHeight="1">
      <c r="A14" s="1" t="s">
        <v>40</v>
      </c>
      <c r="B14" s="2" t="s">
        <v>34</v>
      </c>
      <c r="C14" s="6">
        <v>6</v>
      </c>
      <c r="D14" s="2" t="s">
        <v>35</v>
      </c>
      <c r="E14" s="6">
        <v>150</v>
      </c>
      <c r="F14" s="18"/>
      <c r="G14" s="18">
        <v>2345.1</v>
      </c>
      <c r="H14" s="18"/>
      <c r="I14" s="18"/>
      <c r="J14" s="67">
        <f>SUM(I435)</f>
        <v>0</v>
      </c>
      <c r="K14" s="24" t="s">
        <v>32</v>
      </c>
      <c r="L14" s="24" t="s">
        <v>32</v>
      </c>
      <c r="M14" s="8"/>
    </row>
    <row r="15" spans="1:13" s="3" customFormat="1" ht="12" customHeight="1">
      <c r="A15" s="1" t="s">
        <v>41</v>
      </c>
      <c r="B15" s="2" t="s">
        <v>34</v>
      </c>
      <c r="C15" s="6">
        <v>7</v>
      </c>
      <c r="D15" s="2" t="s">
        <v>35</v>
      </c>
      <c r="E15" s="6">
        <v>160</v>
      </c>
      <c r="F15" s="24" t="s">
        <v>32</v>
      </c>
      <c r="G15" s="24" t="s">
        <v>32</v>
      </c>
      <c r="H15" s="24" t="s">
        <v>32</v>
      </c>
      <c r="I15" s="18"/>
      <c r="J15" s="24" t="s">
        <v>32</v>
      </c>
      <c r="K15" s="24" t="s">
        <v>32</v>
      </c>
      <c r="L15" s="24" t="s">
        <v>32</v>
      </c>
      <c r="M15" s="8"/>
    </row>
    <row r="16" spans="1:13" s="3" customFormat="1" ht="12" customHeight="1">
      <c r="A16" s="1" t="s">
        <v>42</v>
      </c>
      <c r="B16" s="2" t="s">
        <v>34</v>
      </c>
      <c r="C16" s="6">
        <v>8</v>
      </c>
      <c r="D16" s="2" t="s">
        <v>35</v>
      </c>
      <c r="E16" s="6">
        <v>170</v>
      </c>
      <c r="F16" s="18"/>
      <c r="G16" s="18">
        <v>15932.83</v>
      </c>
      <c r="H16" s="18"/>
      <c r="I16" s="18"/>
      <c r="J16" s="24" t="s">
        <v>32</v>
      </c>
      <c r="K16" s="24" t="s">
        <v>32</v>
      </c>
      <c r="L16" s="24" t="s">
        <v>32</v>
      </c>
      <c r="M16" s="8"/>
    </row>
    <row r="17" spans="1:13" s="3" customFormat="1" ht="12" customHeight="1">
      <c r="A17" s="1" t="s">
        <v>43</v>
      </c>
      <c r="B17" s="2" t="s">
        <v>34</v>
      </c>
      <c r="C17" s="6">
        <v>9</v>
      </c>
      <c r="D17" s="2" t="s">
        <v>35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32</v>
      </c>
      <c r="L17" s="24" t="s">
        <v>32</v>
      </c>
      <c r="M17" s="8"/>
    </row>
    <row r="18" spans="1:13" s="3" customFormat="1" ht="12" customHeight="1" thickBot="1">
      <c r="A18" s="1" t="s">
        <v>44</v>
      </c>
      <c r="B18" s="2" t="s">
        <v>34</v>
      </c>
      <c r="C18" s="6">
        <v>10</v>
      </c>
      <c r="D18" s="2" t="s">
        <v>35</v>
      </c>
      <c r="E18" s="6">
        <v>190</v>
      </c>
      <c r="F18" s="18"/>
      <c r="G18" s="18"/>
      <c r="H18" s="144"/>
      <c r="I18" s="18"/>
      <c r="J18" s="67">
        <f>SUM(I437)</f>
        <v>0</v>
      </c>
      <c r="K18" s="24" t="s">
        <v>32</v>
      </c>
      <c r="L18" s="24" t="s">
        <v>32</v>
      </c>
      <c r="M18" s="8"/>
    </row>
    <row r="19" spans="1:13" s="3" customFormat="1" ht="12" customHeight="1" thickTop="1">
      <c r="A19" s="38" t="s">
        <v>45</v>
      </c>
      <c r="B19" s="39" t="s">
        <v>34</v>
      </c>
      <c r="C19" s="40">
        <v>11</v>
      </c>
      <c r="D19" s="39" t="s">
        <v>35</v>
      </c>
      <c r="E19" s="39"/>
      <c r="F19" s="41">
        <f>SUM(F9:F18)</f>
        <v>0</v>
      </c>
      <c r="G19" s="41">
        <f>SUM(G9:G18)</f>
        <v>80184.909999999989</v>
      </c>
      <c r="H19" s="41">
        <f>SUM(H9:H18)</f>
        <v>672255.5</v>
      </c>
      <c r="I19" s="41">
        <f>SUM(I9:I18)</f>
        <v>0</v>
      </c>
      <c r="J19" s="41">
        <f>SUM(J9:J18)</f>
        <v>4968133.58</v>
      </c>
      <c r="K19" s="45" t="s">
        <v>32</v>
      </c>
      <c r="L19" s="45" t="s">
        <v>32</v>
      </c>
      <c r="M19" s="8"/>
    </row>
    <row r="20" spans="1:13" s="3" customFormat="1" ht="12" customHeight="1">
      <c r="B20" s="1" t="s">
        <v>46</v>
      </c>
      <c r="C20" s="158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>
      <c r="A21" s="1" t="s">
        <v>47</v>
      </c>
      <c r="C21" s="158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>
      <c r="A22" s="29" t="s">
        <v>48</v>
      </c>
      <c r="B22" s="7"/>
      <c r="C22" s="2"/>
      <c r="D22" s="7"/>
      <c r="E22" s="7"/>
      <c r="F22" s="24" t="s">
        <v>32</v>
      </c>
      <c r="G22" s="24" t="s">
        <v>32</v>
      </c>
      <c r="H22" s="24" t="s">
        <v>32</v>
      </c>
      <c r="I22" s="24" t="s">
        <v>32</v>
      </c>
      <c r="J22" s="24" t="s">
        <v>32</v>
      </c>
      <c r="K22" s="24" t="s">
        <v>32</v>
      </c>
      <c r="L22" s="24" t="s">
        <v>32</v>
      </c>
      <c r="M22" s="8"/>
    </row>
    <row r="23" spans="1:13" s="3" customFormat="1" ht="12" customHeight="1">
      <c r="A23" s="1" t="s">
        <v>49</v>
      </c>
      <c r="B23" s="2" t="s">
        <v>34</v>
      </c>
      <c r="C23" s="6">
        <v>12</v>
      </c>
      <c r="D23" s="2" t="s">
        <v>50</v>
      </c>
      <c r="E23" s="6">
        <v>400</v>
      </c>
      <c r="F23" s="18"/>
      <c r="G23" s="18"/>
      <c r="H23" s="18">
        <v>327887.63</v>
      </c>
      <c r="I23" s="18"/>
      <c r="J23" s="67">
        <f>SUM(I440)</f>
        <v>0</v>
      </c>
      <c r="K23" s="24" t="s">
        <v>32</v>
      </c>
      <c r="L23" s="24" t="s">
        <v>32</v>
      </c>
      <c r="M23" s="8"/>
    </row>
    <row r="24" spans="1:13" s="3" customFormat="1" ht="12" customHeight="1">
      <c r="A24" s="1" t="s">
        <v>51</v>
      </c>
      <c r="B24" s="2" t="s">
        <v>34</v>
      </c>
      <c r="C24" s="6">
        <v>13</v>
      </c>
      <c r="D24" s="2" t="s">
        <v>50</v>
      </c>
      <c r="E24" s="6">
        <v>410</v>
      </c>
      <c r="F24" s="18"/>
      <c r="G24" s="18"/>
      <c r="H24" s="18">
        <v>5023.78</v>
      </c>
      <c r="I24" s="18"/>
      <c r="J24" s="67">
        <f>SUM(I441)</f>
        <v>0</v>
      </c>
      <c r="K24" s="24" t="s">
        <v>32</v>
      </c>
      <c r="L24" s="24" t="s">
        <v>32</v>
      </c>
      <c r="M24" s="8"/>
    </row>
    <row r="25" spans="1:13" s="3" customFormat="1" ht="12" customHeight="1">
      <c r="A25" s="1" t="s">
        <v>52</v>
      </c>
      <c r="B25" s="2" t="s">
        <v>34</v>
      </c>
      <c r="C25" s="6">
        <v>14</v>
      </c>
      <c r="D25" s="2" t="s">
        <v>50</v>
      </c>
      <c r="E25" s="6">
        <v>420</v>
      </c>
      <c r="F25" s="18"/>
      <c r="G25" s="18"/>
      <c r="H25" s="18"/>
      <c r="I25" s="18"/>
      <c r="J25" s="67">
        <f>SUM(I442)</f>
        <v>0</v>
      </c>
      <c r="K25" s="24" t="s">
        <v>32</v>
      </c>
      <c r="L25" s="24" t="s">
        <v>32</v>
      </c>
      <c r="M25" s="8"/>
    </row>
    <row r="26" spans="1:13" s="3" customFormat="1" ht="12" customHeight="1">
      <c r="A26" s="1" t="s">
        <v>53</v>
      </c>
      <c r="B26" s="2" t="s">
        <v>34</v>
      </c>
      <c r="C26" s="6">
        <v>15</v>
      </c>
      <c r="D26" s="2" t="s">
        <v>50</v>
      </c>
      <c r="E26" s="6">
        <v>430</v>
      </c>
      <c r="F26" s="18"/>
      <c r="G26" s="144"/>
      <c r="H26" s="18"/>
      <c r="I26" s="18"/>
      <c r="J26" s="24" t="s">
        <v>32</v>
      </c>
      <c r="K26" s="24" t="s">
        <v>32</v>
      </c>
      <c r="L26" s="24" t="s">
        <v>32</v>
      </c>
      <c r="M26" s="8"/>
    </row>
    <row r="27" spans="1:13" s="3" customFormat="1" ht="12" customHeight="1">
      <c r="A27" s="1" t="s">
        <v>54</v>
      </c>
      <c r="B27" s="2" t="s">
        <v>34</v>
      </c>
      <c r="C27" s="6">
        <v>16</v>
      </c>
      <c r="D27" s="2" t="s">
        <v>50</v>
      </c>
      <c r="E27" s="6">
        <v>440</v>
      </c>
      <c r="F27" s="18"/>
      <c r="G27" s="24" t="s">
        <v>32</v>
      </c>
      <c r="H27" s="24" t="s">
        <v>32</v>
      </c>
      <c r="I27" s="18"/>
      <c r="J27" s="24" t="s">
        <v>32</v>
      </c>
      <c r="K27" s="24" t="s">
        <v>32</v>
      </c>
      <c r="L27" s="24" t="s">
        <v>32</v>
      </c>
      <c r="M27" s="8"/>
    </row>
    <row r="28" spans="1:13" s="3" customFormat="1" ht="12" customHeight="1">
      <c r="A28" s="1" t="s">
        <v>55</v>
      </c>
      <c r="B28" s="2" t="s">
        <v>34</v>
      </c>
      <c r="C28" s="6">
        <v>17</v>
      </c>
      <c r="D28" s="2" t="s">
        <v>50</v>
      </c>
      <c r="E28" s="6">
        <v>450</v>
      </c>
      <c r="F28" s="18"/>
      <c r="G28" s="24" t="s">
        <v>32</v>
      </c>
      <c r="H28" s="24" t="s">
        <v>32</v>
      </c>
      <c r="I28" s="18"/>
      <c r="J28" s="24" t="s">
        <v>32</v>
      </c>
      <c r="K28" s="24" t="s">
        <v>32</v>
      </c>
      <c r="L28" s="24" t="s">
        <v>32</v>
      </c>
      <c r="M28" s="8"/>
    </row>
    <row r="29" spans="1:13" s="3" customFormat="1" ht="12" customHeight="1">
      <c r="A29" s="1" t="s">
        <v>56</v>
      </c>
      <c r="B29" s="2" t="s">
        <v>34</v>
      </c>
      <c r="C29" s="6">
        <v>18</v>
      </c>
      <c r="D29" s="2" t="s">
        <v>50</v>
      </c>
      <c r="E29" s="6">
        <v>460</v>
      </c>
      <c r="F29" s="18"/>
      <c r="G29" s="18"/>
      <c r="H29" s="18"/>
      <c r="I29" s="18"/>
      <c r="J29" s="24" t="s">
        <v>32</v>
      </c>
      <c r="K29" s="24" t="s">
        <v>32</v>
      </c>
      <c r="L29" s="24" t="s">
        <v>32</v>
      </c>
      <c r="M29" s="8"/>
    </row>
    <row r="30" spans="1:13" s="3" customFormat="1" ht="12" customHeight="1">
      <c r="A30" s="1" t="s">
        <v>57</v>
      </c>
      <c r="B30" s="2" t="s">
        <v>34</v>
      </c>
      <c r="C30" s="6">
        <v>19</v>
      </c>
      <c r="D30" s="2" t="s">
        <v>50</v>
      </c>
      <c r="E30" s="6">
        <v>470</v>
      </c>
      <c r="F30" s="18"/>
      <c r="G30" s="18"/>
      <c r="H30" s="18"/>
      <c r="I30" s="18"/>
      <c r="J30" s="24" t="s">
        <v>32</v>
      </c>
      <c r="K30" s="24" t="s">
        <v>32</v>
      </c>
      <c r="L30" s="24" t="s">
        <v>32</v>
      </c>
      <c r="M30" s="8"/>
    </row>
    <row r="31" spans="1:13" s="3" customFormat="1" ht="12" customHeight="1">
      <c r="A31" s="1" t="s">
        <v>58</v>
      </c>
      <c r="B31" s="2" t="s">
        <v>34</v>
      </c>
      <c r="C31" s="6">
        <v>20</v>
      </c>
      <c r="D31" s="2" t="s">
        <v>50</v>
      </c>
      <c r="E31" s="6">
        <v>480</v>
      </c>
      <c r="F31" s="18"/>
      <c r="G31" s="18">
        <v>19879.63</v>
      </c>
      <c r="H31" s="18"/>
      <c r="I31" s="18"/>
      <c r="J31" s="24" t="s">
        <v>32</v>
      </c>
      <c r="K31" s="24" t="s">
        <v>32</v>
      </c>
      <c r="L31" s="24" t="s">
        <v>32</v>
      </c>
      <c r="M31" s="8"/>
    </row>
    <row r="32" spans="1:13" s="3" customFormat="1" ht="12" customHeight="1" thickBot="1">
      <c r="A32" s="1" t="s">
        <v>59</v>
      </c>
      <c r="B32" s="2" t="s">
        <v>34</v>
      </c>
      <c r="C32" s="6">
        <v>21</v>
      </c>
      <c r="D32" s="2" t="s">
        <v>50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32</v>
      </c>
      <c r="L32" s="24" t="s">
        <v>32</v>
      </c>
      <c r="M32" s="8"/>
    </row>
    <row r="33" spans="1:13" s="3" customFormat="1" ht="12" customHeight="1" thickTop="1">
      <c r="A33" s="38" t="s">
        <v>60</v>
      </c>
      <c r="B33" s="39" t="s">
        <v>34</v>
      </c>
      <c r="C33" s="40">
        <v>22</v>
      </c>
      <c r="D33" s="39" t="s">
        <v>50</v>
      </c>
      <c r="E33" s="39"/>
      <c r="F33" s="41">
        <f>SUM(F23:F32)</f>
        <v>0</v>
      </c>
      <c r="G33" s="41">
        <f>SUM(G23:G32)</f>
        <v>19879.63</v>
      </c>
      <c r="H33" s="41">
        <f>SUM(H23:H32)</f>
        <v>332911.41000000003</v>
      </c>
      <c r="I33" s="41">
        <f>SUM(I23:I32)</f>
        <v>0</v>
      </c>
      <c r="J33" s="41">
        <f>SUM(J23:J32)</f>
        <v>0</v>
      </c>
      <c r="K33" s="45" t="s">
        <v>32</v>
      </c>
      <c r="L33" s="45" t="s">
        <v>32</v>
      </c>
      <c r="M33" s="8"/>
    </row>
    <row r="34" spans="1:13" s="3" customFormat="1" ht="12" customHeight="1">
      <c r="A34" s="29" t="s">
        <v>61</v>
      </c>
      <c r="B34" s="1" t="s">
        <v>46</v>
      </c>
      <c r="C34" s="2" t="s">
        <v>62</v>
      </c>
      <c r="D34" s="2"/>
      <c r="E34" s="2"/>
      <c r="F34" s="24" t="s">
        <v>32</v>
      </c>
      <c r="G34" s="24" t="s">
        <v>32</v>
      </c>
      <c r="H34" s="24" t="s">
        <v>32</v>
      </c>
      <c r="I34" s="24" t="s">
        <v>32</v>
      </c>
      <c r="J34" s="24" t="s">
        <v>32</v>
      </c>
      <c r="K34" s="24" t="s">
        <v>32</v>
      </c>
      <c r="L34" s="24" t="s">
        <v>32</v>
      </c>
      <c r="M34" s="8"/>
    </row>
    <row r="35" spans="1:13" s="3" customFormat="1" ht="12" customHeight="1">
      <c r="A35" s="1" t="s">
        <v>63</v>
      </c>
      <c r="B35" s="6">
        <v>1</v>
      </c>
      <c r="C35" s="6">
        <v>23</v>
      </c>
      <c r="D35" s="2" t="s">
        <v>64</v>
      </c>
      <c r="E35" s="6">
        <v>751</v>
      </c>
      <c r="F35" s="18"/>
      <c r="G35" s="18"/>
      <c r="H35" s="18"/>
      <c r="I35" s="18"/>
      <c r="J35" s="24" t="s">
        <v>32</v>
      </c>
      <c r="K35" s="24" t="s">
        <v>32</v>
      </c>
      <c r="L35" s="24" t="s">
        <v>32</v>
      </c>
      <c r="M35" s="8"/>
    </row>
    <row r="36" spans="1:13" s="3" customFormat="1" ht="12" customHeight="1">
      <c r="A36" s="1" t="s">
        <v>65</v>
      </c>
      <c r="B36" s="6">
        <v>1</v>
      </c>
      <c r="C36" s="6">
        <v>24</v>
      </c>
      <c r="D36" s="2" t="s">
        <v>64</v>
      </c>
      <c r="E36" s="6">
        <v>752</v>
      </c>
      <c r="F36" s="18"/>
      <c r="G36" s="18"/>
      <c r="H36" s="18"/>
      <c r="I36" s="18"/>
      <c r="J36" s="24" t="s">
        <v>32</v>
      </c>
      <c r="K36" s="24" t="s">
        <v>32</v>
      </c>
      <c r="L36" s="24" t="s">
        <v>32</v>
      </c>
      <c r="M36" s="8"/>
    </row>
    <row r="37" spans="1:13" s="3" customFormat="1" ht="12" customHeight="1">
      <c r="A37" s="1" t="s">
        <v>66</v>
      </c>
      <c r="B37" s="6">
        <v>1</v>
      </c>
      <c r="C37" s="6">
        <v>25</v>
      </c>
      <c r="D37" s="2" t="s">
        <v>64</v>
      </c>
      <c r="E37" s="6">
        <v>753</v>
      </c>
      <c r="F37" s="18"/>
      <c r="G37" s="18"/>
      <c r="H37" s="18"/>
      <c r="I37" s="18"/>
      <c r="J37" s="13">
        <f>SUM(I446)</f>
        <v>0</v>
      </c>
      <c r="K37" s="24" t="s">
        <v>32</v>
      </c>
      <c r="L37" s="24" t="s">
        <v>32</v>
      </c>
      <c r="M37" s="8"/>
    </row>
    <row r="38" spans="1:13" s="3" customFormat="1" ht="12" customHeight="1">
      <c r="A38" s="1" t="s">
        <v>67</v>
      </c>
      <c r="B38" s="6">
        <v>1</v>
      </c>
      <c r="C38" s="6">
        <v>26</v>
      </c>
      <c r="D38" s="2" t="s">
        <v>64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32</v>
      </c>
      <c r="L38" s="24" t="s">
        <v>32</v>
      </c>
      <c r="M38" s="8"/>
    </row>
    <row r="39" spans="1:13" s="3" customFormat="1" ht="12" customHeight="1">
      <c r="A39" s="1" t="s">
        <v>68</v>
      </c>
      <c r="B39" s="6">
        <v>1</v>
      </c>
      <c r="C39" s="6">
        <v>27</v>
      </c>
      <c r="D39" s="2" t="s">
        <v>64</v>
      </c>
      <c r="E39" s="6">
        <v>755</v>
      </c>
      <c r="F39" s="18"/>
      <c r="G39" s="18"/>
      <c r="H39" s="18"/>
      <c r="I39" s="18"/>
      <c r="J39" s="24" t="s">
        <v>32</v>
      </c>
      <c r="K39" s="24"/>
      <c r="L39" s="24"/>
      <c r="M39" s="8"/>
    </row>
    <row r="40" spans="1:13" s="3" customFormat="1" ht="12" customHeight="1">
      <c r="A40" s="1" t="s">
        <v>69</v>
      </c>
      <c r="B40" s="6">
        <v>1</v>
      </c>
      <c r="C40" s="6">
        <v>28</v>
      </c>
      <c r="D40" s="2" t="s">
        <v>64</v>
      </c>
      <c r="E40" s="6">
        <v>756</v>
      </c>
      <c r="F40" s="24" t="s">
        <v>32</v>
      </c>
      <c r="G40" s="24" t="s">
        <v>32</v>
      </c>
      <c r="H40" s="24" t="s">
        <v>32</v>
      </c>
      <c r="I40" s="24" t="s">
        <v>32</v>
      </c>
      <c r="J40" s="13">
        <f>SUM(I448)</f>
        <v>4968133.58</v>
      </c>
      <c r="K40" s="24"/>
      <c r="L40" s="24"/>
      <c r="M40" s="8"/>
    </row>
    <row r="41" spans="1:13" s="3" customFormat="1" ht="12" customHeight="1">
      <c r="A41" s="1" t="s">
        <v>70</v>
      </c>
      <c r="B41" s="2" t="s">
        <v>34</v>
      </c>
      <c r="C41" s="6">
        <v>29</v>
      </c>
      <c r="D41" s="2" t="s">
        <v>64</v>
      </c>
      <c r="E41" s="6">
        <v>760</v>
      </c>
      <c r="F41" s="18"/>
      <c r="G41" s="18">
        <v>60305.279999999999</v>
      </c>
      <c r="H41" s="18">
        <v>339344.09</v>
      </c>
      <c r="I41" s="18"/>
      <c r="J41" s="13">
        <f>SUM(I449)</f>
        <v>0</v>
      </c>
      <c r="K41" s="24" t="s">
        <v>32</v>
      </c>
      <c r="L41" s="24" t="s">
        <v>32</v>
      </c>
      <c r="M41" s="8"/>
    </row>
    <row r="42" spans="1:13" s="3" customFormat="1" ht="12" customHeight="1" thickBot="1">
      <c r="A42" s="1" t="s">
        <v>71</v>
      </c>
      <c r="B42" s="2" t="s">
        <v>34</v>
      </c>
      <c r="C42" s="71">
        <v>30</v>
      </c>
      <c r="D42" s="2" t="s">
        <v>64</v>
      </c>
      <c r="E42" s="6">
        <v>770</v>
      </c>
      <c r="F42" s="18"/>
      <c r="G42" s="24" t="s">
        <v>32</v>
      </c>
      <c r="H42" s="24" t="s">
        <v>32</v>
      </c>
      <c r="I42" s="24" t="s">
        <v>32</v>
      </c>
      <c r="J42" s="24" t="s">
        <v>32</v>
      </c>
      <c r="K42" s="24" t="s">
        <v>32</v>
      </c>
      <c r="L42" s="24" t="s">
        <v>32</v>
      </c>
      <c r="M42" s="8"/>
    </row>
    <row r="43" spans="1:13" s="3" customFormat="1" ht="12" customHeight="1" thickTop="1" thickBot="1">
      <c r="A43" s="38" t="s">
        <v>72</v>
      </c>
      <c r="B43" s="39" t="s">
        <v>34</v>
      </c>
      <c r="C43" s="51">
        <v>31</v>
      </c>
      <c r="D43" s="39" t="s">
        <v>64</v>
      </c>
      <c r="E43" s="39"/>
      <c r="F43" s="41">
        <f>SUM(F35:F42)</f>
        <v>0</v>
      </c>
      <c r="G43" s="41">
        <f>SUM(G35:G42)</f>
        <v>60305.279999999999</v>
      </c>
      <c r="H43" s="41">
        <f>SUM(H35:H42)</f>
        <v>339344.09</v>
      </c>
      <c r="I43" s="41">
        <f>SUM(I35:I42)</f>
        <v>0</v>
      </c>
      <c r="J43" s="41">
        <f>SUM(J35:J42)</f>
        <v>4968133.58</v>
      </c>
      <c r="K43" s="45" t="s">
        <v>32</v>
      </c>
      <c r="L43" s="45" t="s">
        <v>32</v>
      </c>
      <c r="M43" s="8"/>
    </row>
    <row r="44" spans="1:13" s="3" customFormat="1" ht="12" customHeight="1" thickTop="1">
      <c r="A44" s="38" t="s">
        <v>73</v>
      </c>
      <c r="B44" s="39" t="s">
        <v>34</v>
      </c>
      <c r="C44" s="6">
        <v>32</v>
      </c>
      <c r="D44" s="39" t="s">
        <v>64</v>
      </c>
      <c r="E44" s="39"/>
      <c r="F44" s="41">
        <f>F43+F33</f>
        <v>0</v>
      </c>
      <c r="G44" s="41">
        <f>G43+G33</f>
        <v>80184.91</v>
      </c>
      <c r="H44" s="41">
        <f>H43+H33</f>
        <v>672255.5</v>
      </c>
      <c r="I44" s="41">
        <f>I43+I33</f>
        <v>0</v>
      </c>
      <c r="J44" s="41">
        <f>J43+J33</f>
        <v>4968133.58</v>
      </c>
      <c r="K44" s="45" t="s">
        <v>32</v>
      </c>
      <c r="L44" s="45" t="s">
        <v>32</v>
      </c>
      <c r="M44" s="8"/>
    </row>
    <row r="45" spans="1:13" ht="12" customHeight="1">
      <c r="F45" s="23" t="s">
        <v>19</v>
      </c>
      <c r="G45" s="23" t="s">
        <v>20</v>
      </c>
      <c r="H45" s="23" t="s">
        <v>21</v>
      </c>
      <c r="I45" s="23" t="s">
        <v>22</v>
      </c>
      <c r="J45" s="23" t="s">
        <v>23</v>
      </c>
    </row>
    <row r="46" spans="1:13" s="3" customFormat="1" ht="12" customHeight="1">
      <c r="A46" s="1" t="s">
        <v>74</v>
      </c>
      <c r="F46" s="23"/>
      <c r="G46" s="23"/>
      <c r="H46" s="23" t="s">
        <v>26</v>
      </c>
      <c r="I46" s="23"/>
      <c r="J46" s="23"/>
      <c r="K46" s="20"/>
      <c r="L46" s="20"/>
      <c r="M46" s="8"/>
    </row>
    <row r="47" spans="1:13" s="3" customFormat="1" ht="12" customHeight="1">
      <c r="A47" s="28" t="s">
        <v>75</v>
      </c>
      <c r="E47" s="6"/>
      <c r="F47" s="16" t="s">
        <v>24</v>
      </c>
      <c r="G47" s="16" t="s">
        <v>25</v>
      </c>
      <c r="H47" s="16" t="s">
        <v>30</v>
      </c>
      <c r="I47" s="16" t="s">
        <v>27</v>
      </c>
      <c r="J47" s="16" t="s">
        <v>28</v>
      </c>
      <c r="K47" s="20"/>
      <c r="L47" s="20"/>
      <c r="M47" s="8"/>
    </row>
    <row r="48" spans="1:13" s="3" customFormat="1" ht="12" customHeight="1">
      <c r="A48" s="27" t="s">
        <v>76</v>
      </c>
      <c r="E48" s="6"/>
      <c r="F48" s="24" t="s">
        <v>32</v>
      </c>
      <c r="G48" s="24" t="s">
        <v>32</v>
      </c>
      <c r="H48" s="24" t="s">
        <v>32</v>
      </c>
      <c r="I48" s="24" t="s">
        <v>32</v>
      </c>
      <c r="J48" s="24" t="s">
        <v>32</v>
      </c>
      <c r="K48" s="24" t="s">
        <v>32</v>
      </c>
      <c r="L48" s="24" t="s">
        <v>32</v>
      </c>
      <c r="M48" s="8"/>
    </row>
    <row r="49" spans="1:13" s="3" customFormat="1" ht="12" customHeight="1">
      <c r="A49" s="1" t="s">
        <v>77</v>
      </c>
      <c r="B49" s="2" t="s">
        <v>78</v>
      </c>
      <c r="C49" s="6">
        <v>1</v>
      </c>
      <c r="D49" s="2" t="s">
        <v>79</v>
      </c>
      <c r="E49" s="6">
        <v>1111</v>
      </c>
      <c r="F49" s="18">
        <v>20949703.870000001</v>
      </c>
      <c r="G49" s="18"/>
      <c r="H49" s="18">
        <v>187436.64</v>
      </c>
      <c r="I49" s="18"/>
      <c r="J49" s="18"/>
      <c r="K49" s="24" t="s">
        <v>32</v>
      </c>
      <c r="L49" s="24" t="s">
        <v>32</v>
      </c>
      <c r="M49" s="8"/>
    </row>
    <row r="50" spans="1:13" s="3" customFormat="1" ht="12" customHeight="1">
      <c r="A50" s="1" t="s">
        <v>80</v>
      </c>
      <c r="B50" s="2" t="s">
        <v>78</v>
      </c>
      <c r="C50" s="6">
        <v>2</v>
      </c>
      <c r="D50" s="2" t="s">
        <v>79</v>
      </c>
      <c r="E50" s="6">
        <v>1112</v>
      </c>
      <c r="F50" s="18"/>
      <c r="G50" s="18"/>
      <c r="H50" s="24" t="s">
        <v>32</v>
      </c>
      <c r="I50" s="18"/>
      <c r="J50" s="24" t="s">
        <v>32</v>
      </c>
      <c r="K50" s="24" t="s">
        <v>32</v>
      </c>
      <c r="L50" s="24" t="s">
        <v>32</v>
      </c>
      <c r="M50" s="8"/>
    </row>
    <row r="51" spans="1:13" s="3" customFormat="1" ht="12" customHeight="1" thickBot="1">
      <c r="A51" s="1" t="s">
        <v>81</v>
      </c>
      <c r="B51" s="2" t="s">
        <v>78</v>
      </c>
      <c r="C51" s="6">
        <v>3</v>
      </c>
      <c r="D51" s="2" t="s">
        <v>79</v>
      </c>
      <c r="E51" s="6">
        <v>1119</v>
      </c>
      <c r="F51" s="18"/>
      <c r="G51" s="18"/>
      <c r="H51" s="18"/>
      <c r="I51" s="18"/>
      <c r="J51" s="18"/>
      <c r="K51" s="24" t="s">
        <v>32</v>
      </c>
      <c r="L51" s="24" t="s">
        <v>32</v>
      </c>
      <c r="M51" s="8"/>
    </row>
    <row r="52" spans="1:13" s="3" customFormat="1" ht="12" customHeight="1" thickTop="1">
      <c r="A52" s="38" t="s">
        <v>82</v>
      </c>
      <c r="B52" s="39" t="s">
        <v>78</v>
      </c>
      <c r="C52" s="40">
        <v>4</v>
      </c>
      <c r="D52" s="39" t="s">
        <v>79</v>
      </c>
      <c r="E52" s="40">
        <v>1100</v>
      </c>
      <c r="F52" s="41">
        <f>SUM(F49:F51)</f>
        <v>20949703.870000001</v>
      </c>
      <c r="G52" s="41">
        <f>SUM(G49:G51)</f>
        <v>0</v>
      </c>
      <c r="H52" s="41">
        <f>SUM(H49:H51)</f>
        <v>187436.64</v>
      </c>
      <c r="I52" s="41">
        <f>SUM(I49:I51)</f>
        <v>0</v>
      </c>
      <c r="J52" s="41">
        <f>SUM(J49:J51)</f>
        <v>0</v>
      </c>
      <c r="K52" s="45" t="s">
        <v>32</v>
      </c>
      <c r="L52" s="45" t="s">
        <v>32</v>
      </c>
      <c r="M52" s="8"/>
    </row>
    <row r="53" spans="1:13" s="27" customFormat="1" ht="12" customHeight="1">
      <c r="A53" s="30" t="s">
        <v>83</v>
      </c>
      <c r="C53" s="30" t="s">
        <v>46</v>
      </c>
      <c r="D53" s="30"/>
      <c r="E53" s="6"/>
      <c r="F53" s="24" t="s">
        <v>32</v>
      </c>
      <c r="G53" s="24" t="s">
        <v>32</v>
      </c>
      <c r="H53" s="24" t="s">
        <v>32</v>
      </c>
      <c r="I53" s="24" t="s">
        <v>32</v>
      </c>
      <c r="J53" s="24" t="s">
        <v>32</v>
      </c>
      <c r="K53" s="24" t="s">
        <v>32</v>
      </c>
      <c r="L53" s="24" t="s">
        <v>32</v>
      </c>
      <c r="M53" s="31"/>
    </row>
    <row r="54" spans="1:13" s="27" customFormat="1" ht="12" customHeight="1">
      <c r="A54" s="30" t="s">
        <v>84</v>
      </c>
      <c r="C54" s="30"/>
      <c r="D54" s="30"/>
      <c r="E54" s="6">
        <v>1310</v>
      </c>
      <c r="F54" s="24" t="s">
        <v>32</v>
      </c>
      <c r="G54" s="24" t="s">
        <v>32</v>
      </c>
      <c r="H54" s="24" t="s">
        <v>32</v>
      </c>
      <c r="I54" s="24" t="s">
        <v>32</v>
      </c>
      <c r="J54" s="24" t="s">
        <v>32</v>
      </c>
      <c r="K54" s="24" t="s">
        <v>32</v>
      </c>
      <c r="L54" s="24" t="s">
        <v>32</v>
      </c>
      <c r="M54" s="31"/>
    </row>
    <row r="55" spans="1:13" s="3" customFormat="1" ht="12" customHeight="1">
      <c r="A55" s="1" t="s">
        <v>85</v>
      </c>
      <c r="B55" s="2" t="s">
        <v>78</v>
      </c>
      <c r="C55" s="6">
        <v>5</v>
      </c>
      <c r="D55" s="2" t="s">
        <v>79</v>
      </c>
      <c r="E55" s="6">
        <v>1311</v>
      </c>
      <c r="F55" s="18">
        <v>44194.36</v>
      </c>
      <c r="G55" s="24" t="s">
        <v>32</v>
      </c>
      <c r="H55" s="18">
        <v>31896.75</v>
      </c>
      <c r="I55" s="24" t="s">
        <v>32</v>
      </c>
      <c r="J55" s="24" t="s">
        <v>32</v>
      </c>
      <c r="K55" s="24" t="s">
        <v>32</v>
      </c>
      <c r="L55" s="24" t="s">
        <v>32</v>
      </c>
      <c r="M55" s="8"/>
    </row>
    <row r="56" spans="1:13" s="3" customFormat="1" ht="12" customHeight="1">
      <c r="A56" s="1" t="s">
        <v>86</v>
      </c>
      <c r="B56" s="2" t="s">
        <v>78</v>
      </c>
      <c r="C56" s="6">
        <v>6</v>
      </c>
      <c r="D56" s="2" t="s">
        <v>79</v>
      </c>
      <c r="E56" s="6">
        <v>1314</v>
      </c>
      <c r="F56" s="18"/>
      <c r="G56" s="24" t="s">
        <v>32</v>
      </c>
      <c r="H56" s="18">
        <v>9865</v>
      </c>
      <c r="I56" s="24" t="s">
        <v>32</v>
      </c>
      <c r="J56" s="24" t="s">
        <v>32</v>
      </c>
      <c r="K56" s="24" t="s">
        <v>32</v>
      </c>
      <c r="L56" s="24" t="s">
        <v>32</v>
      </c>
      <c r="M56" s="8"/>
    </row>
    <row r="57" spans="1:13" s="3" customFormat="1" ht="12" customHeight="1">
      <c r="A57" s="1" t="s">
        <v>87</v>
      </c>
      <c r="B57" s="2" t="s">
        <v>78</v>
      </c>
      <c r="C57" s="6">
        <v>7</v>
      </c>
      <c r="D57" s="2" t="s">
        <v>79</v>
      </c>
      <c r="E57" s="6">
        <v>1315</v>
      </c>
      <c r="F57" s="18"/>
      <c r="G57" s="24" t="s">
        <v>32</v>
      </c>
      <c r="H57" s="18"/>
      <c r="I57" s="24" t="s">
        <v>32</v>
      </c>
      <c r="J57" s="24" t="s">
        <v>32</v>
      </c>
      <c r="K57" s="24" t="s">
        <v>32</v>
      </c>
      <c r="L57" s="24" t="s">
        <v>32</v>
      </c>
      <c r="M57" s="8"/>
    </row>
    <row r="58" spans="1:13" s="3" customFormat="1" ht="12" customHeight="1">
      <c r="A58" s="1" t="s">
        <v>88</v>
      </c>
      <c r="B58" s="2" t="s">
        <v>78</v>
      </c>
      <c r="C58" s="6">
        <v>8</v>
      </c>
      <c r="D58" s="2" t="s">
        <v>79</v>
      </c>
      <c r="E58" s="6">
        <v>1316</v>
      </c>
      <c r="F58" s="18"/>
      <c r="G58" s="24" t="s">
        <v>32</v>
      </c>
      <c r="H58" s="18">
        <v>36738.85</v>
      </c>
      <c r="I58" s="24" t="s">
        <v>32</v>
      </c>
      <c r="J58" s="24" t="s">
        <v>32</v>
      </c>
      <c r="K58" s="24" t="s">
        <v>32</v>
      </c>
      <c r="L58" s="24" t="s">
        <v>32</v>
      </c>
      <c r="M58" s="8"/>
    </row>
    <row r="59" spans="1:13" s="27" customFormat="1" ht="12" customHeight="1">
      <c r="A59" s="30" t="s">
        <v>89</v>
      </c>
      <c r="B59" s="2"/>
      <c r="C59" s="6"/>
      <c r="D59" s="6"/>
      <c r="E59" s="6">
        <v>1320</v>
      </c>
      <c r="F59" s="24" t="s">
        <v>32</v>
      </c>
      <c r="G59" s="24" t="s">
        <v>32</v>
      </c>
      <c r="H59" s="24" t="s">
        <v>32</v>
      </c>
      <c r="I59" s="24" t="s">
        <v>32</v>
      </c>
      <c r="J59" s="24" t="s">
        <v>32</v>
      </c>
      <c r="K59" s="24" t="s">
        <v>32</v>
      </c>
      <c r="L59" s="24" t="s">
        <v>32</v>
      </c>
      <c r="M59" s="31"/>
    </row>
    <row r="60" spans="1:13" s="3" customFormat="1" ht="12" customHeight="1">
      <c r="A60" s="1" t="s">
        <v>85</v>
      </c>
      <c r="B60" s="2" t="s">
        <v>78</v>
      </c>
      <c r="C60" s="6">
        <v>9</v>
      </c>
      <c r="D60" s="2" t="s">
        <v>79</v>
      </c>
      <c r="E60" s="6">
        <v>1321</v>
      </c>
      <c r="F60" s="18">
        <v>5348388.82</v>
      </c>
      <c r="G60" s="24" t="s">
        <v>32</v>
      </c>
      <c r="H60" s="18"/>
      <c r="I60" s="24" t="s">
        <v>32</v>
      </c>
      <c r="J60" s="24" t="s">
        <v>32</v>
      </c>
      <c r="K60" s="24" t="s">
        <v>32</v>
      </c>
      <c r="L60" s="24" t="s">
        <v>32</v>
      </c>
      <c r="M60" s="8"/>
    </row>
    <row r="61" spans="1:13" s="3" customFormat="1" ht="12" customHeight="1">
      <c r="A61" s="1" t="s">
        <v>90</v>
      </c>
      <c r="B61" s="2" t="s">
        <v>78</v>
      </c>
      <c r="C61" s="6">
        <v>10</v>
      </c>
      <c r="D61" s="2" t="s">
        <v>79</v>
      </c>
      <c r="E61" s="6">
        <v>1322</v>
      </c>
      <c r="F61" s="18"/>
      <c r="G61" s="24" t="s">
        <v>32</v>
      </c>
      <c r="H61" s="18">
        <v>644057.56000000006</v>
      </c>
      <c r="I61" s="24" t="s">
        <v>32</v>
      </c>
      <c r="J61" s="24" t="s">
        <v>32</v>
      </c>
      <c r="K61" s="24" t="s">
        <v>32</v>
      </c>
      <c r="L61" s="24" t="s">
        <v>32</v>
      </c>
      <c r="M61" s="8"/>
    </row>
    <row r="62" spans="1:13" s="3" customFormat="1" ht="12" customHeight="1">
      <c r="A62" s="1" t="s">
        <v>91</v>
      </c>
      <c r="B62" s="2" t="s">
        <v>78</v>
      </c>
      <c r="C62" s="6">
        <v>11</v>
      </c>
      <c r="D62" s="2" t="s">
        <v>79</v>
      </c>
      <c r="E62" s="6">
        <v>1323</v>
      </c>
      <c r="F62" s="18"/>
      <c r="G62" s="24" t="s">
        <v>32</v>
      </c>
      <c r="H62" s="18"/>
      <c r="I62" s="24" t="s">
        <v>32</v>
      </c>
      <c r="J62" s="24" t="s">
        <v>32</v>
      </c>
      <c r="K62" s="24" t="s">
        <v>32</v>
      </c>
      <c r="L62" s="24" t="s">
        <v>32</v>
      </c>
      <c r="M62" s="8"/>
    </row>
    <row r="63" spans="1:13" s="3" customFormat="1" ht="12" customHeight="1">
      <c r="A63" s="30" t="s">
        <v>92</v>
      </c>
      <c r="B63" s="1" t="s">
        <v>46</v>
      </c>
      <c r="E63" s="6">
        <v>1330</v>
      </c>
      <c r="F63" s="24" t="s">
        <v>32</v>
      </c>
      <c r="G63" s="24" t="s">
        <v>32</v>
      </c>
      <c r="H63" s="24" t="s">
        <v>32</v>
      </c>
      <c r="I63" s="24" t="s">
        <v>32</v>
      </c>
      <c r="J63" s="24" t="s">
        <v>32</v>
      </c>
      <c r="K63" s="24" t="s">
        <v>32</v>
      </c>
      <c r="L63" s="24" t="s">
        <v>32</v>
      </c>
      <c r="M63" s="8"/>
    </row>
    <row r="64" spans="1:13" s="3" customFormat="1" ht="12" customHeight="1">
      <c r="A64" s="1" t="s">
        <v>85</v>
      </c>
      <c r="B64" s="2" t="s">
        <v>78</v>
      </c>
      <c r="C64" s="6">
        <v>12</v>
      </c>
      <c r="D64" s="2" t="s">
        <v>79</v>
      </c>
      <c r="E64" s="6">
        <v>1331</v>
      </c>
      <c r="F64" s="18"/>
      <c r="G64" s="24" t="s">
        <v>32</v>
      </c>
      <c r="H64" s="18"/>
      <c r="I64" s="24" t="s">
        <v>32</v>
      </c>
      <c r="J64" s="24" t="s">
        <v>32</v>
      </c>
      <c r="K64" s="24" t="s">
        <v>32</v>
      </c>
      <c r="L64" s="24" t="s">
        <v>32</v>
      </c>
      <c r="M64" s="8"/>
    </row>
    <row r="65" spans="1:13" s="3" customFormat="1" ht="12" customHeight="1">
      <c r="A65" s="1" t="s">
        <v>90</v>
      </c>
      <c r="B65" s="2" t="s">
        <v>78</v>
      </c>
      <c r="C65" s="6">
        <v>13</v>
      </c>
      <c r="D65" s="2" t="s">
        <v>79</v>
      </c>
      <c r="E65" s="6">
        <v>1332</v>
      </c>
      <c r="F65" s="18"/>
      <c r="G65" s="24" t="s">
        <v>32</v>
      </c>
      <c r="H65" s="18">
        <v>140869.34</v>
      </c>
      <c r="I65" s="24" t="s">
        <v>32</v>
      </c>
      <c r="J65" s="24" t="s">
        <v>32</v>
      </c>
      <c r="K65" s="24" t="s">
        <v>32</v>
      </c>
      <c r="L65" s="24" t="s">
        <v>32</v>
      </c>
      <c r="M65" s="8"/>
    </row>
    <row r="66" spans="1:13" s="3" customFormat="1" ht="12" customHeight="1">
      <c r="A66" s="1" t="s">
        <v>91</v>
      </c>
      <c r="B66" s="2" t="s">
        <v>78</v>
      </c>
      <c r="C66" s="6">
        <v>14</v>
      </c>
      <c r="D66" s="2" t="s">
        <v>79</v>
      </c>
      <c r="E66" s="6">
        <v>1333</v>
      </c>
      <c r="F66" s="18"/>
      <c r="G66" s="24" t="s">
        <v>32</v>
      </c>
      <c r="H66" s="18"/>
      <c r="I66" s="24" t="s">
        <v>32</v>
      </c>
      <c r="J66" s="24" t="s">
        <v>32</v>
      </c>
      <c r="K66" s="24" t="s">
        <v>32</v>
      </c>
      <c r="L66" s="24" t="s">
        <v>32</v>
      </c>
      <c r="M66" s="8"/>
    </row>
    <row r="67" spans="1:13" s="3" customFormat="1" ht="12" customHeight="1">
      <c r="A67" s="30" t="s">
        <v>93</v>
      </c>
      <c r="E67" s="6">
        <v>1340</v>
      </c>
      <c r="F67" s="24" t="s">
        <v>32</v>
      </c>
      <c r="G67" s="24" t="s">
        <v>32</v>
      </c>
      <c r="H67" s="24" t="s">
        <v>32</v>
      </c>
      <c r="I67" s="24" t="s">
        <v>32</v>
      </c>
      <c r="J67" s="24" t="s">
        <v>32</v>
      </c>
      <c r="K67" s="24" t="s">
        <v>32</v>
      </c>
      <c r="L67" s="24" t="s">
        <v>32</v>
      </c>
      <c r="M67" s="8"/>
    </row>
    <row r="68" spans="1:13" s="3" customFormat="1" ht="12" customHeight="1">
      <c r="A68" s="1" t="s">
        <v>85</v>
      </c>
      <c r="B68" s="2" t="s">
        <v>78</v>
      </c>
      <c r="C68" s="6">
        <v>15</v>
      </c>
      <c r="D68" s="2" t="s">
        <v>79</v>
      </c>
      <c r="E68" s="6">
        <v>1341</v>
      </c>
      <c r="F68" s="18"/>
      <c r="G68" s="24" t="s">
        <v>32</v>
      </c>
      <c r="H68" s="18"/>
      <c r="I68" s="24" t="s">
        <v>32</v>
      </c>
      <c r="J68" s="24" t="s">
        <v>32</v>
      </c>
      <c r="K68" s="24" t="s">
        <v>32</v>
      </c>
      <c r="L68" s="24" t="s">
        <v>32</v>
      </c>
      <c r="M68" s="8"/>
    </row>
    <row r="69" spans="1:13" s="3" customFormat="1" ht="12" customHeight="1">
      <c r="A69" s="1" t="s">
        <v>90</v>
      </c>
      <c r="B69" s="2" t="s">
        <v>78</v>
      </c>
      <c r="C69" s="6">
        <v>16</v>
      </c>
      <c r="D69" s="2" t="s">
        <v>79</v>
      </c>
      <c r="E69" s="6">
        <v>1342</v>
      </c>
      <c r="F69" s="18"/>
      <c r="G69" s="24" t="s">
        <v>32</v>
      </c>
      <c r="H69" s="18"/>
      <c r="I69" s="24" t="s">
        <v>32</v>
      </c>
      <c r="J69" s="24" t="s">
        <v>32</v>
      </c>
      <c r="K69" s="24" t="s">
        <v>32</v>
      </c>
      <c r="L69" s="24" t="s">
        <v>32</v>
      </c>
      <c r="M69" s="8"/>
    </row>
    <row r="70" spans="1:13" s="3" customFormat="1" ht="12" customHeight="1" thickBot="1">
      <c r="A70" s="1" t="s">
        <v>81</v>
      </c>
      <c r="B70" s="2" t="s">
        <v>78</v>
      </c>
      <c r="C70" s="6">
        <v>17</v>
      </c>
      <c r="D70" s="2" t="s">
        <v>79</v>
      </c>
      <c r="E70" s="6">
        <v>1349</v>
      </c>
      <c r="F70" s="18"/>
      <c r="G70" s="24" t="s">
        <v>32</v>
      </c>
      <c r="H70" s="18"/>
      <c r="I70" s="24" t="s">
        <v>32</v>
      </c>
      <c r="J70" s="24" t="s">
        <v>32</v>
      </c>
      <c r="K70" s="24" t="s">
        <v>32</v>
      </c>
      <c r="L70" s="24" t="s">
        <v>32</v>
      </c>
      <c r="M70" s="8"/>
    </row>
    <row r="71" spans="1:13" s="3" customFormat="1" ht="12" customHeight="1" thickTop="1">
      <c r="A71" s="38" t="s">
        <v>94</v>
      </c>
      <c r="B71" s="39" t="s">
        <v>78</v>
      </c>
      <c r="C71" s="39" t="s">
        <v>95</v>
      </c>
      <c r="D71" s="39" t="s">
        <v>79</v>
      </c>
      <c r="E71" s="40">
        <v>1300</v>
      </c>
      <c r="F71" s="41">
        <f>SUM(F55:F70)</f>
        <v>5392583.1800000006</v>
      </c>
      <c r="G71" s="45" t="s">
        <v>32</v>
      </c>
      <c r="H71" s="41">
        <f>SUM(H55:H70)</f>
        <v>863427.5</v>
      </c>
      <c r="I71" s="45" t="s">
        <v>32</v>
      </c>
      <c r="J71" s="45" t="s">
        <v>32</v>
      </c>
      <c r="K71" s="45" t="s">
        <v>32</v>
      </c>
      <c r="L71" s="45" t="s">
        <v>32</v>
      </c>
      <c r="M71" s="8"/>
    </row>
    <row r="72" spans="1:13" ht="12" customHeight="1">
      <c r="C72" s="32"/>
      <c r="D72" s="32"/>
      <c r="E72" s="32"/>
      <c r="F72" s="23" t="s">
        <v>19</v>
      </c>
      <c r="G72" s="23" t="s">
        <v>20</v>
      </c>
      <c r="H72" s="23" t="s">
        <v>21</v>
      </c>
      <c r="I72" s="23" t="s">
        <v>22</v>
      </c>
      <c r="J72" s="23" t="s">
        <v>23</v>
      </c>
    </row>
    <row r="73" spans="1:13" s="3" customFormat="1" ht="12" customHeight="1">
      <c r="A73" s="169" t="s">
        <v>96</v>
      </c>
      <c r="C73" s="23"/>
      <c r="D73" s="23"/>
      <c r="E73" s="23"/>
      <c r="F73" s="23"/>
      <c r="G73" s="23"/>
      <c r="H73" s="23" t="s">
        <v>26</v>
      </c>
      <c r="I73" s="23"/>
      <c r="J73" s="23"/>
      <c r="K73" s="20"/>
      <c r="L73" s="20"/>
      <c r="M73" s="8">
        <v>278</v>
      </c>
    </row>
    <row r="74" spans="1:13" s="3" customFormat="1" ht="12" customHeight="1">
      <c r="A74" s="30" t="s">
        <v>97</v>
      </c>
      <c r="C74" s="23"/>
      <c r="D74" s="23"/>
      <c r="E74" s="6">
        <v>1410</v>
      </c>
      <c r="F74" s="16" t="s">
        <v>24</v>
      </c>
      <c r="G74" s="16" t="s">
        <v>25</v>
      </c>
      <c r="H74" s="16" t="s">
        <v>30</v>
      </c>
      <c r="I74" s="16" t="s">
        <v>27</v>
      </c>
      <c r="J74" s="16" t="s">
        <v>28</v>
      </c>
      <c r="K74" s="20"/>
      <c r="L74" s="20"/>
      <c r="M74" s="8"/>
    </row>
    <row r="75" spans="1:13" s="3" customFormat="1" ht="12" customHeight="1">
      <c r="A75" s="1" t="s">
        <v>85</v>
      </c>
      <c r="B75" s="2" t="s">
        <v>98</v>
      </c>
      <c r="C75" s="6">
        <v>1</v>
      </c>
      <c r="D75" s="2" t="s">
        <v>79</v>
      </c>
      <c r="E75" s="6">
        <v>1411</v>
      </c>
      <c r="F75" s="18"/>
      <c r="G75" s="24" t="s">
        <v>32</v>
      </c>
      <c r="H75" s="18"/>
      <c r="I75" s="24" t="s">
        <v>32</v>
      </c>
      <c r="J75" s="24" t="s">
        <v>32</v>
      </c>
      <c r="K75" s="24" t="s">
        <v>32</v>
      </c>
      <c r="L75" s="24" t="s">
        <v>32</v>
      </c>
      <c r="M75" s="8"/>
    </row>
    <row r="76" spans="1:13" s="3" customFormat="1" ht="12" customHeight="1">
      <c r="A76" s="1" t="s">
        <v>86</v>
      </c>
      <c r="B76" s="2" t="s">
        <v>98</v>
      </c>
      <c r="C76" s="6">
        <v>2</v>
      </c>
      <c r="D76" s="2" t="s">
        <v>79</v>
      </c>
      <c r="E76" s="6">
        <v>1414</v>
      </c>
      <c r="F76" s="18"/>
      <c r="G76" s="24" t="s">
        <v>32</v>
      </c>
      <c r="H76" s="18"/>
      <c r="I76" s="24" t="s">
        <v>32</v>
      </c>
      <c r="J76" s="24" t="s">
        <v>32</v>
      </c>
      <c r="K76" s="24" t="s">
        <v>32</v>
      </c>
      <c r="L76" s="24" t="s">
        <v>32</v>
      </c>
      <c r="M76" s="8"/>
    </row>
    <row r="77" spans="1:13" s="3" customFormat="1" ht="12" customHeight="1">
      <c r="A77" s="30" t="s">
        <v>99</v>
      </c>
      <c r="C77" s="23"/>
      <c r="D77" s="23"/>
      <c r="E77" s="6">
        <v>1420</v>
      </c>
      <c r="F77" s="24" t="s">
        <v>32</v>
      </c>
      <c r="G77" s="24" t="s">
        <v>32</v>
      </c>
      <c r="H77" s="24" t="s">
        <v>32</v>
      </c>
      <c r="I77" s="24" t="s">
        <v>32</v>
      </c>
      <c r="J77" s="24" t="s">
        <v>32</v>
      </c>
      <c r="K77" s="24" t="s">
        <v>32</v>
      </c>
      <c r="L77" s="24" t="s">
        <v>32</v>
      </c>
      <c r="M77" s="8"/>
    </row>
    <row r="78" spans="1:13" s="3" customFormat="1" ht="12" customHeight="1">
      <c r="A78" s="1" t="s">
        <v>85</v>
      </c>
      <c r="B78" s="1" t="s">
        <v>98</v>
      </c>
      <c r="C78" s="6">
        <v>3</v>
      </c>
      <c r="D78" s="2" t="s">
        <v>79</v>
      </c>
      <c r="E78" s="6">
        <v>1421</v>
      </c>
      <c r="F78" s="18"/>
      <c r="G78" s="24" t="s">
        <v>32</v>
      </c>
      <c r="H78" s="18"/>
      <c r="I78" s="24" t="s">
        <v>32</v>
      </c>
      <c r="J78" s="24" t="s">
        <v>32</v>
      </c>
      <c r="K78" s="24" t="s">
        <v>32</v>
      </c>
      <c r="L78" s="24" t="s">
        <v>32</v>
      </c>
      <c r="M78" s="8"/>
    </row>
    <row r="79" spans="1:13" s="3" customFormat="1" ht="12" customHeight="1">
      <c r="A79" s="1" t="s">
        <v>90</v>
      </c>
      <c r="B79" s="2" t="s">
        <v>98</v>
      </c>
      <c r="C79" s="6">
        <v>4</v>
      </c>
      <c r="D79" s="2" t="s">
        <v>79</v>
      </c>
      <c r="E79" s="6">
        <v>1422</v>
      </c>
      <c r="F79" s="18"/>
      <c r="G79" s="24" t="s">
        <v>32</v>
      </c>
      <c r="H79" s="18"/>
      <c r="I79" s="24" t="s">
        <v>32</v>
      </c>
      <c r="J79" s="24" t="s">
        <v>32</v>
      </c>
      <c r="K79" s="24" t="s">
        <v>32</v>
      </c>
      <c r="L79" s="24" t="s">
        <v>32</v>
      </c>
      <c r="M79" s="8"/>
    </row>
    <row r="80" spans="1:13" s="3" customFormat="1" ht="12" customHeight="1">
      <c r="A80" s="1" t="s">
        <v>91</v>
      </c>
      <c r="B80" s="2" t="s">
        <v>98</v>
      </c>
      <c r="C80" s="6">
        <v>5</v>
      </c>
      <c r="D80" s="2" t="s">
        <v>79</v>
      </c>
      <c r="E80" s="6">
        <v>1423</v>
      </c>
      <c r="F80" s="18"/>
      <c r="G80" s="24" t="s">
        <v>32</v>
      </c>
      <c r="H80" s="18"/>
      <c r="I80" s="24" t="s">
        <v>32</v>
      </c>
      <c r="J80" s="24" t="s">
        <v>32</v>
      </c>
      <c r="K80" s="24" t="s">
        <v>32</v>
      </c>
      <c r="L80" s="24" t="s">
        <v>32</v>
      </c>
      <c r="M80" s="8"/>
    </row>
    <row r="81" spans="1:13" s="3" customFormat="1" ht="12" customHeight="1">
      <c r="A81" s="30" t="s">
        <v>100</v>
      </c>
      <c r="C81" s="23"/>
      <c r="D81" s="23"/>
      <c r="E81" s="6">
        <v>1430</v>
      </c>
      <c r="F81" s="24" t="s">
        <v>32</v>
      </c>
      <c r="G81" s="24" t="s">
        <v>32</v>
      </c>
      <c r="H81" s="24" t="s">
        <v>32</v>
      </c>
      <c r="I81" s="24" t="s">
        <v>32</v>
      </c>
      <c r="J81" s="24" t="s">
        <v>32</v>
      </c>
      <c r="K81" s="24" t="s">
        <v>32</v>
      </c>
      <c r="L81" s="24" t="s">
        <v>32</v>
      </c>
      <c r="M81" s="8"/>
    </row>
    <row r="82" spans="1:13" s="3" customFormat="1" ht="12" customHeight="1">
      <c r="A82" s="1" t="s">
        <v>85</v>
      </c>
      <c r="B82" s="2" t="s">
        <v>98</v>
      </c>
      <c r="C82" s="6">
        <v>6</v>
      </c>
      <c r="D82" s="2" t="s">
        <v>79</v>
      </c>
      <c r="E82" s="6">
        <v>1431</v>
      </c>
      <c r="F82" s="18"/>
      <c r="G82" s="24" t="s">
        <v>32</v>
      </c>
      <c r="H82" s="18"/>
      <c r="I82" s="24" t="s">
        <v>32</v>
      </c>
      <c r="J82" s="24" t="s">
        <v>32</v>
      </c>
      <c r="K82" s="24" t="s">
        <v>32</v>
      </c>
      <c r="L82" s="24" t="s">
        <v>32</v>
      </c>
      <c r="M82" s="8"/>
    </row>
    <row r="83" spans="1:13" s="3" customFormat="1" ht="12" customHeight="1">
      <c r="A83" s="1" t="s">
        <v>90</v>
      </c>
      <c r="B83" s="2" t="s">
        <v>98</v>
      </c>
      <c r="C83" s="6">
        <v>7</v>
      </c>
      <c r="D83" s="2" t="s">
        <v>79</v>
      </c>
      <c r="E83" s="6">
        <v>1432</v>
      </c>
      <c r="F83" s="18"/>
      <c r="G83" s="24" t="s">
        <v>32</v>
      </c>
      <c r="H83" s="18"/>
      <c r="I83" s="24" t="s">
        <v>32</v>
      </c>
      <c r="J83" s="24" t="s">
        <v>32</v>
      </c>
      <c r="K83" s="24" t="s">
        <v>32</v>
      </c>
      <c r="L83" s="24" t="s">
        <v>32</v>
      </c>
      <c r="M83" s="8"/>
    </row>
    <row r="84" spans="1:13" s="3" customFormat="1" ht="12" customHeight="1">
      <c r="A84" s="1" t="s">
        <v>91</v>
      </c>
      <c r="B84" s="2" t="s">
        <v>98</v>
      </c>
      <c r="C84" s="6">
        <v>8</v>
      </c>
      <c r="D84" s="2" t="s">
        <v>79</v>
      </c>
      <c r="E84" s="6">
        <v>1433</v>
      </c>
      <c r="F84" s="18"/>
      <c r="G84" s="24" t="s">
        <v>32</v>
      </c>
      <c r="H84" s="18"/>
      <c r="I84" s="24" t="s">
        <v>32</v>
      </c>
      <c r="J84" s="24" t="s">
        <v>32</v>
      </c>
      <c r="K84" s="24" t="s">
        <v>32</v>
      </c>
      <c r="L84" s="24" t="s">
        <v>32</v>
      </c>
      <c r="M84" s="8"/>
    </row>
    <row r="85" spans="1:13" s="3" customFormat="1" ht="12" customHeight="1" thickBot="1">
      <c r="A85" s="1" t="s">
        <v>101</v>
      </c>
      <c r="B85" s="2" t="s">
        <v>98</v>
      </c>
      <c r="C85" s="6">
        <v>9</v>
      </c>
      <c r="D85" s="2" t="s">
        <v>79</v>
      </c>
      <c r="E85" s="6">
        <v>1440</v>
      </c>
      <c r="F85" s="18"/>
      <c r="G85" s="24" t="s">
        <v>32</v>
      </c>
      <c r="H85" s="18"/>
      <c r="I85" s="24" t="s">
        <v>32</v>
      </c>
      <c r="J85" s="24" t="s">
        <v>32</v>
      </c>
      <c r="K85" s="24" t="s">
        <v>32</v>
      </c>
      <c r="L85" s="24" t="s">
        <v>32</v>
      </c>
      <c r="M85" s="8"/>
    </row>
    <row r="86" spans="1:13" s="3" customFormat="1" ht="12" customHeight="1" thickTop="1">
      <c r="A86" s="38" t="s">
        <v>102</v>
      </c>
      <c r="B86" s="39" t="s">
        <v>98</v>
      </c>
      <c r="C86" s="40">
        <v>10</v>
      </c>
      <c r="D86" s="39" t="s">
        <v>79</v>
      </c>
      <c r="E86" s="40">
        <v>1400</v>
      </c>
      <c r="F86" s="41">
        <f>SUM(F75:F85)</f>
        <v>0</v>
      </c>
      <c r="G86" s="45" t="s">
        <v>32</v>
      </c>
      <c r="H86" s="41">
        <f>SUM(H75:H85)</f>
        <v>0</v>
      </c>
      <c r="I86" s="45" t="s">
        <v>32</v>
      </c>
      <c r="J86" s="45" t="s">
        <v>32</v>
      </c>
      <c r="K86" s="45" t="s">
        <v>32</v>
      </c>
      <c r="L86" s="45" t="s">
        <v>32</v>
      </c>
      <c r="M86" s="8"/>
    </row>
    <row r="87" spans="1:13" s="3" customFormat="1" ht="12" customHeight="1">
      <c r="A87" s="30" t="s">
        <v>103</v>
      </c>
      <c r="B87" s="2" t="s">
        <v>62</v>
      </c>
      <c r="C87" s="6" t="s">
        <v>62</v>
      </c>
      <c r="D87" s="6"/>
      <c r="E87" s="6"/>
      <c r="F87" s="24" t="s">
        <v>32</v>
      </c>
      <c r="G87" s="24" t="s">
        <v>32</v>
      </c>
      <c r="H87" s="24" t="s">
        <v>32</v>
      </c>
      <c r="I87" s="24" t="s">
        <v>32</v>
      </c>
      <c r="J87" s="24" t="s">
        <v>32</v>
      </c>
      <c r="K87" s="24" t="s">
        <v>32</v>
      </c>
      <c r="L87" s="24" t="s">
        <v>32</v>
      </c>
      <c r="M87" s="8"/>
    </row>
    <row r="88" spans="1:13" s="3" customFormat="1" ht="12" customHeight="1">
      <c r="A88" s="1" t="s">
        <v>104</v>
      </c>
      <c r="B88" s="2" t="s">
        <v>98</v>
      </c>
      <c r="C88" s="6">
        <v>11</v>
      </c>
      <c r="D88" s="2" t="s">
        <v>79</v>
      </c>
      <c r="E88" s="6">
        <v>1500</v>
      </c>
      <c r="F88" s="18"/>
      <c r="G88" s="18">
        <v>98.1</v>
      </c>
      <c r="H88" s="18"/>
      <c r="I88" s="18"/>
      <c r="J88" s="18">
        <v>-62955.57</v>
      </c>
      <c r="K88" s="24" t="s">
        <v>32</v>
      </c>
      <c r="L88" s="24" t="s">
        <v>32</v>
      </c>
      <c r="M88" s="8"/>
    </row>
    <row r="89" spans="1:13" s="3" customFormat="1" ht="12" customHeight="1">
      <c r="A89" s="1" t="s">
        <v>105</v>
      </c>
      <c r="B89" s="2" t="s">
        <v>98</v>
      </c>
      <c r="C89" s="6">
        <v>12</v>
      </c>
      <c r="D89" s="2" t="s">
        <v>79</v>
      </c>
      <c r="E89" s="6">
        <v>1600</v>
      </c>
      <c r="F89" s="24" t="s">
        <v>32</v>
      </c>
      <c r="G89" s="18">
        <v>491329.72</v>
      </c>
      <c r="H89" s="24" t="s">
        <v>32</v>
      </c>
      <c r="I89" s="24" t="s">
        <v>32</v>
      </c>
      <c r="J89" s="24" t="s">
        <v>32</v>
      </c>
      <c r="K89" s="24" t="s">
        <v>32</v>
      </c>
      <c r="L89" s="24" t="s">
        <v>32</v>
      </c>
      <c r="M89" s="8"/>
    </row>
    <row r="90" spans="1:13" s="3" customFormat="1" ht="12" customHeight="1">
      <c r="A90" s="1" t="s">
        <v>106</v>
      </c>
      <c r="B90" s="2" t="s">
        <v>98</v>
      </c>
      <c r="C90" s="6">
        <v>13</v>
      </c>
      <c r="D90" s="2" t="s">
        <v>79</v>
      </c>
      <c r="E90" s="6">
        <v>1700</v>
      </c>
      <c r="F90" s="18"/>
      <c r="G90" s="24" t="s">
        <v>32</v>
      </c>
      <c r="H90" s="18">
        <v>14132.98</v>
      </c>
      <c r="I90" s="24" t="s">
        <v>32</v>
      </c>
      <c r="J90" s="24" t="s">
        <v>32</v>
      </c>
      <c r="K90" s="24" t="s">
        <v>32</v>
      </c>
      <c r="L90" s="24" t="s">
        <v>32</v>
      </c>
      <c r="M90" s="8"/>
    </row>
    <row r="91" spans="1:13" s="3" customFormat="1" ht="12" customHeight="1">
      <c r="A91" s="1" t="s">
        <v>107</v>
      </c>
      <c r="B91" s="2" t="s">
        <v>98</v>
      </c>
      <c r="C91" s="6">
        <v>14</v>
      </c>
      <c r="D91" s="2" t="s">
        <v>79</v>
      </c>
      <c r="E91" s="6">
        <v>1800</v>
      </c>
      <c r="F91" s="18"/>
      <c r="G91" s="18"/>
      <c r="H91" s="18"/>
      <c r="I91" s="24" t="s">
        <v>32</v>
      </c>
      <c r="J91" s="24" t="s">
        <v>32</v>
      </c>
      <c r="K91" s="24" t="s">
        <v>32</v>
      </c>
      <c r="L91" s="24" t="s">
        <v>32</v>
      </c>
      <c r="M91" s="8"/>
    </row>
    <row r="92" spans="1:13" s="3" customFormat="1" ht="12" customHeight="1">
      <c r="A92" s="30" t="s">
        <v>108</v>
      </c>
      <c r="B92" s="2"/>
      <c r="C92" s="6"/>
      <c r="D92" s="6"/>
      <c r="E92" s="6"/>
      <c r="F92" s="24" t="s">
        <v>32</v>
      </c>
      <c r="G92" s="24" t="s">
        <v>32</v>
      </c>
      <c r="H92" s="24" t="s">
        <v>32</v>
      </c>
      <c r="I92" s="24" t="s">
        <v>32</v>
      </c>
      <c r="J92" s="24" t="s">
        <v>32</v>
      </c>
      <c r="K92" s="24" t="s">
        <v>32</v>
      </c>
      <c r="L92" s="24" t="s">
        <v>32</v>
      </c>
      <c r="M92" s="8"/>
    </row>
    <row r="93" spans="1:13" s="3" customFormat="1" ht="12" customHeight="1">
      <c r="A93" s="1" t="s">
        <v>109</v>
      </c>
      <c r="B93" s="2" t="s">
        <v>98</v>
      </c>
      <c r="C93" s="6">
        <v>15</v>
      </c>
      <c r="D93" s="2" t="s">
        <v>79</v>
      </c>
      <c r="E93" s="6">
        <v>1910</v>
      </c>
      <c r="F93" s="18">
        <v>12419.83</v>
      </c>
      <c r="G93" s="18"/>
      <c r="H93" s="18"/>
      <c r="I93" s="18"/>
      <c r="J93" s="24" t="s">
        <v>32</v>
      </c>
      <c r="K93" s="24" t="s">
        <v>32</v>
      </c>
      <c r="L93" s="24" t="s">
        <v>32</v>
      </c>
      <c r="M93" s="8"/>
    </row>
    <row r="94" spans="1:13" s="3" customFormat="1" ht="12" customHeight="1">
      <c r="A94" s="1" t="s">
        <v>110</v>
      </c>
      <c r="B94" s="2" t="s">
        <v>98</v>
      </c>
      <c r="C94" s="6">
        <v>16</v>
      </c>
      <c r="D94" s="2" t="s">
        <v>79</v>
      </c>
      <c r="E94" s="6">
        <v>1920</v>
      </c>
      <c r="F94" s="18"/>
      <c r="G94" s="18"/>
      <c r="H94" s="18">
        <v>285932.12</v>
      </c>
      <c r="I94" s="18"/>
      <c r="J94" s="18">
        <v>375013.75</v>
      </c>
      <c r="K94" s="24" t="s">
        <v>32</v>
      </c>
      <c r="L94" s="24" t="s">
        <v>32</v>
      </c>
      <c r="M94" s="8"/>
    </row>
    <row r="95" spans="1:13" s="3" customFormat="1" ht="12" customHeight="1">
      <c r="A95" s="1" t="s">
        <v>111</v>
      </c>
      <c r="B95" s="2" t="s">
        <v>98</v>
      </c>
      <c r="C95" s="6">
        <v>17</v>
      </c>
      <c r="D95" s="2" t="s">
        <v>79</v>
      </c>
      <c r="E95" s="6">
        <v>1930</v>
      </c>
      <c r="F95" s="18"/>
      <c r="G95" s="18"/>
      <c r="H95" s="18"/>
      <c r="I95" s="24" t="s">
        <v>32</v>
      </c>
      <c r="J95" s="24" t="s">
        <v>32</v>
      </c>
      <c r="K95" s="24" t="s">
        <v>32</v>
      </c>
      <c r="L95" s="24" t="s">
        <v>32</v>
      </c>
      <c r="M95" s="8"/>
    </row>
    <row r="96" spans="1:13" s="3" customFormat="1" ht="12" customHeight="1">
      <c r="A96" s="1" t="s">
        <v>112</v>
      </c>
      <c r="B96" s="2" t="s">
        <v>98</v>
      </c>
      <c r="C96" s="6">
        <v>18</v>
      </c>
      <c r="D96" s="2" t="s">
        <v>79</v>
      </c>
      <c r="E96" s="6">
        <v>1940</v>
      </c>
      <c r="F96" s="18"/>
      <c r="G96" s="24" t="s">
        <v>32</v>
      </c>
      <c r="H96" s="18"/>
      <c r="I96" s="24" t="s">
        <v>32</v>
      </c>
      <c r="J96" s="24" t="s">
        <v>32</v>
      </c>
      <c r="K96" s="24" t="s">
        <v>32</v>
      </c>
      <c r="L96" s="24" t="s">
        <v>32</v>
      </c>
      <c r="M96" s="8"/>
    </row>
    <row r="97" spans="1:13" s="3" customFormat="1" ht="12" customHeight="1">
      <c r="A97" s="1" t="s">
        <v>113</v>
      </c>
      <c r="B97" s="2" t="s">
        <v>98</v>
      </c>
      <c r="C97" s="6">
        <v>19</v>
      </c>
      <c r="D97" s="2" t="s">
        <v>79</v>
      </c>
      <c r="E97" s="6">
        <v>1951</v>
      </c>
      <c r="F97" s="18"/>
      <c r="G97" s="18"/>
      <c r="H97" s="18"/>
      <c r="I97" s="24" t="s">
        <v>32</v>
      </c>
      <c r="J97" s="24" t="s">
        <v>32</v>
      </c>
      <c r="K97" s="24" t="s">
        <v>32</v>
      </c>
      <c r="L97" s="24" t="s">
        <v>32</v>
      </c>
      <c r="M97" s="8"/>
    </row>
    <row r="98" spans="1:13" s="3" customFormat="1" ht="12" customHeight="1">
      <c r="A98" s="1" t="s">
        <v>114</v>
      </c>
      <c r="B98" s="2" t="s">
        <v>98</v>
      </c>
      <c r="C98" s="6">
        <v>20</v>
      </c>
      <c r="D98" s="2" t="s">
        <v>79</v>
      </c>
      <c r="E98" s="6">
        <v>1952</v>
      </c>
      <c r="F98" s="18"/>
      <c r="G98" s="18"/>
      <c r="H98" s="18"/>
      <c r="I98" s="24" t="s">
        <v>32</v>
      </c>
      <c r="J98" s="24" t="s">
        <v>32</v>
      </c>
      <c r="K98" s="24" t="s">
        <v>32</v>
      </c>
      <c r="L98" s="24" t="s">
        <v>32</v>
      </c>
      <c r="M98" s="8"/>
    </row>
    <row r="99" spans="1:13" s="3" customFormat="1" ht="12" customHeight="1">
      <c r="A99" s="1" t="s">
        <v>115</v>
      </c>
      <c r="B99" s="2" t="s">
        <v>98</v>
      </c>
      <c r="C99" s="6">
        <v>21</v>
      </c>
      <c r="D99" s="2" t="s">
        <v>79</v>
      </c>
      <c r="E99" s="6">
        <v>1953</v>
      </c>
      <c r="F99" s="18"/>
      <c r="G99" s="18"/>
      <c r="H99" s="18"/>
      <c r="I99" s="18"/>
      <c r="J99" s="24" t="s">
        <v>32</v>
      </c>
      <c r="K99" s="24" t="s">
        <v>32</v>
      </c>
      <c r="L99" s="24" t="s">
        <v>32</v>
      </c>
      <c r="M99" s="8"/>
    </row>
    <row r="100" spans="1:13" s="3" customFormat="1" ht="12" customHeight="1">
      <c r="A100" s="1" t="s">
        <v>116</v>
      </c>
      <c r="B100" s="2" t="s">
        <v>98</v>
      </c>
      <c r="C100" s="6">
        <v>22</v>
      </c>
      <c r="D100" s="2" t="s">
        <v>79</v>
      </c>
      <c r="E100" s="6">
        <v>1960</v>
      </c>
      <c r="F100" s="18"/>
      <c r="G100" s="18"/>
      <c r="H100" s="18"/>
      <c r="I100" s="18"/>
      <c r="J100" s="24" t="s">
        <v>32</v>
      </c>
      <c r="K100" s="24" t="s">
        <v>32</v>
      </c>
      <c r="L100" s="24" t="s">
        <v>32</v>
      </c>
      <c r="M100" s="8"/>
    </row>
    <row r="101" spans="1:13" s="3" customFormat="1" ht="12" customHeight="1">
      <c r="A101" s="1" t="s">
        <v>117</v>
      </c>
      <c r="B101" s="2" t="s">
        <v>98</v>
      </c>
      <c r="C101" s="6">
        <v>23</v>
      </c>
      <c r="D101" s="2" t="s">
        <v>79</v>
      </c>
      <c r="E101" s="6">
        <v>1980</v>
      </c>
      <c r="F101" s="18"/>
      <c r="G101" s="18"/>
      <c r="H101" s="18"/>
      <c r="I101" s="18"/>
      <c r="J101" s="24" t="s">
        <v>32</v>
      </c>
      <c r="K101" s="24" t="s">
        <v>32</v>
      </c>
      <c r="L101" s="24" t="s">
        <v>32</v>
      </c>
      <c r="M101" s="8"/>
    </row>
    <row r="102" spans="1:13" s="3" customFormat="1" ht="12" customHeight="1" thickBot="1">
      <c r="A102" s="1" t="s">
        <v>81</v>
      </c>
      <c r="B102" s="2" t="s">
        <v>98</v>
      </c>
      <c r="C102" s="6">
        <v>24</v>
      </c>
      <c r="D102" s="2" t="s">
        <v>79</v>
      </c>
      <c r="E102" s="6">
        <v>1990</v>
      </c>
      <c r="F102" s="18">
        <v>1512.2</v>
      </c>
      <c r="G102" s="18"/>
      <c r="H102" s="18">
        <v>13365.27</v>
      </c>
      <c r="I102" s="18"/>
      <c r="J102" s="18"/>
      <c r="K102" s="24" t="s">
        <v>32</v>
      </c>
      <c r="L102" s="24" t="s">
        <v>32</v>
      </c>
      <c r="M102" s="8"/>
    </row>
    <row r="103" spans="1:13" s="3" customFormat="1" ht="12" customHeight="1" thickTop="1" thickBot="1">
      <c r="A103" s="38" t="s">
        <v>118</v>
      </c>
      <c r="B103" s="39" t="s">
        <v>98</v>
      </c>
      <c r="C103" s="40">
        <v>25</v>
      </c>
      <c r="D103" s="39" t="s">
        <v>79</v>
      </c>
      <c r="E103" s="40"/>
      <c r="F103" s="41">
        <f>SUM(F88:F102)</f>
        <v>13932.03</v>
      </c>
      <c r="G103" s="41">
        <f>SUM(G88:G102)</f>
        <v>491427.81999999995</v>
      </c>
      <c r="H103" s="41">
        <f>SUM(H88:H102)</f>
        <v>313430.37</v>
      </c>
      <c r="I103" s="41">
        <f>SUM(I88:I102)</f>
        <v>0</v>
      </c>
      <c r="J103" s="41">
        <f>SUM(J88:J102)</f>
        <v>312058.18</v>
      </c>
      <c r="K103" s="45" t="s">
        <v>32</v>
      </c>
      <c r="L103" s="45" t="s">
        <v>32</v>
      </c>
      <c r="M103" s="8"/>
    </row>
    <row r="104" spans="1:13" s="3" customFormat="1" ht="12" customHeight="1" thickTop="1">
      <c r="A104" s="38" t="s">
        <v>119</v>
      </c>
      <c r="B104" s="39" t="s">
        <v>98</v>
      </c>
      <c r="C104" s="40">
        <v>26</v>
      </c>
      <c r="D104" s="39" t="s">
        <v>79</v>
      </c>
      <c r="E104" s="40">
        <v>1000</v>
      </c>
      <c r="F104" s="41">
        <f>F52+F71+F86+F103</f>
        <v>26356219.080000002</v>
      </c>
      <c r="G104" s="41">
        <f>G52+G103</f>
        <v>491427.81999999995</v>
      </c>
      <c r="H104" s="41">
        <f>H52+H71+H86+H103</f>
        <v>1364294.5100000002</v>
      </c>
      <c r="I104" s="41">
        <f>I52+I103</f>
        <v>0</v>
      </c>
      <c r="J104" s="41">
        <f>J52+J103</f>
        <v>312058.18</v>
      </c>
      <c r="K104" s="45" t="s">
        <v>32</v>
      </c>
      <c r="L104" s="45" t="s">
        <v>32</v>
      </c>
      <c r="M104" s="8"/>
    </row>
    <row r="105" spans="1:13" ht="12" customHeight="1">
      <c r="F105" s="23" t="s">
        <v>19</v>
      </c>
      <c r="G105" s="23" t="s">
        <v>20</v>
      </c>
      <c r="H105" s="23" t="s">
        <v>21</v>
      </c>
      <c r="I105" s="23" t="s">
        <v>22</v>
      </c>
      <c r="J105" s="23" t="s">
        <v>23</v>
      </c>
    </row>
    <row r="106" spans="1:13" s="3" customFormat="1" ht="12" customHeight="1">
      <c r="A106" s="29" t="s">
        <v>120</v>
      </c>
      <c r="H106" s="23" t="s">
        <v>26</v>
      </c>
      <c r="K106" s="20"/>
      <c r="L106" s="20"/>
      <c r="M106" s="8"/>
    </row>
    <row r="107" spans="1:13" s="3" customFormat="1" ht="12" customHeight="1">
      <c r="A107" s="28" t="s">
        <v>121</v>
      </c>
      <c r="F107" s="16" t="s">
        <v>24</v>
      </c>
      <c r="G107" s="14" t="s">
        <v>25</v>
      </c>
      <c r="H107" s="16" t="s">
        <v>30</v>
      </c>
      <c r="I107" s="16" t="s">
        <v>27</v>
      </c>
      <c r="J107" s="16" t="s">
        <v>28</v>
      </c>
      <c r="K107" s="20"/>
      <c r="L107" s="20"/>
      <c r="M107" s="8"/>
    </row>
    <row r="108" spans="1:13" s="3" customFormat="1" ht="12" customHeight="1">
      <c r="A108" s="30" t="s">
        <v>122</v>
      </c>
      <c r="B108" s="7"/>
      <c r="C108" s="7"/>
      <c r="D108" s="7"/>
      <c r="E108" s="7"/>
      <c r="F108" s="24" t="s">
        <v>32</v>
      </c>
      <c r="G108" s="24" t="s">
        <v>32</v>
      </c>
      <c r="H108" s="24" t="s">
        <v>32</v>
      </c>
      <c r="I108" s="24" t="s">
        <v>32</v>
      </c>
      <c r="J108" s="24" t="s">
        <v>32</v>
      </c>
      <c r="K108" s="24" t="s">
        <v>32</v>
      </c>
      <c r="L108" s="24" t="s">
        <v>32</v>
      </c>
      <c r="M108" s="8"/>
    </row>
    <row r="109" spans="1:13" s="3" customFormat="1" ht="12" customHeight="1">
      <c r="A109" s="1" t="s">
        <v>123</v>
      </c>
      <c r="B109" s="2" t="s">
        <v>124</v>
      </c>
      <c r="C109" s="6">
        <v>1</v>
      </c>
      <c r="D109" s="2" t="s">
        <v>79</v>
      </c>
      <c r="E109" s="6">
        <v>3111</v>
      </c>
      <c r="F109" s="18"/>
      <c r="G109" s="24" t="s">
        <v>32</v>
      </c>
      <c r="H109" s="24" t="s">
        <v>32</v>
      </c>
      <c r="I109" s="24" t="s">
        <v>32</v>
      </c>
      <c r="J109" s="24" t="s">
        <v>32</v>
      </c>
      <c r="K109" s="24" t="s">
        <v>32</v>
      </c>
      <c r="L109" s="24" t="s">
        <v>32</v>
      </c>
      <c r="M109" s="8"/>
    </row>
    <row r="110" spans="1:13" s="3" customFormat="1" ht="12" customHeight="1">
      <c r="A110" s="1" t="s">
        <v>125</v>
      </c>
      <c r="B110" s="2" t="s">
        <v>124</v>
      </c>
      <c r="C110" s="6">
        <v>2</v>
      </c>
      <c r="D110" s="2" t="s">
        <v>79</v>
      </c>
      <c r="E110" s="6">
        <v>3112</v>
      </c>
      <c r="F110" s="18">
        <v>9038295</v>
      </c>
      <c r="G110" s="24" t="s">
        <v>32</v>
      </c>
      <c r="H110" s="24" t="s">
        <v>32</v>
      </c>
      <c r="I110" s="24" t="s">
        <v>32</v>
      </c>
      <c r="J110" s="24" t="s">
        <v>32</v>
      </c>
      <c r="K110" s="24" t="s">
        <v>32</v>
      </c>
      <c r="L110" s="24" t="s">
        <v>32</v>
      </c>
      <c r="M110" s="8"/>
    </row>
    <row r="111" spans="1:13" s="3" customFormat="1" ht="12" customHeight="1">
      <c r="A111" s="3" t="s">
        <v>126</v>
      </c>
      <c r="B111" s="2" t="s">
        <v>124</v>
      </c>
      <c r="C111" s="6">
        <v>3</v>
      </c>
      <c r="D111" s="2" t="s">
        <v>79</v>
      </c>
      <c r="E111" s="6">
        <v>3119</v>
      </c>
      <c r="F111" s="18"/>
      <c r="G111" s="24" t="s">
        <v>32</v>
      </c>
      <c r="H111" s="24" t="s">
        <v>32</v>
      </c>
      <c r="I111" s="24" t="s">
        <v>32</v>
      </c>
      <c r="J111" s="24" t="s">
        <v>32</v>
      </c>
      <c r="K111" s="24" t="s">
        <v>32</v>
      </c>
      <c r="L111" s="24" t="s">
        <v>32</v>
      </c>
      <c r="M111" s="8"/>
    </row>
    <row r="112" spans="1:13" s="3" customFormat="1" ht="12" customHeight="1" thickBot="1">
      <c r="A112" s="3" t="s">
        <v>127</v>
      </c>
      <c r="B112" s="2" t="s">
        <v>124</v>
      </c>
      <c r="C112" s="6">
        <v>4</v>
      </c>
      <c r="D112" s="2" t="s">
        <v>79</v>
      </c>
      <c r="E112" s="6">
        <v>3190</v>
      </c>
      <c r="F112" s="18"/>
      <c r="G112" s="18"/>
      <c r="H112" s="18"/>
      <c r="I112" s="18"/>
      <c r="J112" s="18"/>
      <c r="K112" s="24" t="s">
        <v>32</v>
      </c>
      <c r="L112" s="24" t="s">
        <v>32</v>
      </c>
      <c r="M112" s="8"/>
    </row>
    <row r="113" spans="1:13" s="3" customFormat="1" ht="12" customHeight="1" thickTop="1">
      <c r="A113" s="38" t="s">
        <v>128</v>
      </c>
      <c r="B113" s="39" t="s">
        <v>124</v>
      </c>
      <c r="C113" s="40">
        <v>5</v>
      </c>
      <c r="D113" s="39" t="s">
        <v>79</v>
      </c>
      <c r="E113" s="40">
        <v>3100</v>
      </c>
      <c r="F113" s="41">
        <f>SUM(F109:F112)</f>
        <v>9038295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32</v>
      </c>
      <c r="L113" s="45" t="s">
        <v>32</v>
      </c>
      <c r="M113" s="8"/>
    </row>
    <row r="114" spans="1:13" s="3" customFormat="1" ht="12" customHeight="1">
      <c r="A114" s="30" t="s">
        <v>129</v>
      </c>
      <c r="F114" s="24" t="s">
        <v>32</v>
      </c>
      <c r="G114" s="24" t="s">
        <v>32</v>
      </c>
      <c r="H114" s="24" t="s">
        <v>32</v>
      </c>
      <c r="I114" s="24" t="s">
        <v>32</v>
      </c>
      <c r="J114" s="24" t="s">
        <v>32</v>
      </c>
      <c r="K114" s="24" t="s">
        <v>32</v>
      </c>
      <c r="L114" s="24" t="s">
        <v>32</v>
      </c>
      <c r="M114" s="8"/>
    </row>
    <row r="115" spans="1:13" s="3" customFormat="1" ht="12" customHeight="1">
      <c r="A115" s="1" t="s">
        <v>130</v>
      </c>
      <c r="B115" s="2" t="s">
        <v>124</v>
      </c>
      <c r="C115" s="6">
        <v>6</v>
      </c>
      <c r="D115" s="2" t="s">
        <v>79</v>
      </c>
      <c r="E115" s="6">
        <v>3210</v>
      </c>
      <c r="F115" s="18">
        <v>1319095.74</v>
      </c>
      <c r="G115" s="24" t="s">
        <v>32</v>
      </c>
      <c r="H115" s="24" t="s">
        <v>32</v>
      </c>
      <c r="I115" s="18"/>
      <c r="J115" s="24" t="s">
        <v>32</v>
      </c>
      <c r="K115" s="24" t="s">
        <v>32</v>
      </c>
      <c r="L115" s="24" t="s">
        <v>32</v>
      </c>
      <c r="M115" s="8"/>
    </row>
    <row r="116" spans="1:13" s="3" customFormat="1" ht="12" customHeight="1">
      <c r="A116" s="1" t="s">
        <v>131</v>
      </c>
      <c r="B116" s="2" t="s">
        <v>124</v>
      </c>
      <c r="C116" s="6">
        <v>7</v>
      </c>
      <c r="D116" s="2" t="s">
        <v>79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>
      <c r="A117" s="1" t="s">
        <v>132</v>
      </c>
      <c r="B117" s="2" t="s">
        <v>124</v>
      </c>
      <c r="C117" s="6">
        <v>8</v>
      </c>
      <c r="D117" s="2" t="s">
        <v>79</v>
      </c>
      <c r="E117" s="6">
        <v>3220</v>
      </c>
      <c r="F117" s="18"/>
      <c r="G117" s="24" t="s">
        <v>32</v>
      </c>
      <c r="H117" s="24" t="s">
        <v>32</v>
      </c>
      <c r="I117" s="24" t="s">
        <v>32</v>
      </c>
      <c r="J117" s="24" t="s">
        <v>32</v>
      </c>
      <c r="K117" s="24" t="s">
        <v>32</v>
      </c>
      <c r="L117" s="24" t="s">
        <v>32</v>
      </c>
      <c r="M117" s="8"/>
    </row>
    <row r="118" spans="1:13" s="3" customFormat="1" ht="12" customHeight="1">
      <c r="A118" s="1" t="s">
        <v>133</v>
      </c>
      <c r="B118" s="2" t="s">
        <v>124</v>
      </c>
      <c r="C118" s="6">
        <v>9</v>
      </c>
      <c r="D118" s="2" t="s">
        <v>79</v>
      </c>
      <c r="E118" s="6">
        <v>3230</v>
      </c>
      <c r="F118" s="18">
        <v>187436.64</v>
      </c>
      <c r="G118" s="24" t="s">
        <v>32</v>
      </c>
      <c r="H118" s="24" t="s">
        <v>32</v>
      </c>
      <c r="I118" s="24" t="s">
        <v>32</v>
      </c>
      <c r="J118" s="24" t="s">
        <v>32</v>
      </c>
      <c r="K118" s="24" t="s">
        <v>32</v>
      </c>
      <c r="L118" s="24" t="s">
        <v>32</v>
      </c>
      <c r="M118" s="8"/>
    </row>
    <row r="119" spans="1:13" s="3" customFormat="1" ht="12" customHeight="1">
      <c r="A119" s="1" t="s">
        <v>134</v>
      </c>
      <c r="B119" s="2" t="s">
        <v>124</v>
      </c>
      <c r="C119" s="6">
        <v>10</v>
      </c>
      <c r="D119" s="2" t="s">
        <v>79</v>
      </c>
      <c r="E119" s="6">
        <v>3241</v>
      </c>
      <c r="F119" s="18"/>
      <c r="G119" s="24" t="s">
        <v>32</v>
      </c>
      <c r="H119" s="18"/>
      <c r="I119" s="24" t="s">
        <v>32</v>
      </c>
      <c r="J119" s="24" t="s">
        <v>32</v>
      </c>
      <c r="K119" s="24" t="s">
        <v>32</v>
      </c>
      <c r="L119" s="24" t="s">
        <v>32</v>
      </c>
      <c r="M119" s="8"/>
    </row>
    <row r="120" spans="1:13" s="3" customFormat="1" ht="12" customHeight="1">
      <c r="A120" s="1" t="s">
        <v>135</v>
      </c>
      <c r="B120" s="2" t="s">
        <v>124</v>
      </c>
      <c r="C120" s="6">
        <v>11</v>
      </c>
      <c r="D120" s="2" t="s">
        <v>79</v>
      </c>
      <c r="E120" s="6">
        <v>3242</v>
      </c>
      <c r="F120" s="18"/>
      <c r="G120" s="24" t="s">
        <v>32</v>
      </c>
      <c r="H120" s="18"/>
      <c r="I120" s="24" t="s">
        <v>32</v>
      </c>
      <c r="J120" s="24" t="s">
        <v>32</v>
      </c>
      <c r="K120" s="24" t="s">
        <v>32</v>
      </c>
      <c r="L120" s="24" t="s">
        <v>32</v>
      </c>
      <c r="M120" s="8"/>
    </row>
    <row r="121" spans="1:13" s="3" customFormat="1" ht="12" customHeight="1">
      <c r="A121" s="1" t="s">
        <v>136</v>
      </c>
      <c r="B121" s="2" t="s">
        <v>124</v>
      </c>
      <c r="C121" s="6">
        <v>12</v>
      </c>
      <c r="D121" s="2" t="s">
        <v>79</v>
      </c>
      <c r="E121" s="6">
        <v>3243</v>
      </c>
      <c r="F121" s="18"/>
      <c r="G121" s="24" t="s">
        <v>32</v>
      </c>
      <c r="H121" s="18"/>
      <c r="I121" s="24" t="s">
        <v>32</v>
      </c>
      <c r="J121" s="24" t="s">
        <v>32</v>
      </c>
      <c r="K121" s="24" t="s">
        <v>32</v>
      </c>
      <c r="L121" s="24" t="s">
        <v>32</v>
      </c>
      <c r="M121" s="8"/>
    </row>
    <row r="122" spans="1:13" s="3" customFormat="1" ht="12" customHeight="1">
      <c r="A122" s="1" t="s">
        <v>137</v>
      </c>
      <c r="B122" s="2" t="s">
        <v>124</v>
      </c>
      <c r="C122" s="6">
        <v>13</v>
      </c>
      <c r="D122" s="2" t="s">
        <v>79</v>
      </c>
      <c r="E122" s="6">
        <v>3249</v>
      </c>
      <c r="F122" s="18"/>
      <c r="G122" s="24" t="s">
        <v>32</v>
      </c>
      <c r="H122" s="18"/>
      <c r="I122" s="24" t="s">
        <v>32</v>
      </c>
      <c r="J122" s="24" t="s">
        <v>32</v>
      </c>
      <c r="K122" s="24" t="s">
        <v>32</v>
      </c>
      <c r="L122" s="24" t="s">
        <v>32</v>
      </c>
      <c r="M122" s="8"/>
    </row>
    <row r="123" spans="1:13" s="3" customFormat="1" ht="12" customHeight="1">
      <c r="A123" s="1" t="s">
        <v>88</v>
      </c>
      <c r="B123" s="2" t="s">
        <v>124</v>
      </c>
      <c r="C123" s="6">
        <v>14</v>
      </c>
      <c r="D123" s="2" t="s">
        <v>79</v>
      </c>
      <c r="E123" s="6">
        <v>3250</v>
      </c>
      <c r="F123" s="18"/>
      <c r="G123" s="24" t="s">
        <v>32</v>
      </c>
      <c r="H123" s="18"/>
      <c r="I123" s="24" t="s">
        <v>32</v>
      </c>
      <c r="J123" s="24" t="s">
        <v>32</v>
      </c>
      <c r="K123" s="24" t="s">
        <v>32</v>
      </c>
      <c r="L123" s="24" t="s">
        <v>32</v>
      </c>
      <c r="M123" s="8"/>
    </row>
    <row r="124" spans="1:13" s="3" customFormat="1" ht="12" customHeight="1">
      <c r="A124" s="1" t="s">
        <v>138</v>
      </c>
      <c r="B124" s="2" t="s">
        <v>124</v>
      </c>
      <c r="C124" s="6">
        <v>15</v>
      </c>
      <c r="D124" s="2" t="s">
        <v>79</v>
      </c>
      <c r="E124" s="6">
        <v>3260</v>
      </c>
      <c r="F124" s="24" t="s">
        <v>32</v>
      </c>
      <c r="G124" s="18">
        <v>8257.9699999999993</v>
      </c>
      <c r="H124" s="24" t="s">
        <v>32</v>
      </c>
      <c r="I124" s="24" t="s">
        <v>32</v>
      </c>
      <c r="J124" s="24" t="s">
        <v>32</v>
      </c>
      <c r="K124" s="24" t="s">
        <v>32</v>
      </c>
      <c r="L124" s="24" t="s">
        <v>32</v>
      </c>
      <c r="M124" s="8"/>
    </row>
    <row r="125" spans="1:13" s="3" customFormat="1" ht="12" customHeight="1">
      <c r="A125" s="1" t="s">
        <v>87</v>
      </c>
      <c r="B125" s="2" t="s">
        <v>124</v>
      </c>
      <c r="C125" s="6">
        <v>16</v>
      </c>
      <c r="D125" s="2" t="s">
        <v>79</v>
      </c>
      <c r="E125" s="6">
        <v>3270</v>
      </c>
      <c r="F125" s="18"/>
      <c r="G125" s="24" t="s">
        <v>32</v>
      </c>
      <c r="H125" s="18">
        <v>14100</v>
      </c>
      <c r="I125" s="24" t="s">
        <v>32</v>
      </c>
      <c r="J125" s="24" t="s">
        <v>32</v>
      </c>
      <c r="K125" s="24" t="s">
        <v>32</v>
      </c>
      <c r="L125" s="24" t="s">
        <v>32</v>
      </c>
      <c r="M125" s="8"/>
    </row>
    <row r="126" spans="1:13" s="3" customFormat="1" ht="12" customHeight="1">
      <c r="A126" s="1" t="s">
        <v>139</v>
      </c>
      <c r="B126" s="6">
        <v>4</v>
      </c>
      <c r="C126" s="6">
        <v>17</v>
      </c>
      <c r="D126" s="2"/>
      <c r="E126" s="6">
        <v>3280</v>
      </c>
      <c r="F126" s="24" t="s">
        <v>32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>
      <c r="A127" s="1" t="s">
        <v>140</v>
      </c>
      <c r="B127" s="2" t="s">
        <v>124</v>
      </c>
      <c r="C127" s="6">
        <v>18</v>
      </c>
      <c r="D127" s="2" t="s">
        <v>79</v>
      </c>
      <c r="E127" s="6">
        <v>3290</v>
      </c>
      <c r="F127" s="18"/>
      <c r="G127" s="18"/>
      <c r="H127" s="18"/>
      <c r="I127" s="18"/>
      <c r="J127" s="18"/>
      <c r="K127" s="24" t="s">
        <v>32</v>
      </c>
      <c r="L127" s="24" t="s">
        <v>32</v>
      </c>
      <c r="M127" s="8"/>
    </row>
    <row r="128" spans="1:13" s="3" customFormat="1" ht="12" customHeight="1" thickTop="1">
      <c r="A128" s="38" t="s">
        <v>141</v>
      </c>
      <c r="B128" s="39" t="s">
        <v>124</v>
      </c>
      <c r="C128" s="40">
        <v>19</v>
      </c>
      <c r="D128" s="39" t="s">
        <v>79</v>
      </c>
      <c r="E128" s="40">
        <v>3200</v>
      </c>
      <c r="F128" s="41">
        <f>SUM(F115:F127)</f>
        <v>1506532.38</v>
      </c>
      <c r="G128" s="41">
        <f>SUM(G115:G127)</f>
        <v>8257.9699999999993</v>
      </c>
      <c r="H128" s="41">
        <f>SUM(H115:H127)</f>
        <v>14100</v>
      </c>
      <c r="I128" s="41">
        <f>SUM(I115:I127)</f>
        <v>0</v>
      </c>
      <c r="J128" s="41">
        <f>SUM(J115:J127)</f>
        <v>0</v>
      </c>
      <c r="K128" s="45" t="s">
        <v>32</v>
      </c>
      <c r="L128" s="45" t="s">
        <v>32</v>
      </c>
      <c r="M128" s="8"/>
    </row>
    <row r="129" spans="1:13" s="3" customFormat="1" ht="12" customHeight="1">
      <c r="A129" s="3" t="s">
        <v>142</v>
      </c>
      <c r="B129" s="1" t="s">
        <v>124</v>
      </c>
      <c r="C129" s="6">
        <v>20</v>
      </c>
      <c r="D129" s="2" t="s">
        <v>79</v>
      </c>
      <c r="E129" s="6">
        <v>3700</v>
      </c>
      <c r="F129" s="18"/>
      <c r="G129" s="18"/>
      <c r="H129" s="18"/>
      <c r="I129" s="24" t="s">
        <v>32</v>
      </c>
      <c r="J129" s="24" t="s">
        <v>32</v>
      </c>
      <c r="K129" s="24" t="s">
        <v>32</v>
      </c>
      <c r="L129" s="24" t="s">
        <v>32</v>
      </c>
      <c r="M129" s="8"/>
    </row>
    <row r="130" spans="1:13" s="3" customFormat="1" ht="12" customHeight="1">
      <c r="A130" s="1" t="s">
        <v>143</v>
      </c>
      <c r="B130" s="1" t="s">
        <v>124</v>
      </c>
      <c r="C130" s="6">
        <v>21</v>
      </c>
      <c r="D130" s="2" t="s">
        <v>79</v>
      </c>
      <c r="E130" s="6">
        <v>3800</v>
      </c>
      <c r="F130" s="18"/>
      <c r="G130" s="24" t="s">
        <v>32</v>
      </c>
      <c r="H130" s="18"/>
      <c r="I130" s="24" t="s">
        <v>32</v>
      </c>
      <c r="J130" s="24" t="s">
        <v>32</v>
      </c>
      <c r="K130" s="24" t="s">
        <v>32</v>
      </c>
      <c r="L130" s="24" t="s">
        <v>32</v>
      </c>
      <c r="M130" s="8"/>
    </row>
    <row r="131" spans="1:13" s="3" customFormat="1" ht="12" customHeight="1" thickBot="1">
      <c r="A131" s="1" t="s">
        <v>144</v>
      </c>
      <c r="B131" s="1" t="s">
        <v>124</v>
      </c>
      <c r="C131" s="6">
        <v>22</v>
      </c>
      <c r="D131" s="2" t="s">
        <v>79</v>
      </c>
      <c r="E131" s="6">
        <v>3900</v>
      </c>
      <c r="F131" s="24" t="s">
        <v>32</v>
      </c>
      <c r="G131" s="24" t="s">
        <v>32</v>
      </c>
      <c r="H131" s="24" t="s">
        <v>32</v>
      </c>
      <c r="I131" s="24" t="s">
        <v>32</v>
      </c>
      <c r="J131" s="24" t="s">
        <v>32</v>
      </c>
      <c r="K131" s="24" t="s">
        <v>32</v>
      </c>
      <c r="L131" s="24" t="s">
        <v>32</v>
      </c>
      <c r="M131" s="8"/>
    </row>
    <row r="132" spans="1:13" s="3" customFormat="1" ht="12" customHeight="1" thickTop="1">
      <c r="A132" s="38" t="s">
        <v>145</v>
      </c>
      <c r="B132" s="39" t="s">
        <v>124</v>
      </c>
      <c r="C132" s="40">
        <v>23</v>
      </c>
      <c r="D132" s="39" t="s">
        <v>79</v>
      </c>
      <c r="E132" s="40">
        <v>3000</v>
      </c>
      <c r="F132" s="41">
        <f>F113+SUM(F128:F131)</f>
        <v>10544827.379999999</v>
      </c>
      <c r="G132" s="41">
        <f>G113+SUM(G128:G129)</f>
        <v>8257.9699999999993</v>
      </c>
      <c r="H132" s="41">
        <f>H113+SUM(H128:H131)</f>
        <v>14100</v>
      </c>
      <c r="I132" s="41">
        <f>I113+I128</f>
        <v>0</v>
      </c>
      <c r="J132" s="41">
        <f>J113+J128</f>
        <v>0</v>
      </c>
      <c r="K132" s="45" t="s">
        <v>32</v>
      </c>
      <c r="L132" s="45" t="s">
        <v>32</v>
      </c>
      <c r="M132" s="8"/>
    </row>
    <row r="133" spans="1:13" s="3" customFormat="1" ht="12" customHeight="1">
      <c r="A133" s="70"/>
      <c r="B133" s="36"/>
      <c r="C133" s="37"/>
      <c r="D133" s="37"/>
      <c r="E133" s="37"/>
      <c r="F133" s="23" t="s">
        <v>19</v>
      </c>
      <c r="G133" s="23" t="s">
        <v>20</v>
      </c>
      <c r="H133" s="23" t="s">
        <v>21</v>
      </c>
      <c r="I133" s="23" t="s">
        <v>22</v>
      </c>
      <c r="J133" s="23" t="s">
        <v>23</v>
      </c>
      <c r="K133" s="20"/>
      <c r="L133" s="20"/>
      <c r="M133" s="8"/>
    </row>
    <row r="134" spans="1:13" s="3" customFormat="1" ht="12" customHeight="1">
      <c r="A134" s="29" t="s">
        <v>120</v>
      </c>
      <c r="F134" s="23"/>
      <c r="G134" s="23"/>
      <c r="H134" s="16" t="s">
        <v>26</v>
      </c>
      <c r="I134" s="23"/>
      <c r="J134" s="23"/>
      <c r="K134" s="20"/>
      <c r="L134" s="20"/>
      <c r="M134" s="8"/>
    </row>
    <row r="135" spans="1:13" s="3" customFormat="1" ht="12" customHeight="1">
      <c r="A135" s="28" t="s">
        <v>146</v>
      </c>
      <c r="F135" s="16" t="s">
        <v>24</v>
      </c>
      <c r="G135" s="16" t="s">
        <v>25</v>
      </c>
      <c r="H135" s="220" t="s">
        <v>30</v>
      </c>
      <c r="I135" s="16" t="s">
        <v>27</v>
      </c>
      <c r="J135" s="16" t="s">
        <v>28</v>
      </c>
      <c r="K135" s="20"/>
      <c r="L135" s="20"/>
      <c r="M135" s="8"/>
    </row>
    <row r="136" spans="1:13" s="3" customFormat="1" ht="12" customHeight="1">
      <c r="A136" s="30" t="s">
        <v>122</v>
      </c>
      <c r="F136" s="24" t="s">
        <v>32</v>
      </c>
      <c r="G136" s="24" t="s">
        <v>32</v>
      </c>
      <c r="H136" s="24" t="s">
        <v>32</v>
      </c>
      <c r="I136" s="24" t="s">
        <v>32</v>
      </c>
      <c r="J136" s="24" t="s">
        <v>32</v>
      </c>
      <c r="K136" s="24" t="s">
        <v>32</v>
      </c>
      <c r="L136" s="24" t="s">
        <v>32</v>
      </c>
      <c r="M136" s="8"/>
    </row>
    <row r="137" spans="1:13" s="3" customFormat="1" ht="12" customHeight="1">
      <c r="A137" s="1" t="s">
        <v>147</v>
      </c>
      <c r="B137" s="2" t="s">
        <v>148</v>
      </c>
      <c r="C137" s="6">
        <v>1</v>
      </c>
      <c r="D137" s="2" t="s">
        <v>79</v>
      </c>
      <c r="E137" s="6">
        <v>4100</v>
      </c>
      <c r="F137" s="18"/>
      <c r="G137" s="18"/>
      <c r="H137" s="18"/>
      <c r="I137" s="18"/>
      <c r="J137" s="24" t="s">
        <v>32</v>
      </c>
      <c r="K137" s="24" t="s">
        <v>32</v>
      </c>
      <c r="L137" s="24" t="s">
        <v>32</v>
      </c>
      <c r="M137" s="8"/>
    </row>
    <row r="138" spans="1:13" s="3" customFormat="1" ht="12" customHeight="1" thickBot="1">
      <c r="A138" s="1" t="s">
        <v>149</v>
      </c>
      <c r="B138" s="2" t="s">
        <v>148</v>
      </c>
      <c r="C138" s="6">
        <v>2</v>
      </c>
      <c r="D138" s="2" t="s">
        <v>79</v>
      </c>
      <c r="E138" s="6">
        <v>4200</v>
      </c>
      <c r="F138" s="18"/>
      <c r="G138" s="18"/>
      <c r="H138" s="18"/>
      <c r="I138" s="18"/>
      <c r="J138" s="24" t="s">
        <v>32</v>
      </c>
      <c r="K138" s="24" t="s">
        <v>32</v>
      </c>
      <c r="L138" s="24" t="s">
        <v>32</v>
      </c>
      <c r="M138" s="8"/>
    </row>
    <row r="139" spans="1:13" s="3" customFormat="1" ht="12" customHeight="1" thickTop="1">
      <c r="A139" s="38" t="s">
        <v>150</v>
      </c>
      <c r="B139" s="39" t="s">
        <v>148</v>
      </c>
      <c r="C139" s="40">
        <v>3</v>
      </c>
      <c r="D139" s="39" t="s">
        <v>79</v>
      </c>
      <c r="E139" s="40"/>
      <c r="F139" s="41">
        <f>SUM(F137:F138)</f>
        <v>0</v>
      </c>
      <c r="G139" s="41">
        <f>SUM(G137:G138)</f>
        <v>0</v>
      </c>
      <c r="H139" s="41">
        <f>SUM(H137:H138)</f>
        <v>0</v>
      </c>
      <c r="I139" s="41">
        <f>SUM(I137:I138)</f>
        <v>0</v>
      </c>
      <c r="J139" s="45" t="s">
        <v>32</v>
      </c>
      <c r="K139" s="45" t="s">
        <v>32</v>
      </c>
      <c r="L139" s="45" t="s">
        <v>32</v>
      </c>
      <c r="M139" s="8"/>
    </row>
    <row r="140" spans="1:13" s="3" customFormat="1" ht="12" customHeight="1">
      <c r="A140" s="30" t="s">
        <v>129</v>
      </c>
      <c r="B140" s="2"/>
      <c r="C140" s="2"/>
      <c r="D140" s="2"/>
      <c r="E140" s="2"/>
      <c r="F140" s="24" t="s">
        <v>32</v>
      </c>
      <c r="G140" s="24" t="s">
        <v>32</v>
      </c>
      <c r="H140" s="24" t="s">
        <v>32</v>
      </c>
      <c r="I140" s="24" t="s">
        <v>32</v>
      </c>
      <c r="J140" s="24" t="s">
        <v>32</v>
      </c>
      <c r="K140" s="24" t="s">
        <v>32</v>
      </c>
      <c r="L140" s="24" t="s">
        <v>32</v>
      </c>
      <c r="M140" s="8"/>
    </row>
    <row r="141" spans="1:13" s="3" customFormat="1" ht="12" customHeight="1">
      <c r="A141" s="1" t="s">
        <v>151</v>
      </c>
      <c r="C141" s="1" t="s">
        <v>152</v>
      </c>
      <c r="D141" s="1"/>
      <c r="E141" s="6">
        <v>4300</v>
      </c>
      <c r="F141" s="24" t="s">
        <v>32</v>
      </c>
      <c r="G141" s="24" t="s">
        <v>32</v>
      </c>
      <c r="H141" s="24" t="s">
        <v>32</v>
      </c>
      <c r="I141" s="24" t="s">
        <v>32</v>
      </c>
      <c r="J141" s="24" t="s">
        <v>32</v>
      </c>
      <c r="K141" s="24" t="s">
        <v>32</v>
      </c>
      <c r="L141" s="24" t="s">
        <v>32</v>
      </c>
      <c r="M141" s="8"/>
    </row>
    <row r="142" spans="1:13" s="3" customFormat="1" ht="12" customHeight="1">
      <c r="A142" s="3" t="s">
        <v>153</v>
      </c>
      <c r="B142" s="2" t="s">
        <v>148</v>
      </c>
      <c r="C142" s="6">
        <v>4</v>
      </c>
      <c r="D142" s="2" t="s">
        <v>79</v>
      </c>
      <c r="E142" s="6">
        <v>4310</v>
      </c>
      <c r="F142" s="18"/>
      <c r="G142" s="24" t="s">
        <v>32</v>
      </c>
      <c r="H142" s="18"/>
      <c r="I142" s="18"/>
      <c r="J142" s="24" t="s">
        <v>32</v>
      </c>
      <c r="K142" s="24" t="s">
        <v>32</v>
      </c>
      <c r="L142" s="24" t="s">
        <v>32</v>
      </c>
      <c r="M142" s="8"/>
    </row>
    <row r="143" spans="1:13" s="3" customFormat="1" ht="12" customHeight="1">
      <c r="A143" s="1" t="s">
        <v>154</v>
      </c>
      <c r="B143" s="2" t="s">
        <v>148</v>
      </c>
      <c r="C143" s="6">
        <v>5</v>
      </c>
      <c r="D143" s="2" t="s">
        <v>79</v>
      </c>
      <c r="E143" s="6">
        <v>4330</v>
      </c>
      <c r="F143" s="18"/>
      <c r="G143" s="24" t="s">
        <v>32</v>
      </c>
      <c r="H143" s="18"/>
      <c r="I143" s="18"/>
      <c r="J143" s="24" t="s">
        <v>32</v>
      </c>
      <c r="K143" s="24" t="s">
        <v>32</v>
      </c>
      <c r="L143" s="24" t="s">
        <v>32</v>
      </c>
      <c r="M143" s="8"/>
    </row>
    <row r="144" spans="1:13" s="3" customFormat="1" ht="12" customHeight="1">
      <c r="A144" s="1" t="s">
        <v>155</v>
      </c>
      <c r="B144" s="2" t="s">
        <v>148</v>
      </c>
      <c r="C144" s="6">
        <v>6</v>
      </c>
      <c r="D144" s="2" t="s">
        <v>79</v>
      </c>
      <c r="E144" s="6">
        <v>4350</v>
      </c>
      <c r="F144" s="18"/>
      <c r="G144" s="24" t="s">
        <v>32</v>
      </c>
      <c r="H144" s="18"/>
      <c r="I144" s="18"/>
      <c r="J144" s="24" t="s">
        <v>32</v>
      </c>
      <c r="K144" s="24" t="s">
        <v>32</v>
      </c>
      <c r="L144" s="24" t="s">
        <v>32</v>
      </c>
      <c r="M144" s="8"/>
    </row>
    <row r="145" spans="1:13" s="3" customFormat="1" ht="12" customHeight="1">
      <c r="A145" s="1" t="s">
        <v>156</v>
      </c>
      <c r="B145" s="2"/>
      <c r="C145" s="6"/>
      <c r="D145" s="6"/>
      <c r="E145" s="6">
        <v>4500</v>
      </c>
      <c r="F145" s="24" t="s">
        <v>32</v>
      </c>
      <c r="G145" s="24" t="s">
        <v>32</v>
      </c>
      <c r="H145" s="24" t="s">
        <v>32</v>
      </c>
      <c r="I145" s="24" t="s">
        <v>32</v>
      </c>
      <c r="J145" s="24" t="s">
        <v>32</v>
      </c>
      <c r="K145" s="24" t="s">
        <v>32</v>
      </c>
      <c r="L145" s="24" t="s">
        <v>32</v>
      </c>
      <c r="M145" s="8"/>
    </row>
    <row r="146" spans="1:13" s="3" customFormat="1" ht="12" customHeight="1">
      <c r="A146" s="1" t="s">
        <v>157</v>
      </c>
      <c r="B146" s="2" t="s">
        <v>148</v>
      </c>
      <c r="C146" s="6">
        <v>7</v>
      </c>
      <c r="D146" s="2" t="s">
        <v>79</v>
      </c>
      <c r="E146" s="6">
        <v>4520</v>
      </c>
      <c r="F146" s="24" t="s">
        <v>32</v>
      </c>
      <c r="G146" s="24" t="s">
        <v>32</v>
      </c>
      <c r="H146" s="18">
        <v>816710.85</v>
      </c>
      <c r="I146" s="24" t="s">
        <v>32</v>
      </c>
      <c r="J146" s="24" t="s">
        <v>32</v>
      </c>
      <c r="K146" s="24" t="s">
        <v>32</v>
      </c>
      <c r="L146" s="24" t="s">
        <v>32</v>
      </c>
      <c r="M146" s="8"/>
    </row>
    <row r="147" spans="1:13" s="3" customFormat="1" ht="12" customHeight="1">
      <c r="A147" s="1" t="s">
        <v>158</v>
      </c>
      <c r="B147" s="2" t="s">
        <v>148</v>
      </c>
      <c r="C147" s="6">
        <v>8</v>
      </c>
      <c r="D147" s="2" t="s">
        <v>79</v>
      </c>
      <c r="E147" s="6">
        <v>4530</v>
      </c>
      <c r="F147" s="24" t="s">
        <v>32</v>
      </c>
      <c r="G147" s="24" t="s">
        <v>32</v>
      </c>
      <c r="H147" s="18">
        <v>303993.7</v>
      </c>
      <c r="I147" s="24" t="s">
        <v>32</v>
      </c>
      <c r="J147" s="24" t="s">
        <v>32</v>
      </c>
      <c r="K147" s="24" t="s">
        <v>32</v>
      </c>
      <c r="L147" s="24" t="s">
        <v>32</v>
      </c>
      <c r="M147" s="8"/>
    </row>
    <row r="148" spans="1:13" s="3" customFormat="1" ht="12" customHeight="1">
      <c r="A148" s="1" t="s">
        <v>159</v>
      </c>
      <c r="B148" s="2" t="s">
        <v>148</v>
      </c>
      <c r="C148" s="6">
        <v>9</v>
      </c>
      <c r="D148" s="2" t="s">
        <v>79</v>
      </c>
      <c r="E148" s="6">
        <v>4540</v>
      </c>
      <c r="F148" s="24" t="s">
        <v>32</v>
      </c>
      <c r="G148" s="24" t="s">
        <v>32</v>
      </c>
      <c r="H148" s="18">
        <v>91907.23</v>
      </c>
      <c r="I148" s="24" t="s">
        <v>32</v>
      </c>
      <c r="J148" s="24" t="s">
        <v>32</v>
      </c>
      <c r="K148" s="24" t="s">
        <v>32</v>
      </c>
      <c r="L148" s="24" t="s">
        <v>32</v>
      </c>
      <c r="M148" s="8"/>
    </row>
    <row r="149" spans="1:13" s="3" customFormat="1" ht="12" customHeight="1">
      <c r="A149" s="1" t="s">
        <v>160</v>
      </c>
      <c r="B149" s="2" t="s">
        <v>148</v>
      </c>
      <c r="C149" s="6">
        <v>10</v>
      </c>
      <c r="D149" s="2" t="s">
        <v>79</v>
      </c>
      <c r="E149" s="6">
        <v>4550</v>
      </c>
      <c r="F149" s="18"/>
      <c r="G149" s="24" t="s">
        <v>32</v>
      </c>
      <c r="H149" s="18"/>
      <c r="I149" s="24" t="s">
        <v>32</v>
      </c>
      <c r="J149" s="24" t="s">
        <v>32</v>
      </c>
      <c r="K149" s="24" t="s">
        <v>32</v>
      </c>
      <c r="L149" s="24" t="s">
        <v>32</v>
      </c>
      <c r="M149" s="8"/>
    </row>
    <row r="150" spans="1:13" s="3" customFormat="1" ht="12" customHeight="1">
      <c r="A150" s="1" t="s">
        <v>161</v>
      </c>
      <c r="B150" s="2" t="s">
        <v>148</v>
      </c>
      <c r="C150" s="6">
        <v>11</v>
      </c>
      <c r="D150" s="2" t="s">
        <v>79</v>
      </c>
      <c r="E150" s="6">
        <v>4560</v>
      </c>
      <c r="F150" s="24" t="s">
        <v>32</v>
      </c>
      <c r="G150" s="18">
        <v>333443.27</v>
      </c>
      <c r="H150" s="24" t="s">
        <v>32</v>
      </c>
      <c r="I150" s="24" t="s">
        <v>32</v>
      </c>
      <c r="J150" s="24" t="s">
        <v>32</v>
      </c>
      <c r="K150" s="24" t="s">
        <v>32</v>
      </c>
      <c r="L150" s="24" t="s">
        <v>32</v>
      </c>
      <c r="M150" s="8"/>
    </row>
    <row r="151" spans="1:13" s="3" customFormat="1" ht="12" customHeight="1">
      <c r="A151" s="1" t="s">
        <v>155</v>
      </c>
      <c r="B151" s="2" t="s">
        <v>148</v>
      </c>
      <c r="C151" s="6">
        <v>12</v>
      </c>
      <c r="D151" s="2" t="s">
        <v>79</v>
      </c>
      <c r="E151" s="6">
        <v>4570</v>
      </c>
      <c r="F151" s="18"/>
      <c r="G151" s="24" t="s">
        <v>32</v>
      </c>
      <c r="H151" s="18">
        <v>722235.4</v>
      </c>
      <c r="I151" s="24" t="s">
        <v>32</v>
      </c>
      <c r="J151" s="24" t="s">
        <v>32</v>
      </c>
      <c r="K151" s="24" t="s">
        <v>32</v>
      </c>
      <c r="L151" s="24" t="s">
        <v>32</v>
      </c>
      <c r="M151" s="8"/>
    </row>
    <row r="152" spans="1:13" s="3" customFormat="1" ht="12" customHeight="1">
      <c r="A152" s="1" t="s">
        <v>162</v>
      </c>
      <c r="B152" s="2" t="s">
        <v>148</v>
      </c>
      <c r="C152" s="6">
        <v>13</v>
      </c>
      <c r="D152" s="2" t="s">
        <v>79</v>
      </c>
      <c r="E152" s="6">
        <v>4580</v>
      </c>
      <c r="F152" s="18"/>
      <c r="G152" s="24" t="s">
        <v>32</v>
      </c>
      <c r="H152" s="18">
        <v>400627.36</v>
      </c>
      <c r="I152" s="24" t="s">
        <v>32</v>
      </c>
      <c r="J152" s="24" t="s">
        <v>32</v>
      </c>
      <c r="K152" s="24" t="s">
        <v>32</v>
      </c>
      <c r="L152" s="24" t="s">
        <v>32</v>
      </c>
      <c r="M152" s="8"/>
    </row>
    <row r="153" spans="1:13" s="3" customFormat="1" ht="12" customHeight="1" thickBot="1">
      <c r="A153" s="1" t="s">
        <v>163</v>
      </c>
      <c r="B153" s="2" t="s">
        <v>148</v>
      </c>
      <c r="C153" s="6">
        <v>14</v>
      </c>
      <c r="D153" s="2" t="s">
        <v>79</v>
      </c>
      <c r="E153" s="6">
        <v>4590</v>
      </c>
      <c r="F153" s="18"/>
      <c r="G153" s="18"/>
      <c r="H153" s="18"/>
      <c r="I153" s="18"/>
      <c r="J153" s="24" t="s">
        <v>32</v>
      </c>
      <c r="K153" s="24" t="s">
        <v>32</v>
      </c>
      <c r="L153" s="24" t="s">
        <v>32</v>
      </c>
      <c r="M153" s="8"/>
    </row>
    <row r="154" spans="1:13" s="3" customFormat="1" ht="12" customHeight="1" thickTop="1">
      <c r="A154" s="38" t="s">
        <v>164</v>
      </c>
      <c r="B154" s="39" t="s">
        <v>148</v>
      </c>
      <c r="C154" s="40">
        <v>15</v>
      </c>
      <c r="D154" s="39" t="s">
        <v>79</v>
      </c>
      <c r="E154" s="40"/>
      <c r="F154" s="41">
        <f>SUM(F142:F153)</f>
        <v>0</v>
      </c>
      <c r="G154" s="41">
        <f>SUM(G142:G153)</f>
        <v>333443.27</v>
      </c>
      <c r="H154" s="41">
        <f>SUM(H142:H153)</f>
        <v>2335474.54</v>
      </c>
      <c r="I154" s="41">
        <f>SUM(I142:I153)</f>
        <v>0</v>
      </c>
      <c r="J154" s="45" t="s">
        <v>32</v>
      </c>
      <c r="K154" s="45" t="s">
        <v>32</v>
      </c>
      <c r="L154" s="45" t="s">
        <v>32</v>
      </c>
      <c r="M154" s="8"/>
    </row>
    <row r="155" spans="1:13" s="3" customFormat="1" ht="12" customHeight="1">
      <c r="A155" s="3" t="s">
        <v>165</v>
      </c>
      <c r="B155" s="2" t="s">
        <v>148</v>
      </c>
      <c r="C155" s="6">
        <v>16</v>
      </c>
      <c r="D155" s="2" t="s">
        <v>79</v>
      </c>
      <c r="E155" s="6">
        <v>4700</v>
      </c>
      <c r="F155" s="18"/>
      <c r="G155" s="18"/>
      <c r="H155" s="18">
        <v>25430.639999999999</v>
      </c>
      <c r="I155" s="18"/>
      <c r="J155" s="24" t="s">
        <v>32</v>
      </c>
      <c r="K155" s="24" t="s">
        <v>32</v>
      </c>
      <c r="L155" s="24" t="s">
        <v>32</v>
      </c>
      <c r="M155" s="8"/>
    </row>
    <row r="156" spans="1:13" s="3" customFormat="1" ht="12" customHeight="1">
      <c r="A156" s="30" t="s">
        <v>166</v>
      </c>
      <c r="E156" s="6"/>
      <c r="F156" s="24" t="s">
        <v>32</v>
      </c>
      <c r="G156" s="24" t="s">
        <v>32</v>
      </c>
      <c r="H156" s="24" t="s">
        <v>32</v>
      </c>
      <c r="I156" s="24" t="s">
        <v>32</v>
      </c>
      <c r="J156" s="24" t="s">
        <v>32</v>
      </c>
      <c r="K156" s="24" t="s">
        <v>32</v>
      </c>
      <c r="L156" s="24" t="s">
        <v>32</v>
      </c>
      <c r="M156" s="8"/>
    </row>
    <row r="157" spans="1:13" s="3" customFormat="1" ht="12" customHeight="1">
      <c r="A157" s="1" t="s">
        <v>167</v>
      </c>
      <c r="B157" s="2" t="s">
        <v>148</v>
      </c>
      <c r="C157" s="6">
        <v>17</v>
      </c>
      <c r="D157" s="2" t="s">
        <v>79</v>
      </c>
      <c r="E157" s="6">
        <v>4810</v>
      </c>
      <c r="F157" s="18"/>
      <c r="G157" s="24" t="s">
        <v>32</v>
      </c>
      <c r="H157" s="24" t="s">
        <v>32</v>
      </c>
      <c r="I157" s="24" t="s">
        <v>32</v>
      </c>
      <c r="J157" s="24" t="s">
        <v>32</v>
      </c>
      <c r="K157" s="24" t="s">
        <v>32</v>
      </c>
      <c r="L157" s="24" t="s">
        <v>32</v>
      </c>
      <c r="M157" s="8"/>
    </row>
    <row r="158" spans="1:13" s="3" customFormat="1" ht="12" customHeight="1">
      <c r="A158" s="1" t="s">
        <v>168</v>
      </c>
      <c r="B158" s="2" t="s">
        <v>148</v>
      </c>
      <c r="C158" s="6">
        <v>18</v>
      </c>
      <c r="D158" s="2" t="s">
        <v>79</v>
      </c>
      <c r="E158" s="6">
        <v>4890</v>
      </c>
      <c r="F158" s="18">
        <v>2893.94</v>
      </c>
      <c r="G158" s="24" t="s">
        <v>32</v>
      </c>
      <c r="H158" s="24" t="s">
        <v>32</v>
      </c>
      <c r="I158" s="24" t="s">
        <v>32</v>
      </c>
      <c r="J158" s="24" t="s">
        <v>32</v>
      </c>
      <c r="K158" s="24" t="s">
        <v>32</v>
      </c>
      <c r="L158" s="24" t="s">
        <v>32</v>
      </c>
      <c r="M158" s="8"/>
    </row>
    <row r="159" spans="1:13" s="3" customFormat="1" ht="12" customHeight="1">
      <c r="A159" s="30" t="s">
        <v>169</v>
      </c>
      <c r="B159" s="2"/>
      <c r="C159" s="6"/>
      <c r="D159" s="2"/>
      <c r="E159" s="6"/>
      <c r="F159" s="24" t="s">
        <v>32</v>
      </c>
      <c r="G159" s="24" t="s">
        <v>32</v>
      </c>
      <c r="H159" s="24" t="s">
        <v>32</v>
      </c>
      <c r="I159" s="24" t="s">
        <v>32</v>
      </c>
      <c r="J159" s="24" t="s">
        <v>32</v>
      </c>
      <c r="K159" s="24" t="s">
        <v>32</v>
      </c>
      <c r="L159" s="24" t="s">
        <v>32</v>
      </c>
      <c r="M159" s="8"/>
    </row>
    <row r="160" spans="1:13" s="3" customFormat="1" ht="12" customHeight="1" thickBot="1">
      <c r="A160" s="1" t="s">
        <v>170</v>
      </c>
      <c r="B160" s="2" t="s">
        <v>148</v>
      </c>
      <c r="C160" s="6">
        <v>19</v>
      </c>
      <c r="D160" s="2" t="s">
        <v>79</v>
      </c>
      <c r="E160" s="6">
        <v>4900</v>
      </c>
      <c r="F160" s="18"/>
      <c r="G160" s="18"/>
      <c r="H160" s="18"/>
      <c r="I160" s="24" t="s">
        <v>32</v>
      </c>
      <c r="J160" s="24" t="s">
        <v>32</v>
      </c>
      <c r="K160" s="24" t="s">
        <v>32</v>
      </c>
      <c r="L160" s="24" t="s">
        <v>32</v>
      </c>
      <c r="M160" s="8"/>
    </row>
    <row r="161" spans="1:13" s="3" customFormat="1" ht="12" customHeight="1" thickTop="1">
      <c r="A161" s="38" t="s">
        <v>171</v>
      </c>
      <c r="B161" s="39" t="s">
        <v>148</v>
      </c>
      <c r="C161" s="40">
        <v>20</v>
      </c>
      <c r="D161" s="39" t="s">
        <v>79</v>
      </c>
      <c r="E161" s="44">
        <v>4000</v>
      </c>
      <c r="F161" s="41">
        <f>F139+F154+SUM(F155:F160)</f>
        <v>2893.94</v>
      </c>
      <c r="G161" s="41">
        <f>G139+G154+SUM(G155:G160)</f>
        <v>333443.27</v>
      </c>
      <c r="H161" s="41">
        <f>H139+H154+SUM(H155:H160)</f>
        <v>2360905.1800000002</v>
      </c>
      <c r="I161" s="41">
        <f>I139+I154+SUM(I155:I160)</f>
        <v>0</v>
      </c>
      <c r="J161" s="45" t="s">
        <v>32</v>
      </c>
      <c r="K161" s="45" t="s">
        <v>32</v>
      </c>
      <c r="L161" s="45" t="s">
        <v>32</v>
      </c>
      <c r="M161" s="8"/>
    </row>
    <row r="162" spans="1:13" s="3" customFormat="1" ht="12" customHeight="1">
      <c r="A162" s="70"/>
      <c r="B162" s="36"/>
      <c r="C162" s="75"/>
      <c r="D162" s="75"/>
      <c r="E162" s="75"/>
      <c r="F162" s="23" t="s">
        <v>19</v>
      </c>
      <c r="G162" s="23" t="s">
        <v>20</v>
      </c>
      <c r="H162" s="23" t="s">
        <v>21</v>
      </c>
      <c r="I162" s="23" t="s">
        <v>22</v>
      </c>
      <c r="J162" s="23" t="s">
        <v>23</v>
      </c>
      <c r="K162" s="20"/>
      <c r="L162" s="20"/>
      <c r="M162" s="8"/>
    </row>
    <row r="163" spans="1:13" s="3" customFormat="1" ht="12" customHeight="1">
      <c r="A163" s="29" t="s">
        <v>172</v>
      </c>
      <c r="F163" s="23"/>
      <c r="G163" s="23"/>
      <c r="H163" s="16" t="s">
        <v>26</v>
      </c>
      <c r="I163" s="23"/>
      <c r="J163" s="23"/>
      <c r="K163" s="20"/>
      <c r="L163" s="20"/>
      <c r="M163" s="8"/>
    </row>
    <row r="164" spans="1:13" s="3" customFormat="1" ht="12" customHeight="1">
      <c r="A164" s="27" t="s">
        <v>173</v>
      </c>
      <c r="B164" s="7"/>
      <c r="C164" s="7"/>
      <c r="D164" s="7"/>
      <c r="E164" s="7"/>
      <c r="F164" s="16" t="s">
        <v>24</v>
      </c>
      <c r="G164" s="16" t="s">
        <v>25</v>
      </c>
      <c r="H164" s="220" t="s">
        <v>30</v>
      </c>
      <c r="I164" s="16" t="s">
        <v>27</v>
      </c>
      <c r="J164" s="16" t="s">
        <v>28</v>
      </c>
      <c r="K164" s="20"/>
      <c r="L164" s="20"/>
      <c r="M164" s="8"/>
    </row>
    <row r="165" spans="1:13" s="3" customFormat="1" ht="12" customHeight="1">
      <c r="A165" s="1" t="s">
        <v>174</v>
      </c>
      <c r="B165" s="2" t="s">
        <v>175</v>
      </c>
      <c r="C165" s="6">
        <v>1</v>
      </c>
      <c r="D165" s="2" t="s">
        <v>79</v>
      </c>
      <c r="E165" s="6">
        <v>5110</v>
      </c>
      <c r="F165" s="18"/>
      <c r="G165" s="24" t="s">
        <v>32</v>
      </c>
      <c r="H165" s="24" t="s">
        <v>32</v>
      </c>
      <c r="I165" s="18"/>
      <c r="J165" s="24" t="s">
        <v>32</v>
      </c>
      <c r="K165" s="24" t="s">
        <v>32</v>
      </c>
      <c r="L165" s="24" t="s">
        <v>32</v>
      </c>
      <c r="M165" s="8"/>
    </row>
    <row r="166" spans="1:13" s="3" customFormat="1" ht="12" customHeight="1">
      <c r="A166" s="1" t="s">
        <v>176</v>
      </c>
      <c r="B166" s="6">
        <v>6</v>
      </c>
      <c r="C166" s="6">
        <v>2</v>
      </c>
      <c r="D166" s="2" t="s">
        <v>79</v>
      </c>
      <c r="E166" s="6">
        <v>5120</v>
      </c>
      <c r="F166" s="18"/>
      <c r="G166" s="24" t="s">
        <v>32</v>
      </c>
      <c r="H166" s="24" t="s">
        <v>32</v>
      </c>
      <c r="I166" s="18"/>
      <c r="J166" s="24" t="s">
        <v>32</v>
      </c>
      <c r="K166" s="24" t="s">
        <v>32</v>
      </c>
      <c r="L166" s="24" t="s">
        <v>32</v>
      </c>
      <c r="M166" s="8"/>
    </row>
    <row r="167" spans="1:13" s="3" customFormat="1" ht="12" customHeight="1">
      <c r="A167" s="1" t="s">
        <v>177</v>
      </c>
      <c r="B167" s="2" t="s">
        <v>175</v>
      </c>
      <c r="C167" s="6">
        <v>3</v>
      </c>
      <c r="D167" s="2" t="s">
        <v>79</v>
      </c>
      <c r="E167" s="6">
        <v>5130</v>
      </c>
      <c r="F167" s="18"/>
      <c r="G167" s="24" t="s">
        <v>32</v>
      </c>
      <c r="H167" s="24" t="s">
        <v>32</v>
      </c>
      <c r="I167" s="18"/>
      <c r="J167" s="24" t="s">
        <v>32</v>
      </c>
      <c r="K167" s="24" t="s">
        <v>32</v>
      </c>
      <c r="L167" s="24" t="s">
        <v>32</v>
      </c>
      <c r="M167" s="8"/>
    </row>
    <row r="168" spans="1:13" s="3" customFormat="1" ht="12" customHeight="1" thickBot="1">
      <c r="A168" s="1" t="s">
        <v>178</v>
      </c>
      <c r="B168" s="2" t="s">
        <v>175</v>
      </c>
      <c r="C168" s="6">
        <v>4</v>
      </c>
      <c r="D168" s="2" t="s">
        <v>79</v>
      </c>
      <c r="E168" s="6">
        <v>5140</v>
      </c>
      <c r="F168" s="18"/>
      <c r="G168" s="24" t="s">
        <v>32</v>
      </c>
      <c r="H168" s="24" t="s">
        <v>32</v>
      </c>
      <c r="I168" s="18"/>
      <c r="J168" s="24" t="s">
        <v>32</v>
      </c>
      <c r="K168" s="24" t="s">
        <v>32</v>
      </c>
      <c r="L168" s="24" t="s">
        <v>32</v>
      </c>
      <c r="M168" s="8"/>
    </row>
    <row r="169" spans="1:13" s="3" customFormat="1" ht="12" customHeight="1" thickTop="1">
      <c r="A169" s="38" t="s">
        <v>179</v>
      </c>
      <c r="B169" s="39" t="s">
        <v>175</v>
      </c>
      <c r="C169" s="44">
        <v>5</v>
      </c>
      <c r="D169" s="39" t="s">
        <v>79</v>
      </c>
      <c r="E169" s="44">
        <v>5100</v>
      </c>
      <c r="F169" s="41">
        <f>SUM(F165:F168)</f>
        <v>0</v>
      </c>
      <c r="G169" s="41" t="s">
        <v>32</v>
      </c>
      <c r="H169" s="41" t="s">
        <v>32</v>
      </c>
      <c r="I169" s="41">
        <f>SUM(I165:I168)</f>
        <v>0</v>
      </c>
      <c r="J169" s="45" t="s">
        <v>32</v>
      </c>
      <c r="K169" s="45" t="s">
        <v>32</v>
      </c>
      <c r="L169" s="45" t="s">
        <v>32</v>
      </c>
      <c r="M169" s="8"/>
    </row>
    <row r="170" spans="1:13" s="3" customFormat="1" ht="12" customHeight="1">
      <c r="A170" s="30" t="s">
        <v>180</v>
      </c>
      <c r="B170" s="2"/>
      <c r="C170" s="2"/>
      <c r="D170" s="2"/>
      <c r="E170" s="2"/>
      <c r="F170" s="24" t="s">
        <v>32</v>
      </c>
      <c r="G170" s="24" t="s">
        <v>32</v>
      </c>
      <c r="H170" s="24" t="s">
        <v>32</v>
      </c>
      <c r="I170" s="24" t="s">
        <v>32</v>
      </c>
      <c r="J170" s="24" t="s">
        <v>32</v>
      </c>
      <c r="K170" s="24" t="s">
        <v>32</v>
      </c>
      <c r="L170" s="24" t="s">
        <v>32</v>
      </c>
      <c r="M170" s="8"/>
    </row>
    <row r="171" spans="1:13" s="3" customFormat="1" ht="12" customHeight="1">
      <c r="A171" s="1" t="s">
        <v>181</v>
      </c>
      <c r="B171" s="2" t="s">
        <v>175</v>
      </c>
      <c r="C171" s="6">
        <v>6</v>
      </c>
      <c r="D171" s="2" t="s">
        <v>79</v>
      </c>
      <c r="E171" s="6">
        <v>5210</v>
      </c>
      <c r="F171" s="24" t="s">
        <v>32</v>
      </c>
      <c r="G171" s="18"/>
      <c r="H171" s="18">
        <v>656136</v>
      </c>
      <c r="I171" s="18"/>
      <c r="J171" s="18"/>
      <c r="K171" s="24" t="s">
        <v>32</v>
      </c>
      <c r="L171" s="24" t="s">
        <v>32</v>
      </c>
      <c r="M171" s="8"/>
    </row>
    <row r="172" spans="1:13" s="3" customFormat="1" ht="12" customHeight="1">
      <c r="A172" s="1" t="s">
        <v>182</v>
      </c>
      <c r="B172" s="2" t="s">
        <v>175</v>
      </c>
      <c r="C172" s="6">
        <v>7</v>
      </c>
      <c r="D172" s="2" t="s">
        <v>79</v>
      </c>
      <c r="E172" s="6">
        <v>5221</v>
      </c>
      <c r="F172" s="18"/>
      <c r="G172" s="24" t="s">
        <v>32</v>
      </c>
      <c r="H172" s="18"/>
      <c r="I172" s="18"/>
      <c r="J172" s="18"/>
      <c r="K172" s="24" t="s">
        <v>32</v>
      </c>
      <c r="L172" s="24" t="s">
        <v>32</v>
      </c>
      <c r="M172" s="8"/>
    </row>
    <row r="173" spans="1:13" s="3" customFormat="1" ht="12" customHeight="1">
      <c r="A173" s="3" t="s">
        <v>183</v>
      </c>
      <c r="B173" s="2" t="s">
        <v>175</v>
      </c>
      <c r="C173" s="6">
        <v>8</v>
      </c>
      <c r="D173" s="2" t="s">
        <v>79</v>
      </c>
      <c r="E173" s="6">
        <v>5222</v>
      </c>
      <c r="F173" s="18"/>
      <c r="G173" s="18"/>
      <c r="H173" s="24" t="s">
        <v>32</v>
      </c>
      <c r="I173" s="18"/>
      <c r="J173" s="18"/>
      <c r="K173" s="24" t="s">
        <v>32</v>
      </c>
      <c r="L173" s="24" t="s">
        <v>32</v>
      </c>
      <c r="M173" s="8"/>
    </row>
    <row r="174" spans="1:13" s="3" customFormat="1" ht="12" customHeight="1" thickBot="1">
      <c r="A174" s="3" t="s">
        <v>184</v>
      </c>
      <c r="B174" s="2" t="s">
        <v>175</v>
      </c>
      <c r="C174" s="6">
        <v>9</v>
      </c>
      <c r="D174" s="2" t="s">
        <v>79</v>
      </c>
      <c r="E174" s="6">
        <v>5230</v>
      </c>
      <c r="F174" s="18"/>
      <c r="G174" s="18"/>
      <c r="H174" s="18"/>
      <c r="I174" s="24" t="s">
        <v>32</v>
      </c>
      <c r="J174" s="18"/>
      <c r="K174" s="24" t="s">
        <v>32</v>
      </c>
      <c r="L174" s="24" t="s">
        <v>32</v>
      </c>
      <c r="M174" s="8"/>
    </row>
    <row r="175" spans="1:13" s="3" customFormat="1" ht="12" customHeight="1" thickTop="1">
      <c r="A175" s="38" t="s">
        <v>185</v>
      </c>
      <c r="B175" s="39" t="s">
        <v>175</v>
      </c>
      <c r="C175" s="44">
        <v>10</v>
      </c>
      <c r="D175" s="39" t="s">
        <v>79</v>
      </c>
      <c r="E175" s="44">
        <v>5200</v>
      </c>
      <c r="F175" s="41">
        <f>SUM(F171:F174)</f>
        <v>0</v>
      </c>
      <c r="G175" s="41">
        <f>SUM(G171:G174)</f>
        <v>0</v>
      </c>
      <c r="H175" s="41">
        <f>SUM(H171:H174)</f>
        <v>656136</v>
      </c>
      <c r="I175" s="41">
        <f>SUM(I171:I174)</f>
        <v>0</v>
      </c>
      <c r="J175" s="41">
        <f>SUM(J171:J174)</f>
        <v>0</v>
      </c>
      <c r="K175" s="45" t="s">
        <v>32</v>
      </c>
      <c r="L175" s="45" t="s">
        <v>32</v>
      </c>
      <c r="M175" s="8"/>
    </row>
    <row r="176" spans="1:13" s="3" customFormat="1" ht="12" customHeight="1">
      <c r="A176" s="30" t="s">
        <v>186</v>
      </c>
      <c r="B176" s="2"/>
      <c r="C176" s="6"/>
      <c r="D176" s="6"/>
      <c r="E176" s="6"/>
      <c r="F176" s="24" t="s">
        <v>32</v>
      </c>
      <c r="G176" s="24" t="s">
        <v>32</v>
      </c>
      <c r="H176" s="24" t="s">
        <v>32</v>
      </c>
      <c r="I176" s="24" t="s">
        <v>32</v>
      </c>
      <c r="J176" s="24" t="s">
        <v>32</v>
      </c>
      <c r="K176" s="24" t="s">
        <v>32</v>
      </c>
      <c r="L176" s="24" t="s">
        <v>32</v>
      </c>
      <c r="M176" s="8"/>
    </row>
    <row r="177" spans="1:13" s="3" customFormat="1" ht="12" customHeight="1">
      <c r="A177" s="1" t="s">
        <v>187</v>
      </c>
      <c r="B177" s="2" t="s">
        <v>175</v>
      </c>
      <c r="C177" s="6">
        <v>11</v>
      </c>
      <c r="D177" s="2" t="s">
        <v>79</v>
      </c>
      <c r="E177" s="6">
        <v>5251</v>
      </c>
      <c r="F177" s="18"/>
      <c r="G177" s="18"/>
      <c r="H177" s="18"/>
      <c r="I177" s="18"/>
      <c r="J177" s="24" t="s">
        <v>32</v>
      </c>
      <c r="K177" s="24" t="s">
        <v>32</v>
      </c>
      <c r="L177" s="24" t="s">
        <v>32</v>
      </c>
      <c r="M177" s="8"/>
    </row>
    <row r="178" spans="1:13" s="3" customFormat="1" ht="12" customHeight="1">
      <c r="A178" s="1" t="s">
        <v>188</v>
      </c>
      <c r="B178" s="2" t="s">
        <v>175</v>
      </c>
      <c r="C178" s="6">
        <v>12</v>
      </c>
      <c r="D178" s="2" t="s">
        <v>79</v>
      </c>
      <c r="E178" s="6">
        <v>5252</v>
      </c>
      <c r="F178" s="18"/>
      <c r="G178" s="18"/>
      <c r="H178" s="18"/>
      <c r="I178" s="18"/>
      <c r="J178" s="24" t="s">
        <v>32</v>
      </c>
      <c r="K178" s="24" t="s">
        <v>32</v>
      </c>
      <c r="L178" s="24" t="s">
        <v>32</v>
      </c>
      <c r="M178" s="8"/>
    </row>
    <row r="179" spans="1:13" s="3" customFormat="1" ht="12" customHeight="1" thickBot="1">
      <c r="A179" s="1" t="s">
        <v>189</v>
      </c>
      <c r="B179" s="2" t="s">
        <v>175</v>
      </c>
      <c r="C179" s="6">
        <v>13</v>
      </c>
      <c r="D179" s="2" t="s">
        <v>79</v>
      </c>
      <c r="E179" s="6">
        <v>5253</v>
      </c>
      <c r="F179" s="18"/>
      <c r="G179" s="18"/>
      <c r="H179" s="18"/>
      <c r="I179" s="18"/>
      <c r="J179" s="24" t="s">
        <v>32</v>
      </c>
      <c r="K179" s="24" t="s">
        <v>32</v>
      </c>
      <c r="L179" s="24" t="s">
        <v>32</v>
      </c>
      <c r="M179" s="8"/>
    </row>
    <row r="180" spans="1:13" s="3" customFormat="1" ht="12" customHeight="1" thickTop="1">
      <c r="A180" s="38" t="s">
        <v>190</v>
      </c>
      <c r="B180" s="39" t="s">
        <v>175</v>
      </c>
      <c r="C180" s="40">
        <v>14</v>
      </c>
      <c r="D180" s="39" t="s">
        <v>79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32</v>
      </c>
      <c r="K180" s="45" t="s">
        <v>32</v>
      </c>
      <c r="L180" s="45" t="s">
        <v>32</v>
      </c>
      <c r="M180" s="8"/>
    </row>
    <row r="181" spans="1:13" ht="12" customHeight="1">
      <c r="A181" s="3" t="s">
        <v>191</v>
      </c>
      <c r="B181" s="2" t="s">
        <v>175</v>
      </c>
      <c r="C181" s="6">
        <v>15</v>
      </c>
      <c r="D181" s="2" t="s">
        <v>79</v>
      </c>
      <c r="E181" s="6">
        <v>5300</v>
      </c>
      <c r="F181" s="18"/>
      <c r="G181" s="18"/>
      <c r="H181" s="18"/>
      <c r="I181" s="18"/>
      <c r="J181" s="24" t="s">
        <v>32</v>
      </c>
      <c r="K181" s="24" t="s">
        <v>32</v>
      </c>
      <c r="L181" s="24" t="s">
        <v>32</v>
      </c>
    </row>
    <row r="182" spans="1:13" ht="12" customHeight="1">
      <c r="A182" s="3" t="s">
        <v>192</v>
      </c>
      <c r="B182" s="2" t="s">
        <v>175</v>
      </c>
      <c r="C182" s="6">
        <v>16</v>
      </c>
      <c r="D182" s="2" t="s">
        <v>79</v>
      </c>
      <c r="E182" s="6">
        <v>5500</v>
      </c>
      <c r="F182" s="18"/>
      <c r="G182" s="18"/>
      <c r="H182" s="18"/>
      <c r="I182" s="18"/>
      <c r="J182" s="24" t="s">
        <v>32</v>
      </c>
      <c r="K182" s="24" t="s">
        <v>32</v>
      </c>
      <c r="L182" s="24" t="s">
        <v>32</v>
      </c>
    </row>
    <row r="183" spans="1:13" s="3" customFormat="1" ht="12" customHeight="1" thickBot="1">
      <c r="A183" s="1" t="s">
        <v>193</v>
      </c>
      <c r="B183" s="2" t="s">
        <v>175</v>
      </c>
      <c r="C183" s="6">
        <v>17</v>
      </c>
      <c r="D183" s="2" t="s">
        <v>79</v>
      </c>
      <c r="E183" s="6">
        <v>5600</v>
      </c>
      <c r="F183" s="18"/>
      <c r="G183" s="18"/>
      <c r="H183" s="18"/>
      <c r="I183" s="18"/>
      <c r="J183" s="24" t="s">
        <v>32</v>
      </c>
      <c r="K183" s="24" t="s">
        <v>32</v>
      </c>
      <c r="L183" s="24" t="s">
        <v>32</v>
      </c>
      <c r="M183" s="8"/>
    </row>
    <row r="184" spans="1:13" s="3" customFormat="1" ht="12" customHeight="1" thickTop="1" thickBot="1">
      <c r="A184" s="38" t="s">
        <v>194</v>
      </c>
      <c r="B184" s="39" t="s">
        <v>175</v>
      </c>
      <c r="C184" s="40">
        <v>18</v>
      </c>
      <c r="D184" s="155" t="s">
        <v>79</v>
      </c>
      <c r="E184" s="51">
        <v>5000</v>
      </c>
      <c r="F184" s="41">
        <f>F169+F175+SUM(F180:F183)</f>
        <v>0</v>
      </c>
      <c r="G184" s="41">
        <f>G175+SUM(G180:G183)</f>
        <v>0</v>
      </c>
      <c r="H184" s="41">
        <f>+H175+SUM(H180:H183)</f>
        <v>656136</v>
      </c>
      <c r="I184" s="41">
        <f>I169+I175+SUM(I180:I183)</f>
        <v>0</v>
      </c>
      <c r="J184" s="41">
        <f>J175</f>
        <v>0</v>
      </c>
      <c r="K184" s="45" t="s">
        <v>32</v>
      </c>
      <c r="L184" s="45" t="s">
        <v>32</v>
      </c>
      <c r="M184" s="8"/>
    </row>
    <row r="185" spans="1:13" s="3" customFormat="1" ht="12" customHeight="1" thickTop="1">
      <c r="A185" s="46" t="s">
        <v>195</v>
      </c>
      <c r="B185" s="39" t="s">
        <v>175</v>
      </c>
      <c r="C185" s="40">
        <v>19</v>
      </c>
      <c r="D185" s="156" t="s">
        <v>79</v>
      </c>
      <c r="E185" s="44"/>
      <c r="F185" s="47">
        <f>F104+F132+F161+F184</f>
        <v>36903940.399999999</v>
      </c>
      <c r="G185" s="47">
        <f>G104+G132+G161+G184</f>
        <v>833129.05999999994</v>
      </c>
      <c r="H185" s="47">
        <f>H104+H132+H161+H184</f>
        <v>4395435.6900000004</v>
      </c>
      <c r="I185" s="47">
        <f>I104+I132+I161+I184</f>
        <v>0</v>
      </c>
      <c r="J185" s="47">
        <f>J104+J132+J184</f>
        <v>312058.18</v>
      </c>
      <c r="K185" s="45" t="s">
        <v>32</v>
      </c>
      <c r="L185" s="45" t="s">
        <v>32</v>
      </c>
      <c r="M185" s="8"/>
    </row>
    <row r="186" spans="1:13" s="3" customFormat="1" ht="12" customHeight="1">
      <c r="A186" s="55" t="s">
        <v>196</v>
      </c>
      <c r="B186" s="36"/>
      <c r="C186" s="58"/>
      <c r="D186" s="58"/>
      <c r="E186" s="58"/>
      <c r="F186" s="176" t="s">
        <v>197</v>
      </c>
      <c r="G186" s="176" t="s">
        <v>198</v>
      </c>
      <c r="H186" s="176" t="s">
        <v>199</v>
      </c>
      <c r="I186" s="176" t="s">
        <v>200</v>
      </c>
      <c r="J186" s="176" t="s">
        <v>201</v>
      </c>
      <c r="K186" s="176" t="s">
        <v>202</v>
      </c>
      <c r="L186" s="56"/>
      <c r="M186" s="8"/>
    </row>
    <row r="187" spans="1:13" s="3" customFormat="1" ht="12" customHeight="1">
      <c r="A187" s="29" t="s">
        <v>203</v>
      </c>
      <c r="F187" s="103" t="s">
        <v>204</v>
      </c>
      <c r="G187" s="103" t="s">
        <v>205</v>
      </c>
      <c r="H187" s="103" t="s">
        <v>206</v>
      </c>
      <c r="I187" s="103" t="s">
        <v>207</v>
      </c>
      <c r="J187" s="103" t="s">
        <v>208</v>
      </c>
      <c r="K187" s="103" t="s">
        <v>209</v>
      </c>
      <c r="L187" s="103" t="s">
        <v>210</v>
      </c>
      <c r="M187" s="8"/>
    </row>
    <row r="188" spans="1:13" s="3" customFormat="1" ht="12" customHeight="1">
      <c r="A188" s="30" t="s">
        <v>211</v>
      </c>
      <c r="F188" s="24" t="s">
        <v>32</v>
      </c>
      <c r="G188" s="24" t="s">
        <v>32</v>
      </c>
      <c r="H188" s="24" t="s">
        <v>32</v>
      </c>
      <c r="I188" s="24" t="s">
        <v>32</v>
      </c>
      <c r="J188" s="24" t="s">
        <v>32</v>
      </c>
      <c r="K188" s="24" t="s">
        <v>32</v>
      </c>
      <c r="L188" s="24" t="s">
        <v>32</v>
      </c>
      <c r="M188" s="8"/>
    </row>
    <row r="189" spans="1:13" s="3" customFormat="1" ht="12" customHeight="1">
      <c r="A189" s="1" t="s">
        <v>212</v>
      </c>
      <c r="B189" s="2" t="s">
        <v>213</v>
      </c>
      <c r="C189" s="2" t="s">
        <v>214</v>
      </c>
      <c r="D189" s="2" t="s">
        <v>215</v>
      </c>
      <c r="E189" s="6">
        <v>1100</v>
      </c>
      <c r="F189" s="18">
        <v>4349679.22</v>
      </c>
      <c r="G189" s="18">
        <v>2164372.48</v>
      </c>
      <c r="H189" s="18">
        <v>12355.84</v>
      </c>
      <c r="I189" s="18">
        <v>139931.92000000001</v>
      </c>
      <c r="J189" s="18">
        <v>16611.240000000002</v>
      </c>
      <c r="K189" s="18"/>
      <c r="L189" s="19">
        <f>SUM(F189:K189)</f>
        <v>6682950.6999999993</v>
      </c>
      <c r="M189" s="8"/>
    </row>
    <row r="190" spans="1:13" s="3" customFormat="1" ht="12" customHeight="1">
      <c r="A190" s="1" t="s">
        <v>216</v>
      </c>
      <c r="B190" s="2" t="s">
        <v>213</v>
      </c>
      <c r="C190" s="2" t="s">
        <v>217</v>
      </c>
      <c r="D190" s="2" t="s">
        <v>215</v>
      </c>
      <c r="E190" s="6">
        <v>1200</v>
      </c>
      <c r="F190" s="18">
        <v>1295230.71</v>
      </c>
      <c r="G190" s="18">
        <v>641932.51</v>
      </c>
      <c r="H190" s="18">
        <v>96643.839999999997</v>
      </c>
      <c r="I190" s="18">
        <v>1781.82</v>
      </c>
      <c r="J190" s="18"/>
      <c r="K190" s="18">
        <v>90</v>
      </c>
      <c r="L190" s="19">
        <f>SUM(F190:K190)</f>
        <v>2035678.8800000001</v>
      </c>
      <c r="M190" s="8"/>
    </row>
    <row r="191" spans="1:13" s="3" customFormat="1" ht="12" customHeight="1">
      <c r="A191" s="1" t="s">
        <v>218</v>
      </c>
      <c r="B191" s="2" t="s">
        <v>213</v>
      </c>
      <c r="C191" s="2" t="s">
        <v>219</v>
      </c>
      <c r="D191" s="2" t="s">
        <v>215</v>
      </c>
      <c r="E191" s="6">
        <v>1300</v>
      </c>
      <c r="F191" s="18">
        <v>0</v>
      </c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>
      <c r="A192" s="1" t="s">
        <v>220</v>
      </c>
      <c r="B192" s="2" t="s">
        <v>213</v>
      </c>
      <c r="C192" s="2" t="s">
        <v>221</v>
      </c>
      <c r="D192" s="2" t="s">
        <v>215</v>
      </c>
      <c r="E192" s="6">
        <v>1400</v>
      </c>
      <c r="F192" s="18">
        <v>33581.1</v>
      </c>
      <c r="G192" s="18">
        <v>16566.89</v>
      </c>
      <c r="H192" s="18">
        <v>2240</v>
      </c>
      <c r="I192" s="18"/>
      <c r="J192" s="18"/>
      <c r="K192" s="18"/>
      <c r="L192" s="19">
        <f>SUM(F192:K192)</f>
        <v>52387.99</v>
      </c>
      <c r="M192" s="8"/>
    </row>
    <row r="193" spans="1:13" s="3" customFormat="1" ht="12" customHeight="1">
      <c r="A193" s="30" t="s">
        <v>222</v>
      </c>
      <c r="E193" s="6"/>
      <c r="F193" s="24" t="s">
        <v>32</v>
      </c>
      <c r="G193" s="24" t="s">
        <v>32</v>
      </c>
      <c r="H193" s="24" t="s">
        <v>32</v>
      </c>
      <c r="I193" s="24" t="s">
        <v>32</v>
      </c>
      <c r="J193" s="24" t="s">
        <v>32</v>
      </c>
      <c r="K193" s="24" t="s">
        <v>32</v>
      </c>
      <c r="L193" s="24" t="s">
        <v>32</v>
      </c>
      <c r="M193" s="8"/>
    </row>
    <row r="194" spans="1:13" s="3" customFormat="1" ht="12" customHeight="1">
      <c r="A194" s="1" t="s">
        <v>223</v>
      </c>
      <c r="B194" s="2" t="s">
        <v>213</v>
      </c>
      <c r="C194" s="2" t="s">
        <v>224</v>
      </c>
      <c r="D194" s="2" t="s">
        <v>215</v>
      </c>
      <c r="E194" s="6">
        <v>2100</v>
      </c>
      <c r="F194" s="18">
        <v>1352164.52</v>
      </c>
      <c r="G194" s="18">
        <v>663667.80000000005</v>
      </c>
      <c r="H194" s="18">
        <v>33602.03</v>
      </c>
      <c r="I194" s="18">
        <v>19707.54</v>
      </c>
      <c r="J194" s="18">
        <v>552.15</v>
      </c>
      <c r="K194" s="18">
        <v>3156</v>
      </c>
      <c r="L194" s="19">
        <f t="shared" ref="L194:L200" si="0">SUM(F194:K194)</f>
        <v>2072850.04</v>
      </c>
      <c r="M194" s="8"/>
    </row>
    <row r="195" spans="1:13" s="3" customFormat="1" ht="12" customHeight="1">
      <c r="A195" s="1" t="s">
        <v>225</v>
      </c>
      <c r="B195" s="2" t="s">
        <v>213</v>
      </c>
      <c r="C195" s="2" t="s">
        <v>226</v>
      </c>
      <c r="D195" s="2" t="s">
        <v>215</v>
      </c>
      <c r="E195" s="6">
        <v>2200</v>
      </c>
      <c r="F195" s="18">
        <v>157300.28</v>
      </c>
      <c r="G195" s="18">
        <v>80149.179999999993</v>
      </c>
      <c r="H195" s="18">
        <v>8412.89</v>
      </c>
      <c r="I195" s="18">
        <v>36886.54</v>
      </c>
      <c r="J195" s="18">
        <v>44799.17</v>
      </c>
      <c r="K195" s="18"/>
      <c r="L195" s="19">
        <f t="shared" si="0"/>
        <v>327548.05999999994</v>
      </c>
      <c r="M195" s="8"/>
    </row>
    <row r="196" spans="1:13" s="3" customFormat="1" ht="12" customHeight="1">
      <c r="A196" s="1" t="s">
        <v>227</v>
      </c>
      <c r="B196" s="2" t="s">
        <v>213</v>
      </c>
      <c r="C196" s="2" t="s">
        <v>228</v>
      </c>
      <c r="D196" s="2" t="s">
        <v>215</v>
      </c>
      <c r="E196" s="6">
        <v>2300</v>
      </c>
      <c r="F196" s="18">
        <v>242768.12</v>
      </c>
      <c r="G196" s="18">
        <v>123642.33</v>
      </c>
      <c r="H196" s="18">
        <v>32942.21</v>
      </c>
      <c r="I196" s="18">
        <v>3254.13</v>
      </c>
      <c r="J196" s="18"/>
      <c r="K196" s="18">
        <v>13644.27</v>
      </c>
      <c r="L196" s="19">
        <f t="shared" si="0"/>
        <v>416251.06000000006</v>
      </c>
      <c r="M196" s="8"/>
    </row>
    <row r="197" spans="1:13" s="3" customFormat="1" ht="12" customHeight="1">
      <c r="A197" s="1" t="s">
        <v>229</v>
      </c>
      <c r="B197" s="2" t="s">
        <v>213</v>
      </c>
      <c r="C197" s="2" t="s">
        <v>230</v>
      </c>
      <c r="D197" s="2" t="s">
        <v>215</v>
      </c>
      <c r="E197" s="6">
        <v>2400</v>
      </c>
      <c r="F197" s="18">
        <v>384289.97</v>
      </c>
      <c r="G197" s="18">
        <v>195246.31</v>
      </c>
      <c r="H197" s="18">
        <v>3263.81</v>
      </c>
      <c r="I197" s="18">
        <v>1794.95</v>
      </c>
      <c r="J197" s="18"/>
      <c r="K197" s="18"/>
      <c r="L197" s="19">
        <f t="shared" si="0"/>
        <v>584595.04</v>
      </c>
      <c r="M197" s="8"/>
    </row>
    <row r="198" spans="1:13" s="3" customFormat="1" ht="12" customHeight="1">
      <c r="A198" s="1" t="s">
        <v>231</v>
      </c>
      <c r="B198" s="2" t="s">
        <v>213</v>
      </c>
      <c r="C198" s="2" t="s">
        <v>232</v>
      </c>
      <c r="D198" s="2" t="s">
        <v>215</v>
      </c>
      <c r="E198" s="6">
        <v>2500</v>
      </c>
      <c r="F198" s="18">
        <v>94798.94</v>
      </c>
      <c r="G198" s="18">
        <v>51773.33</v>
      </c>
      <c r="H198" s="18">
        <v>55678.13</v>
      </c>
      <c r="I198" s="18">
        <v>2102.73</v>
      </c>
      <c r="J198" s="18"/>
      <c r="K198" s="18">
        <v>369.95</v>
      </c>
      <c r="L198" s="19">
        <f t="shared" si="0"/>
        <v>204723.08000000005</v>
      </c>
      <c r="M198" s="8"/>
    </row>
    <row r="199" spans="1:13" s="3" customFormat="1" ht="12" customHeight="1">
      <c r="A199" s="1" t="s">
        <v>233</v>
      </c>
      <c r="B199" s="2" t="s">
        <v>213</v>
      </c>
      <c r="C199" s="2" t="s">
        <v>234</v>
      </c>
      <c r="D199" s="2" t="s">
        <v>215</v>
      </c>
      <c r="E199" s="6">
        <v>2600</v>
      </c>
      <c r="F199" s="18">
        <v>428016.93</v>
      </c>
      <c r="G199" s="18">
        <v>220423.42</v>
      </c>
      <c r="H199" s="18">
        <v>245741.74</v>
      </c>
      <c r="I199" s="18">
        <v>272258.03999999998</v>
      </c>
      <c r="J199" s="18">
        <v>53820.12</v>
      </c>
      <c r="K199" s="18"/>
      <c r="L199" s="19">
        <f t="shared" si="0"/>
        <v>1220260.25</v>
      </c>
      <c r="M199" s="8"/>
    </row>
    <row r="200" spans="1:13" s="3" customFormat="1" ht="12" customHeight="1">
      <c r="A200" s="1" t="s">
        <v>235</v>
      </c>
      <c r="B200" s="2" t="s">
        <v>213</v>
      </c>
      <c r="C200" s="2" t="s">
        <v>236</v>
      </c>
      <c r="D200" s="2" t="s">
        <v>215</v>
      </c>
      <c r="E200" s="6">
        <v>2700</v>
      </c>
      <c r="F200" s="18"/>
      <c r="G200" s="18"/>
      <c r="H200" s="18">
        <v>294358.61</v>
      </c>
      <c r="I200" s="18"/>
      <c r="J200" s="18"/>
      <c r="K200" s="18"/>
      <c r="L200" s="19">
        <f t="shared" si="0"/>
        <v>294358.61</v>
      </c>
      <c r="M200" s="8"/>
    </row>
    <row r="201" spans="1:13" s="3" customFormat="1" ht="12" customHeight="1">
      <c r="A201" s="1" t="s">
        <v>237</v>
      </c>
      <c r="B201" s="2" t="s">
        <v>213</v>
      </c>
      <c r="C201" s="2" t="s">
        <v>238</v>
      </c>
      <c r="D201" s="2" t="s">
        <v>215</v>
      </c>
      <c r="E201" s="6">
        <v>2800</v>
      </c>
      <c r="F201" s="18">
        <v>164172.92000000001</v>
      </c>
      <c r="G201" s="18">
        <v>84833.77</v>
      </c>
      <c r="H201" s="18">
        <v>14468.56</v>
      </c>
      <c r="I201" s="18">
        <v>13310.59</v>
      </c>
      <c r="J201" s="18">
        <v>8319.8700000000008</v>
      </c>
      <c r="K201" s="18">
        <v>6749.01</v>
      </c>
      <c r="L201" s="19">
        <f>SUM(F201:K201)</f>
        <v>291854.72000000003</v>
      </c>
      <c r="M201" s="8"/>
    </row>
    <row r="202" spans="1:13" s="3" customFormat="1" ht="12" customHeight="1" thickBot="1">
      <c r="A202" s="1" t="s">
        <v>239</v>
      </c>
      <c r="B202" s="2" t="s">
        <v>213</v>
      </c>
      <c r="C202" s="2" t="s">
        <v>240</v>
      </c>
      <c r="D202" s="2" t="s">
        <v>215</v>
      </c>
      <c r="E202" s="6">
        <v>2900</v>
      </c>
      <c r="F202" s="24" t="s">
        <v>32</v>
      </c>
      <c r="G202" s="24" t="s">
        <v>32</v>
      </c>
      <c r="H202" s="24" t="s">
        <v>32</v>
      </c>
      <c r="I202" s="24" t="s">
        <v>32</v>
      </c>
      <c r="J202" s="24" t="s">
        <v>32</v>
      </c>
      <c r="K202" s="24" t="s">
        <v>32</v>
      </c>
      <c r="L202" s="24" t="s">
        <v>32</v>
      </c>
      <c r="M202" s="8"/>
    </row>
    <row r="203" spans="1:13" s="3" customFormat="1" ht="12" customHeight="1" thickTop="1">
      <c r="A203" s="38" t="s">
        <v>241</v>
      </c>
      <c r="B203" s="39" t="s">
        <v>213</v>
      </c>
      <c r="C203" s="39" t="s">
        <v>242</v>
      </c>
      <c r="D203" s="39" t="s">
        <v>215</v>
      </c>
      <c r="E203" s="39"/>
      <c r="F203" s="41">
        <f t="shared" ref="F203:L203" si="1">SUM(F189:F202)</f>
        <v>8502002.709999999</v>
      </c>
      <c r="G203" s="41">
        <f t="shared" si="1"/>
        <v>4242608.0200000005</v>
      </c>
      <c r="H203" s="41">
        <f t="shared" si="1"/>
        <v>799707.66</v>
      </c>
      <c r="I203" s="41">
        <f t="shared" si="1"/>
        <v>491028.26000000007</v>
      </c>
      <c r="J203" s="41">
        <f t="shared" si="1"/>
        <v>124102.54999999999</v>
      </c>
      <c r="K203" s="41">
        <f t="shared" si="1"/>
        <v>24009.230000000003</v>
      </c>
      <c r="L203" s="41">
        <f t="shared" si="1"/>
        <v>14183458.43</v>
      </c>
      <c r="M203" s="8"/>
    </row>
    <row r="204" spans="1:13" s="3" customFormat="1" ht="12" customHeight="1">
      <c r="A204" s="55" t="s">
        <v>196</v>
      </c>
      <c r="B204" s="36"/>
      <c r="C204" s="36"/>
      <c r="D204" s="36"/>
      <c r="E204" s="36"/>
      <c r="F204" s="176" t="s">
        <v>197</v>
      </c>
      <c r="G204" s="176" t="s">
        <v>198</v>
      </c>
      <c r="H204" s="176" t="s">
        <v>199</v>
      </c>
      <c r="I204" s="176" t="s">
        <v>200</v>
      </c>
      <c r="J204" s="176" t="s">
        <v>201</v>
      </c>
      <c r="K204" s="176" t="s">
        <v>202</v>
      </c>
      <c r="L204" s="67"/>
      <c r="M204" s="8"/>
    </row>
    <row r="205" spans="1:13" s="3" customFormat="1" ht="12" customHeight="1">
      <c r="A205" s="29" t="s">
        <v>243</v>
      </c>
      <c r="B205" s="7"/>
      <c r="C205" s="7"/>
      <c r="D205" s="7"/>
      <c r="E205" s="7"/>
      <c r="F205" s="103" t="s">
        <v>204</v>
      </c>
      <c r="G205" s="103" t="s">
        <v>205</v>
      </c>
      <c r="H205" s="103" t="s">
        <v>206</v>
      </c>
      <c r="I205" s="103" t="s">
        <v>207</v>
      </c>
      <c r="J205" s="103" t="s">
        <v>208</v>
      </c>
      <c r="K205" s="103" t="s">
        <v>209</v>
      </c>
      <c r="L205" s="103" t="s">
        <v>210</v>
      </c>
      <c r="M205" s="8"/>
    </row>
    <row r="206" spans="1:13" s="3" customFormat="1" ht="12" customHeight="1">
      <c r="A206" s="30" t="s">
        <v>211</v>
      </c>
      <c r="F206" s="24" t="s">
        <v>32</v>
      </c>
      <c r="G206" s="24" t="s">
        <v>32</v>
      </c>
      <c r="H206" s="24" t="s">
        <v>32</v>
      </c>
      <c r="I206" s="24" t="s">
        <v>32</v>
      </c>
      <c r="J206" s="24" t="s">
        <v>32</v>
      </c>
      <c r="K206" s="24" t="s">
        <v>32</v>
      </c>
      <c r="L206" s="24" t="s">
        <v>32</v>
      </c>
      <c r="M206" s="8"/>
    </row>
    <row r="207" spans="1:13" s="3" customFormat="1" ht="12" customHeight="1">
      <c r="A207" s="1" t="s">
        <v>212</v>
      </c>
      <c r="B207" s="2" t="s">
        <v>244</v>
      </c>
      <c r="C207" s="2" t="s">
        <v>214</v>
      </c>
      <c r="D207" s="2" t="s">
        <v>215</v>
      </c>
      <c r="E207" s="6">
        <v>1100</v>
      </c>
      <c r="F207" s="18">
        <v>2170645.5</v>
      </c>
      <c r="G207" s="18">
        <v>1096264.98</v>
      </c>
      <c r="H207" s="18"/>
      <c r="I207" s="18">
        <v>79623.509999999995</v>
      </c>
      <c r="J207" s="18">
        <v>3768.36</v>
      </c>
      <c r="K207" s="18"/>
      <c r="L207" s="19">
        <f>SUM(F207:K207)</f>
        <v>3350302.3499999996</v>
      </c>
      <c r="M207" s="8"/>
    </row>
    <row r="208" spans="1:13" s="3" customFormat="1" ht="12" customHeight="1">
      <c r="A208" s="1" t="s">
        <v>216</v>
      </c>
      <c r="B208" s="2" t="s">
        <v>244</v>
      </c>
      <c r="C208" s="2" t="s">
        <v>217</v>
      </c>
      <c r="D208" s="2" t="s">
        <v>215</v>
      </c>
      <c r="E208" s="6">
        <v>1200</v>
      </c>
      <c r="F208" s="18">
        <v>520007.36</v>
      </c>
      <c r="G208" s="18">
        <v>253671.59</v>
      </c>
      <c r="H208" s="18">
        <v>79346.91</v>
      </c>
      <c r="I208" s="18">
        <v>1294.08</v>
      </c>
      <c r="J208" s="18"/>
      <c r="K208" s="18"/>
      <c r="L208" s="19">
        <f>SUM(F208:K208)</f>
        <v>854319.94</v>
      </c>
      <c r="M208" s="8"/>
    </row>
    <row r="209" spans="1:13" s="3" customFormat="1" ht="12" customHeight="1">
      <c r="A209" s="1" t="s">
        <v>218</v>
      </c>
      <c r="B209" s="2" t="s">
        <v>244</v>
      </c>
      <c r="C209" s="2" t="s">
        <v>219</v>
      </c>
      <c r="D209" s="2" t="s">
        <v>215</v>
      </c>
      <c r="E209" s="6">
        <v>1300</v>
      </c>
      <c r="F209" s="18">
        <v>238052.4</v>
      </c>
      <c r="G209" s="18">
        <v>120028.15</v>
      </c>
      <c r="H209" s="18"/>
      <c r="I209" s="18">
        <v>2762.68</v>
      </c>
      <c r="J209" s="18">
        <v>2329.9499999999998</v>
      </c>
      <c r="K209" s="18"/>
      <c r="L209" s="19">
        <f>SUM(F209:K209)</f>
        <v>363173.18</v>
      </c>
      <c r="M209" s="8"/>
    </row>
    <row r="210" spans="1:13" s="3" customFormat="1" ht="12" customHeight="1">
      <c r="A210" s="1" t="s">
        <v>220</v>
      </c>
      <c r="B210" s="2" t="s">
        <v>244</v>
      </c>
      <c r="C210" s="2" t="s">
        <v>221</v>
      </c>
      <c r="D210" s="2" t="s">
        <v>215</v>
      </c>
      <c r="E210" s="6">
        <v>1400</v>
      </c>
      <c r="F210" s="18">
        <v>62788</v>
      </c>
      <c r="G210" s="18">
        <v>31048.799999999999</v>
      </c>
      <c r="H210" s="18">
        <v>10244.879999999999</v>
      </c>
      <c r="I210" s="18">
        <v>10399.200000000001</v>
      </c>
      <c r="J210" s="18"/>
      <c r="K210" s="18"/>
      <c r="L210" s="19">
        <f>SUM(F210:K210)</f>
        <v>114480.88</v>
      </c>
      <c r="M210" s="8"/>
    </row>
    <row r="211" spans="1:13" s="3" customFormat="1" ht="12" customHeight="1">
      <c r="A211" s="30" t="s">
        <v>222</v>
      </c>
      <c r="B211" s="1" t="s">
        <v>46</v>
      </c>
      <c r="E211" s="6"/>
      <c r="F211" s="24" t="s">
        <v>32</v>
      </c>
      <c r="G211" s="24" t="s">
        <v>32</v>
      </c>
      <c r="H211" s="24" t="s">
        <v>32</v>
      </c>
      <c r="I211" s="24" t="s">
        <v>32</v>
      </c>
      <c r="J211" s="24" t="s">
        <v>32</v>
      </c>
      <c r="K211" s="24" t="s">
        <v>32</v>
      </c>
      <c r="L211" s="24" t="s">
        <v>32</v>
      </c>
      <c r="M211" s="8"/>
    </row>
    <row r="212" spans="1:13" s="3" customFormat="1" ht="12" customHeight="1">
      <c r="A212" s="1" t="s">
        <v>223</v>
      </c>
      <c r="B212" s="2" t="s">
        <v>244</v>
      </c>
      <c r="C212" s="2" t="s">
        <v>224</v>
      </c>
      <c r="D212" s="2" t="s">
        <v>215</v>
      </c>
      <c r="E212" s="6">
        <v>2100</v>
      </c>
      <c r="F212" s="18">
        <v>372992.83</v>
      </c>
      <c r="G212" s="18">
        <v>189431.49</v>
      </c>
      <c r="H212" s="18">
        <v>32875.519999999997</v>
      </c>
      <c r="I212" s="18">
        <v>4509.24</v>
      </c>
      <c r="J212" s="18">
        <v>256.64999999999998</v>
      </c>
      <c r="K212" s="18"/>
      <c r="L212" s="19">
        <f t="shared" ref="L212:L218" si="2">SUM(F212:K212)</f>
        <v>600065.7300000001</v>
      </c>
      <c r="M212" s="8"/>
    </row>
    <row r="213" spans="1:13" s="3" customFormat="1" ht="12" customHeight="1">
      <c r="A213" s="1" t="s">
        <v>225</v>
      </c>
      <c r="B213" s="2" t="s">
        <v>244</v>
      </c>
      <c r="C213" s="2" t="s">
        <v>226</v>
      </c>
      <c r="D213" s="2" t="s">
        <v>215</v>
      </c>
      <c r="E213" s="6">
        <v>2200</v>
      </c>
      <c r="F213" s="18">
        <v>63877.22</v>
      </c>
      <c r="G213" s="18">
        <v>30584.61</v>
      </c>
      <c r="H213" s="18">
        <v>3356.68</v>
      </c>
      <c r="I213" s="18">
        <v>18032.22</v>
      </c>
      <c r="J213" s="18">
        <v>24000.38</v>
      </c>
      <c r="K213" s="18"/>
      <c r="L213" s="19">
        <f t="shared" si="2"/>
        <v>139851.10999999999</v>
      </c>
      <c r="M213" s="8"/>
    </row>
    <row r="214" spans="1:13" s="3" customFormat="1" ht="12" customHeight="1">
      <c r="A214" s="1" t="s">
        <v>227</v>
      </c>
      <c r="B214" s="2" t="s">
        <v>244</v>
      </c>
      <c r="C214" s="2" t="s">
        <v>228</v>
      </c>
      <c r="D214" s="2" t="s">
        <v>215</v>
      </c>
      <c r="E214" s="6">
        <v>2300</v>
      </c>
      <c r="F214" s="18">
        <v>111162.29</v>
      </c>
      <c r="G214" s="18">
        <v>56654.55</v>
      </c>
      <c r="H214" s="18">
        <v>15312.34</v>
      </c>
      <c r="I214" s="18">
        <v>1512.6</v>
      </c>
      <c r="J214" s="18"/>
      <c r="K214" s="18">
        <v>6342.18</v>
      </c>
      <c r="L214" s="19">
        <f t="shared" si="2"/>
        <v>190983.96</v>
      </c>
      <c r="M214" s="8"/>
    </row>
    <row r="215" spans="1:13" s="3" customFormat="1" ht="12" customHeight="1">
      <c r="A215" s="1" t="s">
        <v>229</v>
      </c>
      <c r="B215" s="2" t="s">
        <v>244</v>
      </c>
      <c r="C215" s="2" t="s">
        <v>230</v>
      </c>
      <c r="D215" s="2" t="s">
        <v>215</v>
      </c>
      <c r="E215" s="6">
        <v>2400</v>
      </c>
      <c r="F215" s="18">
        <v>273526.26</v>
      </c>
      <c r="G215" s="18">
        <v>139652.64000000001</v>
      </c>
      <c r="H215" s="18">
        <v>2161.73</v>
      </c>
      <c r="I215" s="18">
        <v>2272.94</v>
      </c>
      <c r="J215" s="18"/>
      <c r="K215" s="18">
        <v>474</v>
      </c>
      <c r="L215" s="19">
        <f t="shared" si="2"/>
        <v>418087.57</v>
      </c>
      <c r="M215" s="8"/>
    </row>
    <row r="216" spans="1:13" s="3" customFormat="1" ht="12" customHeight="1">
      <c r="A216" s="1" t="s">
        <v>231</v>
      </c>
      <c r="B216" s="2" t="s">
        <v>244</v>
      </c>
      <c r="C216" s="2" t="s">
        <v>232</v>
      </c>
      <c r="D216" s="2" t="s">
        <v>215</v>
      </c>
      <c r="E216" s="6">
        <v>2500</v>
      </c>
      <c r="F216" s="18">
        <v>44064.83</v>
      </c>
      <c r="G216" s="18">
        <v>23135.84</v>
      </c>
      <c r="H216" s="18">
        <v>25520.87</v>
      </c>
      <c r="I216" s="18">
        <v>877.4</v>
      </c>
      <c r="J216" s="18"/>
      <c r="K216" s="18">
        <v>171.96</v>
      </c>
      <c r="L216" s="19">
        <f t="shared" si="2"/>
        <v>93770.9</v>
      </c>
      <c r="M216" s="8"/>
    </row>
    <row r="217" spans="1:13" s="3" customFormat="1" ht="12" customHeight="1">
      <c r="A217" s="1" t="s">
        <v>233</v>
      </c>
      <c r="B217" s="2" t="s">
        <v>244</v>
      </c>
      <c r="C217" s="2" t="s">
        <v>234</v>
      </c>
      <c r="D217" s="2" t="s">
        <v>215</v>
      </c>
      <c r="E217" s="6">
        <v>2600</v>
      </c>
      <c r="F217" s="18">
        <v>198017.96</v>
      </c>
      <c r="G217" s="18">
        <v>102249.09</v>
      </c>
      <c r="H217" s="18">
        <v>68621.77</v>
      </c>
      <c r="I217" s="18">
        <v>161356</v>
      </c>
      <c r="J217" s="18">
        <v>10402.370000000001</v>
      </c>
      <c r="K217" s="18"/>
      <c r="L217" s="19">
        <f t="shared" si="2"/>
        <v>540647.19000000006</v>
      </c>
      <c r="M217" s="8"/>
    </row>
    <row r="218" spans="1:13" s="3" customFormat="1" ht="12" customHeight="1">
      <c r="A218" s="1" t="s">
        <v>235</v>
      </c>
      <c r="B218" s="2" t="s">
        <v>244</v>
      </c>
      <c r="C218" s="2" t="s">
        <v>236</v>
      </c>
      <c r="D218" s="2" t="s">
        <v>215</v>
      </c>
      <c r="E218" s="6">
        <v>2700</v>
      </c>
      <c r="F218" s="18"/>
      <c r="G218" s="18"/>
      <c r="H218" s="18">
        <v>155145.57999999999</v>
      </c>
      <c r="I218" s="18"/>
      <c r="J218" s="18"/>
      <c r="K218" s="18"/>
      <c r="L218" s="19">
        <f t="shared" si="2"/>
        <v>155145.57999999999</v>
      </c>
      <c r="M218" s="8"/>
    </row>
    <row r="219" spans="1:13" s="3" customFormat="1" ht="12" customHeight="1">
      <c r="A219" s="1" t="s">
        <v>237</v>
      </c>
      <c r="B219" s="2" t="s">
        <v>244</v>
      </c>
      <c r="C219" s="2" t="s">
        <v>238</v>
      </c>
      <c r="D219" s="2" t="s">
        <v>215</v>
      </c>
      <c r="E219" s="6">
        <v>2800</v>
      </c>
      <c r="F219" s="18">
        <v>76311.53</v>
      </c>
      <c r="G219" s="18">
        <v>39432.78</v>
      </c>
      <c r="H219" s="18">
        <v>6725.34</v>
      </c>
      <c r="I219" s="18">
        <v>6187.08</v>
      </c>
      <c r="J219" s="18">
        <v>3867.28</v>
      </c>
      <c r="K219" s="18">
        <v>3137.1</v>
      </c>
      <c r="L219" s="19">
        <f>SUM(F219:K219)</f>
        <v>135661.11000000002</v>
      </c>
      <c r="M219" s="8"/>
    </row>
    <row r="220" spans="1:13" s="3" customFormat="1" ht="12" customHeight="1" thickBot="1">
      <c r="A220" s="1" t="s">
        <v>239</v>
      </c>
      <c r="B220" s="2" t="s">
        <v>244</v>
      </c>
      <c r="C220" s="2" t="s">
        <v>240</v>
      </c>
      <c r="D220" s="2" t="s">
        <v>215</v>
      </c>
      <c r="E220" s="6">
        <v>2900</v>
      </c>
      <c r="F220" s="24" t="s">
        <v>32</v>
      </c>
      <c r="G220" s="24" t="s">
        <v>32</v>
      </c>
      <c r="H220" s="24" t="s">
        <v>32</v>
      </c>
      <c r="I220" s="24" t="s">
        <v>32</v>
      </c>
      <c r="J220" s="24" t="s">
        <v>32</v>
      </c>
      <c r="K220" s="24" t="s">
        <v>32</v>
      </c>
      <c r="L220" s="24" t="s">
        <v>32</v>
      </c>
      <c r="M220" s="8"/>
    </row>
    <row r="221" spans="1:13" s="3" customFormat="1" ht="12" customHeight="1" thickTop="1">
      <c r="A221" s="38" t="s">
        <v>245</v>
      </c>
      <c r="B221" s="39" t="s">
        <v>244</v>
      </c>
      <c r="C221" s="39" t="s">
        <v>242</v>
      </c>
      <c r="D221" s="39" t="s">
        <v>215</v>
      </c>
      <c r="E221" s="44"/>
      <c r="F221" s="41">
        <f t="shared" ref="F221:L221" si="3">SUM(F207:F220)</f>
        <v>4131446.18</v>
      </c>
      <c r="G221" s="41">
        <f>SUM(G207:G220)</f>
        <v>2082154.5200000003</v>
      </c>
      <c r="H221" s="41">
        <f>SUM(H207:H220)</f>
        <v>399311.62000000005</v>
      </c>
      <c r="I221" s="41">
        <f>SUM(I207:I220)</f>
        <v>288826.95</v>
      </c>
      <c r="J221" s="41">
        <f>SUM(J207:J220)</f>
        <v>44624.99</v>
      </c>
      <c r="K221" s="41">
        <f t="shared" si="3"/>
        <v>10125.24</v>
      </c>
      <c r="L221" s="41">
        <f t="shared" si="3"/>
        <v>6956489.5000000009</v>
      </c>
      <c r="M221" s="8"/>
    </row>
    <row r="222" spans="1:13" s="3" customFormat="1" ht="12" customHeight="1">
      <c r="A222" s="55" t="s">
        <v>196</v>
      </c>
      <c r="B222" s="36"/>
      <c r="C222" s="75"/>
      <c r="D222" s="75"/>
      <c r="E222" s="75"/>
      <c r="F222" s="176" t="s">
        <v>197</v>
      </c>
      <c r="G222" s="176" t="s">
        <v>198</v>
      </c>
      <c r="H222" s="176" t="s">
        <v>199</v>
      </c>
      <c r="I222" s="176" t="s">
        <v>200</v>
      </c>
      <c r="J222" s="176" t="s">
        <v>201</v>
      </c>
      <c r="K222" s="176" t="s">
        <v>202</v>
      </c>
      <c r="L222" s="67"/>
      <c r="M222" s="8"/>
    </row>
    <row r="223" spans="1:13" s="3" customFormat="1" ht="12" customHeight="1">
      <c r="A223" s="29" t="s">
        <v>246</v>
      </c>
      <c r="F223" s="103" t="s">
        <v>204</v>
      </c>
      <c r="G223" s="103" t="s">
        <v>205</v>
      </c>
      <c r="H223" s="103" t="s">
        <v>206</v>
      </c>
      <c r="I223" s="103" t="s">
        <v>207</v>
      </c>
      <c r="J223" s="103" t="s">
        <v>208</v>
      </c>
      <c r="K223" s="103" t="s">
        <v>209</v>
      </c>
      <c r="L223" s="103" t="s">
        <v>210</v>
      </c>
      <c r="M223" s="8"/>
    </row>
    <row r="224" spans="1:13" s="3" customFormat="1" ht="12" customHeight="1">
      <c r="A224" s="30" t="s">
        <v>247</v>
      </c>
      <c r="F224" s="24" t="s">
        <v>32</v>
      </c>
      <c r="G224" s="24" t="s">
        <v>32</v>
      </c>
      <c r="H224" s="24" t="s">
        <v>32</v>
      </c>
      <c r="I224" s="24" t="s">
        <v>32</v>
      </c>
      <c r="J224" s="24" t="s">
        <v>32</v>
      </c>
      <c r="K224" s="24" t="s">
        <v>32</v>
      </c>
      <c r="L224" s="24" t="s">
        <v>32</v>
      </c>
      <c r="M224" s="8"/>
    </row>
    <row r="225" spans="1:13" s="3" customFormat="1" ht="12" customHeight="1">
      <c r="A225" s="1" t="s">
        <v>212</v>
      </c>
      <c r="B225" s="2" t="s">
        <v>248</v>
      </c>
      <c r="C225" s="2" t="s">
        <v>214</v>
      </c>
      <c r="D225" s="2" t="s">
        <v>215</v>
      </c>
      <c r="E225" s="6">
        <v>1100</v>
      </c>
      <c r="F225" s="18">
        <v>4192907.8</v>
      </c>
      <c r="G225" s="18">
        <v>2106867.5499999998</v>
      </c>
      <c r="H225" s="18">
        <v>49365.32</v>
      </c>
      <c r="I225" s="18">
        <v>140263.38</v>
      </c>
      <c r="J225" s="18">
        <v>16925.169999999998</v>
      </c>
      <c r="K225" s="18">
        <v>2835</v>
      </c>
      <c r="L225" s="19">
        <f>SUM(F225:K225)</f>
        <v>6509164.2199999997</v>
      </c>
      <c r="M225" s="8"/>
    </row>
    <row r="226" spans="1:13" s="3" customFormat="1" ht="12" customHeight="1">
      <c r="A226" s="1" t="s">
        <v>216</v>
      </c>
      <c r="B226" s="2" t="s">
        <v>248</v>
      </c>
      <c r="C226" s="2" t="s">
        <v>217</v>
      </c>
      <c r="D226" s="2" t="s">
        <v>215</v>
      </c>
      <c r="E226" s="6">
        <v>1200</v>
      </c>
      <c r="F226" s="18">
        <v>600145.67000000004</v>
      </c>
      <c r="G226" s="18">
        <v>301290.14</v>
      </c>
      <c r="H226" s="18">
        <v>759917.25</v>
      </c>
      <c r="I226" s="18">
        <v>2322.36</v>
      </c>
      <c r="J226" s="18"/>
      <c r="K226" s="18"/>
      <c r="L226" s="19">
        <f>SUM(F226:K226)</f>
        <v>1663675.4200000002</v>
      </c>
      <c r="M226" s="8"/>
    </row>
    <row r="227" spans="1:13" s="3" customFormat="1" ht="12" customHeight="1">
      <c r="A227" s="1" t="s">
        <v>218</v>
      </c>
      <c r="B227" s="2" t="s">
        <v>248</v>
      </c>
      <c r="C227" s="2" t="s">
        <v>219</v>
      </c>
      <c r="D227" s="2" t="s">
        <v>215</v>
      </c>
      <c r="E227" s="6">
        <v>1300</v>
      </c>
      <c r="F227" s="18">
        <v>482279.04</v>
      </c>
      <c r="G227" s="18">
        <v>239484.05</v>
      </c>
      <c r="H227" s="18">
        <v>16254.97</v>
      </c>
      <c r="I227" s="18">
        <v>30809.040000000001</v>
      </c>
      <c r="J227" s="18">
        <v>8816.3700000000008</v>
      </c>
      <c r="K227" s="18"/>
      <c r="L227" s="19">
        <f>SUM(F227:K227)</f>
        <v>777643.47</v>
      </c>
      <c r="M227" s="8"/>
    </row>
    <row r="228" spans="1:13" s="3" customFormat="1" ht="12" customHeight="1">
      <c r="A228" s="1" t="s">
        <v>220</v>
      </c>
      <c r="B228" s="2" t="s">
        <v>248</v>
      </c>
      <c r="C228" s="2" t="s">
        <v>221</v>
      </c>
      <c r="D228" s="2" t="s">
        <v>215</v>
      </c>
      <c r="E228" s="6">
        <v>1400</v>
      </c>
      <c r="F228" s="18">
        <v>252878.16</v>
      </c>
      <c r="G228" s="18">
        <v>118084.8</v>
      </c>
      <c r="H228" s="18">
        <v>81852.600000000006</v>
      </c>
      <c r="I228" s="18">
        <v>61789.85</v>
      </c>
      <c r="J228" s="18"/>
      <c r="K228" s="18"/>
      <c r="L228" s="19">
        <f>SUM(F228:K228)</f>
        <v>514605.41000000003</v>
      </c>
      <c r="M228" s="8"/>
    </row>
    <row r="229" spans="1:13" s="3" customFormat="1" ht="12" customHeight="1">
      <c r="A229" s="30" t="s">
        <v>222</v>
      </c>
      <c r="C229" s="23"/>
      <c r="E229" s="6"/>
      <c r="F229" s="24" t="s">
        <v>32</v>
      </c>
      <c r="G229" s="24" t="s">
        <v>32</v>
      </c>
      <c r="H229" s="24" t="s">
        <v>32</v>
      </c>
      <c r="I229" s="24" t="s">
        <v>32</v>
      </c>
      <c r="J229" s="24" t="s">
        <v>32</v>
      </c>
      <c r="K229" s="24" t="s">
        <v>32</v>
      </c>
      <c r="L229" s="24" t="s">
        <v>32</v>
      </c>
      <c r="M229" s="8"/>
    </row>
    <row r="230" spans="1:13" s="3" customFormat="1" ht="12" customHeight="1">
      <c r="A230" s="1" t="s">
        <v>223</v>
      </c>
      <c r="B230" s="2" t="s">
        <v>248</v>
      </c>
      <c r="C230" s="2" t="s">
        <v>224</v>
      </c>
      <c r="D230" s="2" t="s">
        <v>215</v>
      </c>
      <c r="E230" s="6">
        <v>2100</v>
      </c>
      <c r="F230" s="18">
        <v>770823.49</v>
      </c>
      <c r="G230" s="18">
        <v>389350.81</v>
      </c>
      <c r="H230" s="18">
        <v>38430.300000000003</v>
      </c>
      <c r="I230" s="18">
        <v>7234.41</v>
      </c>
      <c r="J230" s="18">
        <v>578.5</v>
      </c>
      <c r="K230" s="18">
        <v>12911.01</v>
      </c>
      <c r="L230" s="19">
        <f t="shared" ref="L230:L236" si="4">SUM(F230:K230)</f>
        <v>1219328.52</v>
      </c>
      <c r="M230" s="8"/>
    </row>
    <row r="231" spans="1:13" s="3" customFormat="1" ht="12" customHeight="1">
      <c r="A231" s="1" t="s">
        <v>225</v>
      </c>
      <c r="B231" s="2" t="s">
        <v>248</v>
      </c>
      <c r="C231" s="2" t="s">
        <v>226</v>
      </c>
      <c r="D231" s="2" t="s">
        <v>215</v>
      </c>
      <c r="E231" s="6">
        <v>2200</v>
      </c>
      <c r="F231" s="18">
        <v>44983.9</v>
      </c>
      <c r="G231" s="18">
        <v>22845.71</v>
      </c>
      <c r="H231" s="18">
        <v>8812.9</v>
      </c>
      <c r="I231" s="18">
        <v>23436.02</v>
      </c>
      <c r="J231" s="18">
        <v>48832.83</v>
      </c>
      <c r="K231" s="18"/>
      <c r="L231" s="19">
        <f t="shared" si="4"/>
        <v>148911.35999999999</v>
      </c>
      <c r="M231" s="8"/>
    </row>
    <row r="232" spans="1:13" s="3" customFormat="1" ht="12" customHeight="1">
      <c r="A232" s="1" t="s">
        <v>227</v>
      </c>
      <c r="B232" s="2" t="s">
        <v>248</v>
      </c>
      <c r="C232" s="2" t="s">
        <v>228</v>
      </c>
      <c r="D232" s="2" t="s">
        <v>215</v>
      </c>
      <c r="E232" s="6">
        <v>2300</v>
      </c>
      <c r="F232" s="18">
        <v>447877.84</v>
      </c>
      <c r="G232" s="18">
        <v>229357.72</v>
      </c>
      <c r="H232" s="18">
        <v>46998.81</v>
      </c>
      <c r="I232" s="18">
        <v>3409.48</v>
      </c>
      <c r="J232" s="18"/>
      <c r="K232" s="18">
        <v>28513.63</v>
      </c>
      <c r="L232" s="19">
        <f t="shared" si="4"/>
        <v>756157.4800000001</v>
      </c>
      <c r="M232" s="8"/>
    </row>
    <row r="233" spans="1:13" s="3" customFormat="1" ht="12" customHeight="1">
      <c r="A233" s="1" t="s">
        <v>229</v>
      </c>
      <c r="B233" s="2" t="s">
        <v>248</v>
      </c>
      <c r="C233" s="2" t="s">
        <v>230</v>
      </c>
      <c r="D233" s="2" t="s">
        <v>215</v>
      </c>
      <c r="E233" s="6">
        <v>2400</v>
      </c>
      <c r="F233" s="18">
        <v>464104.46</v>
      </c>
      <c r="G233" s="18">
        <v>236137.64</v>
      </c>
      <c r="H233" s="18">
        <v>59839.09</v>
      </c>
      <c r="I233" s="18">
        <v>7795.31</v>
      </c>
      <c r="J233" s="18"/>
      <c r="K233" s="18"/>
      <c r="L233" s="19">
        <f t="shared" si="4"/>
        <v>767876.50000000012</v>
      </c>
      <c r="M233" s="8"/>
    </row>
    <row r="234" spans="1:13" s="3" customFormat="1" ht="12" customHeight="1">
      <c r="A234" s="1" t="s">
        <v>231</v>
      </c>
      <c r="B234" s="2" t="s">
        <v>248</v>
      </c>
      <c r="C234" s="2" t="s">
        <v>232</v>
      </c>
      <c r="D234" s="2" t="s">
        <v>215</v>
      </c>
      <c r="E234" s="6">
        <v>2500</v>
      </c>
      <c r="F234" s="18">
        <v>99324.5</v>
      </c>
      <c r="G234" s="18">
        <v>52401.59</v>
      </c>
      <c r="H234" s="18">
        <v>60318.62</v>
      </c>
      <c r="I234" s="18">
        <v>2203.11</v>
      </c>
      <c r="J234" s="18"/>
      <c r="K234" s="18">
        <v>387.61</v>
      </c>
      <c r="L234" s="19">
        <f t="shared" si="4"/>
        <v>214635.42999999996</v>
      </c>
      <c r="M234" s="8"/>
    </row>
    <row r="235" spans="1:13" s="3" customFormat="1" ht="12" customHeight="1">
      <c r="A235" s="1" t="s">
        <v>233</v>
      </c>
      <c r="B235" s="2" t="s">
        <v>248</v>
      </c>
      <c r="C235" s="2" t="s">
        <v>234</v>
      </c>
      <c r="D235" s="2" t="s">
        <v>215</v>
      </c>
      <c r="E235" s="6">
        <v>2600</v>
      </c>
      <c r="F235" s="18">
        <v>509546.19</v>
      </c>
      <c r="G235" s="18">
        <v>263701.25</v>
      </c>
      <c r="H235" s="18">
        <v>309630.46000000002</v>
      </c>
      <c r="I235" s="18">
        <v>609024.62</v>
      </c>
      <c r="J235" s="18">
        <v>87912.19</v>
      </c>
      <c r="K235" s="18"/>
      <c r="L235" s="19">
        <f t="shared" si="4"/>
        <v>1779814.71</v>
      </c>
      <c r="M235" s="8"/>
    </row>
    <row r="236" spans="1:13" s="3" customFormat="1" ht="12" customHeight="1">
      <c r="A236" s="1" t="s">
        <v>235</v>
      </c>
      <c r="B236" s="2" t="s">
        <v>248</v>
      </c>
      <c r="C236" s="2" t="s">
        <v>236</v>
      </c>
      <c r="D236" s="2" t="s">
        <v>215</v>
      </c>
      <c r="E236" s="6">
        <v>2700</v>
      </c>
      <c r="F236" s="18"/>
      <c r="G236" s="18"/>
      <c r="H236" s="18">
        <v>448076.05</v>
      </c>
      <c r="I236" s="18"/>
      <c r="J236" s="18"/>
      <c r="K236" s="18"/>
      <c r="L236" s="19">
        <f t="shared" si="4"/>
        <v>448076.05</v>
      </c>
      <c r="M236" s="8"/>
    </row>
    <row r="237" spans="1:13" s="3" customFormat="1" ht="12" customHeight="1">
      <c r="A237" s="1" t="s">
        <v>237</v>
      </c>
      <c r="B237" s="2" t="s">
        <v>248</v>
      </c>
      <c r="C237" s="2" t="s">
        <v>238</v>
      </c>
      <c r="D237" s="2" t="s">
        <v>215</v>
      </c>
      <c r="E237" s="6">
        <v>2800</v>
      </c>
      <c r="F237" s="18">
        <v>172010.32</v>
      </c>
      <c r="G237" s="18">
        <v>88883.61</v>
      </c>
      <c r="H237" s="18">
        <v>15159.27</v>
      </c>
      <c r="I237" s="18">
        <v>13946.02</v>
      </c>
      <c r="J237" s="18">
        <v>8717.0499999999993</v>
      </c>
      <c r="K237" s="18">
        <v>7071.2</v>
      </c>
      <c r="L237" s="19">
        <f>SUM(F237:K237)</f>
        <v>305787.47000000003</v>
      </c>
      <c r="M237" s="8"/>
    </row>
    <row r="238" spans="1:13" s="3" customFormat="1" ht="12" customHeight="1" thickBot="1">
      <c r="A238" s="1" t="s">
        <v>239</v>
      </c>
      <c r="B238" s="2" t="s">
        <v>248</v>
      </c>
      <c r="C238" s="2" t="s">
        <v>240</v>
      </c>
      <c r="D238" s="2" t="s">
        <v>215</v>
      </c>
      <c r="E238" s="6">
        <v>2900</v>
      </c>
      <c r="F238" s="24" t="s">
        <v>32</v>
      </c>
      <c r="G238" s="24" t="s">
        <v>32</v>
      </c>
      <c r="H238" s="24" t="s">
        <v>32</v>
      </c>
      <c r="I238" s="24" t="s">
        <v>32</v>
      </c>
      <c r="J238" s="24" t="s">
        <v>32</v>
      </c>
      <c r="K238" s="24" t="s">
        <v>32</v>
      </c>
      <c r="L238" s="24" t="s">
        <v>32</v>
      </c>
      <c r="M238" s="8"/>
    </row>
    <row r="239" spans="1:13" s="3" customFormat="1" ht="12" customHeight="1" thickTop="1">
      <c r="A239" s="38" t="s">
        <v>249</v>
      </c>
      <c r="B239" s="39" t="s">
        <v>248</v>
      </c>
      <c r="C239" s="40">
        <v>14</v>
      </c>
      <c r="D239" s="39" t="s">
        <v>215</v>
      </c>
      <c r="E239" s="40"/>
      <c r="F239" s="41">
        <f t="shared" ref="F239:L239" si="5">SUM(F225:F238)</f>
        <v>8036881.370000001</v>
      </c>
      <c r="G239" s="41">
        <f t="shared" si="5"/>
        <v>4048404.8699999996</v>
      </c>
      <c r="H239" s="41">
        <f t="shared" si="5"/>
        <v>1894655.6400000001</v>
      </c>
      <c r="I239" s="41">
        <f t="shared" si="5"/>
        <v>902233.59999999998</v>
      </c>
      <c r="J239" s="41">
        <f t="shared" si="5"/>
        <v>171782.11</v>
      </c>
      <c r="K239" s="41">
        <f t="shared" si="5"/>
        <v>51718.45</v>
      </c>
      <c r="L239" s="41">
        <f t="shared" si="5"/>
        <v>15105676.040000001</v>
      </c>
      <c r="M239" s="8"/>
    </row>
    <row r="240" spans="1:13" s="3" customFormat="1" ht="12" customHeight="1">
      <c r="A240" s="70"/>
      <c r="B240" s="36"/>
      <c r="C240" s="37"/>
      <c r="D240" s="37"/>
      <c r="E240" s="37"/>
      <c r="F240" s="176" t="s">
        <v>197</v>
      </c>
      <c r="G240" s="176" t="s">
        <v>198</v>
      </c>
      <c r="H240" s="176" t="s">
        <v>199</v>
      </c>
      <c r="I240" s="176" t="s">
        <v>200</v>
      </c>
      <c r="J240" s="176" t="s">
        <v>201</v>
      </c>
      <c r="K240" s="176" t="s">
        <v>202</v>
      </c>
      <c r="L240" s="67"/>
      <c r="M240" s="8"/>
    </row>
    <row r="241" spans="1:13" s="3" customFormat="1" ht="12" customHeight="1">
      <c r="A241" s="29" t="s">
        <v>250</v>
      </c>
      <c r="B241" s="7"/>
      <c r="C241" s="7"/>
      <c r="D241" s="7"/>
      <c r="E241" s="7"/>
      <c r="F241" s="103" t="s">
        <v>204</v>
      </c>
      <c r="G241" s="103" t="s">
        <v>205</v>
      </c>
      <c r="H241" s="103" t="s">
        <v>206</v>
      </c>
      <c r="I241" s="103" t="s">
        <v>207</v>
      </c>
      <c r="J241" s="103" t="s">
        <v>208</v>
      </c>
      <c r="K241" s="103" t="s">
        <v>209</v>
      </c>
      <c r="L241" s="103" t="s">
        <v>210</v>
      </c>
      <c r="M241" s="8"/>
    </row>
    <row r="242" spans="1:13" s="3" customFormat="1" ht="12" customHeight="1">
      <c r="A242" s="1" t="s">
        <v>251</v>
      </c>
      <c r="B242" s="2" t="s">
        <v>252</v>
      </c>
      <c r="C242" s="2" t="s">
        <v>34</v>
      </c>
      <c r="D242" s="2" t="s">
        <v>215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>
      <c r="A243" s="1" t="s">
        <v>253</v>
      </c>
      <c r="B243" s="2" t="s">
        <v>252</v>
      </c>
      <c r="C243" s="2" t="s">
        <v>78</v>
      </c>
      <c r="D243" s="2" t="s">
        <v>215</v>
      </c>
      <c r="E243" s="6">
        <v>1600</v>
      </c>
      <c r="F243" s="18"/>
      <c r="G243" s="18"/>
      <c r="H243" s="18">
        <v>2180.4299999999998</v>
      </c>
      <c r="I243" s="18"/>
      <c r="J243" s="18"/>
      <c r="K243" s="18"/>
      <c r="L243" s="19">
        <f t="shared" si="6"/>
        <v>2180.4299999999998</v>
      </c>
      <c r="M243" s="8"/>
    </row>
    <row r="244" spans="1:13" s="3" customFormat="1" ht="12" customHeight="1">
      <c r="A244" s="1" t="s">
        <v>254</v>
      </c>
      <c r="B244" s="2" t="s">
        <v>252</v>
      </c>
      <c r="C244" s="2" t="s">
        <v>98</v>
      </c>
      <c r="D244" s="2" t="s">
        <v>215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>
      <c r="A245" s="1" t="s">
        <v>255</v>
      </c>
      <c r="B245" s="2" t="s">
        <v>252</v>
      </c>
      <c r="C245" s="2" t="s">
        <v>124</v>
      </c>
      <c r="D245" s="2" t="s">
        <v>215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>
      <c r="A246" s="1" t="s">
        <v>256</v>
      </c>
      <c r="B246" s="2" t="s">
        <v>252</v>
      </c>
      <c r="C246" s="2" t="s">
        <v>148</v>
      </c>
      <c r="D246" s="2" t="s">
        <v>215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>
      <c r="A247" s="1" t="s">
        <v>257</v>
      </c>
      <c r="B247" s="2" t="s">
        <v>252</v>
      </c>
      <c r="C247" s="6">
        <v>6</v>
      </c>
      <c r="D247" s="2" t="s">
        <v>215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>
      <c r="A248" s="38" t="s">
        <v>258</v>
      </c>
      <c r="B248" s="40">
        <v>10</v>
      </c>
      <c r="C248" s="40">
        <v>7</v>
      </c>
      <c r="D248" s="39" t="s">
        <v>215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2180.4299999999998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2180.4299999999998</v>
      </c>
      <c r="M248" s="8"/>
    </row>
    <row r="249" spans="1:13" s="3" customFormat="1" ht="12" customHeight="1" thickTop="1">
      <c r="A249" s="38" t="s">
        <v>259</v>
      </c>
      <c r="B249" s="40">
        <v>10</v>
      </c>
      <c r="C249" s="40">
        <v>8</v>
      </c>
      <c r="D249" s="39" t="s">
        <v>215</v>
      </c>
      <c r="E249" s="40"/>
      <c r="F249" s="41">
        <f t="shared" ref="F249:L249" si="8">F203+F221+F239+F248</f>
        <v>20670330.259999998</v>
      </c>
      <c r="G249" s="41">
        <f t="shared" si="8"/>
        <v>10373167.41</v>
      </c>
      <c r="H249" s="41">
        <f t="shared" si="8"/>
        <v>3095855.35</v>
      </c>
      <c r="I249" s="41">
        <f t="shared" si="8"/>
        <v>1682088.81</v>
      </c>
      <c r="J249" s="41">
        <f t="shared" si="8"/>
        <v>340509.64999999997</v>
      </c>
      <c r="K249" s="41">
        <f t="shared" si="8"/>
        <v>85852.92</v>
      </c>
      <c r="L249" s="41">
        <f t="shared" si="8"/>
        <v>36247804.399999999</v>
      </c>
      <c r="M249" s="8"/>
    </row>
    <row r="250" spans="1:13" s="3" customFormat="1" ht="12" customHeight="1">
      <c r="A250" s="34" t="s">
        <v>260</v>
      </c>
      <c r="F250" s="13"/>
      <c r="G250" s="13"/>
      <c r="H250" s="13"/>
      <c r="I250" s="13"/>
      <c r="J250" s="13"/>
      <c r="K250" s="14" t="s">
        <v>62</v>
      </c>
      <c r="L250" s="14" t="s">
        <v>261</v>
      </c>
      <c r="M250" s="8"/>
    </row>
    <row r="251" spans="1:13" s="3" customFormat="1" ht="12" customHeight="1">
      <c r="A251" s="30" t="s">
        <v>262</v>
      </c>
      <c r="E251" s="6">
        <v>5100</v>
      </c>
      <c r="F251" s="24" t="s">
        <v>32</v>
      </c>
      <c r="G251" s="24" t="s">
        <v>32</v>
      </c>
      <c r="H251" s="24" t="s">
        <v>32</v>
      </c>
      <c r="I251" s="24" t="s">
        <v>32</v>
      </c>
      <c r="J251" s="24" t="s">
        <v>32</v>
      </c>
      <c r="K251" s="24" t="s">
        <v>32</v>
      </c>
      <c r="L251" s="24" t="s">
        <v>32</v>
      </c>
      <c r="M251" s="8"/>
    </row>
    <row r="252" spans="1:13" s="3" customFormat="1" ht="12" customHeight="1">
      <c r="A252" s="1" t="s">
        <v>174</v>
      </c>
      <c r="B252" s="2" t="s">
        <v>252</v>
      </c>
      <c r="C252" s="6">
        <v>9</v>
      </c>
      <c r="D252" s="2" t="s">
        <v>215</v>
      </c>
      <c r="E252" s="6">
        <v>5110</v>
      </c>
      <c r="F252" s="24" t="s">
        <v>32</v>
      </c>
      <c r="G252" s="24" t="s">
        <v>32</v>
      </c>
      <c r="H252" s="24" t="s">
        <v>32</v>
      </c>
      <c r="I252" s="24" t="s">
        <v>32</v>
      </c>
      <c r="J252" s="24" t="s">
        <v>32</v>
      </c>
      <c r="K252" s="18"/>
      <c r="L252" s="19">
        <f>SUM(F252:K252)</f>
        <v>0</v>
      </c>
      <c r="M252" s="8"/>
    </row>
    <row r="253" spans="1:13" s="3" customFormat="1" ht="12" customHeight="1">
      <c r="A253" s="1" t="s">
        <v>263</v>
      </c>
      <c r="B253" s="2" t="s">
        <v>252</v>
      </c>
      <c r="C253" s="6">
        <v>10</v>
      </c>
      <c r="D253" s="2" t="s">
        <v>215</v>
      </c>
      <c r="E253" s="6">
        <v>5120</v>
      </c>
      <c r="F253" s="24" t="s">
        <v>32</v>
      </c>
      <c r="G253" s="24" t="s">
        <v>32</v>
      </c>
      <c r="H253" s="24" t="s">
        <v>32</v>
      </c>
      <c r="I253" s="24" t="s">
        <v>32</v>
      </c>
      <c r="J253" s="24" t="s">
        <v>32</v>
      </c>
      <c r="K253" s="18"/>
      <c r="L253" s="19">
        <f>SUM(F253:K253)</f>
        <v>0</v>
      </c>
      <c r="M253" s="8"/>
    </row>
    <row r="254" spans="1:13" s="3" customFormat="1" ht="12" customHeight="1">
      <c r="A254" s="30" t="s">
        <v>264</v>
      </c>
      <c r="E254" s="6">
        <v>5200</v>
      </c>
      <c r="F254" s="24" t="s">
        <v>32</v>
      </c>
      <c r="G254" s="24" t="s">
        <v>32</v>
      </c>
      <c r="H254" s="24" t="s">
        <v>32</v>
      </c>
      <c r="I254" s="24" t="s">
        <v>32</v>
      </c>
      <c r="J254" s="24" t="s">
        <v>32</v>
      </c>
      <c r="K254" s="24" t="s">
        <v>32</v>
      </c>
      <c r="L254" s="24" t="s">
        <v>32</v>
      </c>
      <c r="M254" s="8"/>
    </row>
    <row r="255" spans="1:13" ht="12" customHeight="1">
      <c r="A255" s="3" t="s">
        <v>265</v>
      </c>
      <c r="B255" s="6">
        <v>10</v>
      </c>
      <c r="C255" s="6">
        <v>11</v>
      </c>
      <c r="D255" s="2" t="s">
        <v>215</v>
      </c>
      <c r="E255" s="6">
        <v>5221</v>
      </c>
      <c r="F255" s="24" t="s">
        <v>32</v>
      </c>
      <c r="G255" s="24" t="s">
        <v>32</v>
      </c>
      <c r="H255" s="24" t="s">
        <v>32</v>
      </c>
      <c r="I255" s="24" t="s">
        <v>32</v>
      </c>
      <c r="J255" s="24" t="s">
        <v>32</v>
      </c>
      <c r="K255" s="18"/>
      <c r="L255" s="19">
        <f>SUM(F255:K255)</f>
        <v>0</v>
      </c>
    </row>
    <row r="256" spans="1:13" ht="12" customHeight="1">
      <c r="A256" s="3" t="s">
        <v>266</v>
      </c>
      <c r="B256" s="6">
        <v>10</v>
      </c>
      <c r="C256" s="6">
        <v>12</v>
      </c>
      <c r="D256" s="2" t="s">
        <v>215</v>
      </c>
      <c r="E256" s="6">
        <v>5222</v>
      </c>
      <c r="F256" s="24" t="s">
        <v>32</v>
      </c>
      <c r="G256" s="24" t="s">
        <v>32</v>
      </c>
      <c r="H256" s="24" t="s">
        <v>32</v>
      </c>
      <c r="I256" s="24" t="s">
        <v>32</v>
      </c>
      <c r="J256" s="24" t="s">
        <v>32</v>
      </c>
      <c r="K256" s="18">
        <v>656136</v>
      </c>
      <c r="L256" s="19">
        <f t="shared" ref="L256:L262" si="9">SUM(F256:K256)</f>
        <v>656136</v>
      </c>
    </row>
    <row r="257" spans="1:13" ht="12" customHeight="1">
      <c r="A257" s="3" t="s">
        <v>267</v>
      </c>
      <c r="B257" s="6">
        <v>10</v>
      </c>
      <c r="C257" s="6">
        <v>13</v>
      </c>
      <c r="D257" s="2" t="s">
        <v>215</v>
      </c>
      <c r="E257" s="6">
        <v>5230</v>
      </c>
      <c r="F257" s="24" t="s">
        <v>32</v>
      </c>
      <c r="G257" s="24" t="s">
        <v>32</v>
      </c>
      <c r="H257" s="24" t="s">
        <v>32</v>
      </c>
      <c r="I257" s="24" t="s">
        <v>32</v>
      </c>
      <c r="J257" s="24" t="s">
        <v>32</v>
      </c>
      <c r="K257" s="18"/>
      <c r="L257" s="19">
        <f t="shared" si="9"/>
        <v>0</v>
      </c>
    </row>
    <row r="258" spans="1:13" ht="12" customHeight="1">
      <c r="A258" s="3" t="s">
        <v>268</v>
      </c>
      <c r="B258" s="6">
        <v>10</v>
      </c>
      <c r="C258" s="6">
        <v>14</v>
      </c>
      <c r="D258" s="2" t="s">
        <v>215</v>
      </c>
      <c r="E258" s="6">
        <v>5250</v>
      </c>
      <c r="F258" s="24" t="s">
        <v>32</v>
      </c>
      <c r="G258" s="24" t="s">
        <v>32</v>
      </c>
      <c r="H258" s="24" t="s">
        <v>32</v>
      </c>
      <c r="I258" s="24" t="s">
        <v>32</v>
      </c>
      <c r="J258" s="24" t="s">
        <v>32</v>
      </c>
      <c r="K258" s="18"/>
      <c r="L258" s="19">
        <f t="shared" si="9"/>
        <v>0</v>
      </c>
    </row>
    <row r="259" spans="1:13" ht="12" customHeight="1">
      <c r="A259" s="27" t="s">
        <v>269</v>
      </c>
      <c r="B259" s="6"/>
      <c r="C259" s="6"/>
      <c r="D259" s="6"/>
      <c r="E259" s="6">
        <v>5300</v>
      </c>
      <c r="F259" s="24" t="s">
        <v>32</v>
      </c>
      <c r="G259" s="24" t="s">
        <v>32</v>
      </c>
      <c r="H259" s="24" t="s">
        <v>32</v>
      </c>
      <c r="I259" s="24" t="s">
        <v>32</v>
      </c>
      <c r="J259" s="24" t="s">
        <v>32</v>
      </c>
      <c r="K259" s="24" t="s">
        <v>32</v>
      </c>
      <c r="L259" s="24" t="s">
        <v>32</v>
      </c>
    </row>
    <row r="260" spans="1:13" ht="12" customHeight="1">
      <c r="A260" s="3" t="s">
        <v>270</v>
      </c>
      <c r="B260" s="6">
        <v>10</v>
      </c>
      <c r="C260" s="6">
        <v>15</v>
      </c>
      <c r="D260" s="2" t="s">
        <v>215</v>
      </c>
      <c r="E260" s="6">
        <v>5310</v>
      </c>
      <c r="F260" s="24" t="s">
        <v>32</v>
      </c>
      <c r="G260" s="24" t="s">
        <v>32</v>
      </c>
      <c r="H260" s="24" t="s">
        <v>32</v>
      </c>
      <c r="I260" s="24" t="s">
        <v>32</v>
      </c>
      <c r="J260" s="24" t="s">
        <v>32</v>
      </c>
      <c r="K260" s="18"/>
      <c r="L260" s="19">
        <f t="shared" si="9"/>
        <v>0</v>
      </c>
    </row>
    <row r="261" spans="1:13" ht="12" customHeight="1" thickBot="1">
      <c r="A261" s="3" t="s">
        <v>271</v>
      </c>
      <c r="B261" s="6">
        <v>10</v>
      </c>
      <c r="C261" s="6">
        <v>16</v>
      </c>
      <c r="D261" s="2" t="s">
        <v>215</v>
      </c>
      <c r="E261" s="6">
        <v>5390</v>
      </c>
      <c r="F261" s="24" t="s">
        <v>32</v>
      </c>
      <c r="G261" s="24" t="s">
        <v>32</v>
      </c>
      <c r="H261" s="24" t="s">
        <v>32</v>
      </c>
      <c r="I261" s="24" t="s">
        <v>32</v>
      </c>
      <c r="J261" s="24" t="s">
        <v>32</v>
      </c>
      <c r="K261" s="18"/>
      <c r="L261" s="19">
        <f t="shared" si="9"/>
        <v>0</v>
      </c>
    </row>
    <row r="262" spans="1:13" ht="12" customHeight="1" thickTop="1" thickBot="1">
      <c r="A262" s="43" t="s">
        <v>272</v>
      </c>
      <c r="B262" s="40">
        <v>10</v>
      </c>
      <c r="C262" s="40">
        <v>17</v>
      </c>
      <c r="D262" s="39" t="s">
        <v>215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656136</v>
      </c>
      <c r="L262" s="41">
        <f t="shared" si="9"/>
        <v>656136</v>
      </c>
    </row>
    <row r="263" spans="1:13" ht="12" customHeight="1" thickTop="1">
      <c r="A263" s="43" t="s">
        <v>273</v>
      </c>
      <c r="B263" s="40">
        <v>10</v>
      </c>
      <c r="C263" s="40">
        <v>18</v>
      </c>
      <c r="D263" s="39" t="s">
        <v>215</v>
      </c>
      <c r="E263" s="40"/>
      <c r="F263" s="42">
        <f t="shared" ref="F263:L263" si="11">F249+F262</f>
        <v>20670330.259999998</v>
      </c>
      <c r="G263" s="42">
        <f t="shared" si="11"/>
        <v>10373167.41</v>
      </c>
      <c r="H263" s="42">
        <f t="shared" si="11"/>
        <v>3095855.35</v>
      </c>
      <c r="I263" s="42">
        <f t="shared" si="11"/>
        <v>1682088.81</v>
      </c>
      <c r="J263" s="42">
        <f t="shared" si="11"/>
        <v>340509.64999999997</v>
      </c>
      <c r="K263" s="42">
        <f t="shared" si="11"/>
        <v>741988.92</v>
      </c>
      <c r="L263" s="42">
        <f t="shared" si="11"/>
        <v>36903940.399999999</v>
      </c>
    </row>
    <row r="264" spans="1:13" ht="12" customHeight="1">
      <c r="A264" s="33"/>
      <c r="B264" s="6"/>
      <c r="C264" s="6"/>
      <c r="D264" s="6"/>
      <c r="E264" s="6"/>
    </row>
    <row r="265" spans="1:13" s="3" customFormat="1" ht="12" customHeight="1">
      <c r="A265" s="29" t="s">
        <v>274</v>
      </c>
      <c r="F265" s="176" t="s">
        <v>197</v>
      </c>
      <c r="G265" s="176" t="s">
        <v>198</v>
      </c>
      <c r="H265" s="176" t="s">
        <v>199</v>
      </c>
      <c r="I265" s="176" t="s">
        <v>200</v>
      </c>
      <c r="J265" s="176" t="s">
        <v>201</v>
      </c>
      <c r="K265" s="176" t="s">
        <v>202</v>
      </c>
      <c r="M265" s="8"/>
    </row>
    <row r="266" spans="1:13" s="34" customFormat="1" ht="12" customHeight="1">
      <c r="A266" s="29" t="s">
        <v>203</v>
      </c>
      <c r="F266" s="103" t="s">
        <v>204</v>
      </c>
      <c r="G266" s="103" t="s">
        <v>205</v>
      </c>
      <c r="H266" s="103" t="s">
        <v>206</v>
      </c>
      <c r="I266" s="103" t="s">
        <v>207</v>
      </c>
      <c r="J266" s="103" t="s">
        <v>208</v>
      </c>
      <c r="K266" s="103" t="s">
        <v>209</v>
      </c>
      <c r="L266" s="103" t="s">
        <v>210</v>
      </c>
      <c r="M266" s="35"/>
    </row>
    <row r="267" spans="1:13" s="3" customFormat="1" ht="12" customHeight="1">
      <c r="A267" s="30" t="s">
        <v>247</v>
      </c>
      <c r="F267" s="24" t="s">
        <v>32</v>
      </c>
      <c r="G267" s="24" t="s">
        <v>32</v>
      </c>
      <c r="H267" s="24" t="s">
        <v>32</v>
      </c>
      <c r="I267" s="24" t="s">
        <v>32</v>
      </c>
      <c r="J267" s="24" t="s">
        <v>32</v>
      </c>
      <c r="K267" s="24" t="s">
        <v>32</v>
      </c>
      <c r="L267" s="24" t="s">
        <v>32</v>
      </c>
      <c r="M267" s="8"/>
    </row>
    <row r="268" spans="1:13" s="3" customFormat="1" ht="12" customHeight="1">
      <c r="A268" s="1" t="s">
        <v>212</v>
      </c>
      <c r="B268" s="2" t="s">
        <v>275</v>
      </c>
      <c r="C268" s="2" t="s">
        <v>214</v>
      </c>
      <c r="D268" s="2" t="s">
        <v>215</v>
      </c>
      <c r="E268" s="6">
        <v>1100</v>
      </c>
      <c r="F268" s="18">
        <v>150795.12</v>
      </c>
      <c r="G268" s="18">
        <v>22495.06</v>
      </c>
      <c r="H268" s="18">
        <v>2761.18</v>
      </c>
      <c r="I268" s="18">
        <v>3684.29</v>
      </c>
      <c r="J268" s="18">
        <v>6526.5</v>
      </c>
      <c r="K268" s="18"/>
      <c r="L268" s="19">
        <f>SUM(F268:K268)</f>
        <v>186262.15</v>
      </c>
      <c r="M268" s="8"/>
    </row>
    <row r="269" spans="1:13" s="3" customFormat="1" ht="12" customHeight="1">
      <c r="A269" s="1" t="s">
        <v>216</v>
      </c>
      <c r="B269" s="2" t="s">
        <v>275</v>
      </c>
      <c r="C269" s="2" t="s">
        <v>217</v>
      </c>
      <c r="D269" s="2" t="s">
        <v>215</v>
      </c>
      <c r="E269" s="6">
        <v>1200</v>
      </c>
      <c r="F269" s="18">
        <v>823692.45</v>
      </c>
      <c r="G269" s="18">
        <v>144561.24</v>
      </c>
      <c r="H269" s="18">
        <v>45112.59</v>
      </c>
      <c r="I269" s="18">
        <v>12782.74</v>
      </c>
      <c r="J269" s="18">
        <v>20823.05</v>
      </c>
      <c r="K269" s="18">
        <v>37.81</v>
      </c>
      <c r="L269" s="19">
        <f>SUM(F269:K269)</f>
        <v>1047009.88</v>
      </c>
      <c r="M269" s="8"/>
    </row>
    <row r="270" spans="1:13" s="3" customFormat="1" ht="12" customHeight="1">
      <c r="A270" s="1" t="s">
        <v>218</v>
      </c>
      <c r="B270" s="2" t="s">
        <v>275</v>
      </c>
      <c r="C270" s="2" t="s">
        <v>219</v>
      </c>
      <c r="D270" s="2" t="s">
        <v>215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>
      <c r="A271" s="1" t="s">
        <v>220</v>
      </c>
      <c r="B271" s="2" t="s">
        <v>275</v>
      </c>
      <c r="C271" s="2" t="s">
        <v>221</v>
      </c>
      <c r="D271" s="2" t="s">
        <v>215</v>
      </c>
      <c r="E271" s="6">
        <v>1400</v>
      </c>
      <c r="F271" s="18">
        <v>12171.7</v>
      </c>
      <c r="G271" s="18">
        <v>585.78</v>
      </c>
      <c r="H271" s="18">
        <v>13305.24</v>
      </c>
      <c r="I271" s="18">
        <v>4004.08</v>
      </c>
      <c r="J271" s="18">
        <v>707.52</v>
      </c>
      <c r="K271" s="18"/>
      <c r="L271" s="19">
        <f>SUM(F271:K271)</f>
        <v>30774.320000000003</v>
      </c>
      <c r="M271" s="8"/>
    </row>
    <row r="272" spans="1:13" s="3" customFormat="1" ht="12" customHeight="1">
      <c r="A272" s="30" t="s">
        <v>222</v>
      </c>
      <c r="E272" s="6"/>
      <c r="F272" s="24" t="s">
        <v>32</v>
      </c>
      <c r="G272" s="24" t="s">
        <v>32</v>
      </c>
      <c r="H272" s="24" t="s">
        <v>32</v>
      </c>
      <c r="I272" s="24" t="s">
        <v>32</v>
      </c>
      <c r="J272" s="24" t="s">
        <v>32</v>
      </c>
      <c r="K272" s="24" t="s">
        <v>32</v>
      </c>
      <c r="L272" s="24" t="s">
        <v>32</v>
      </c>
      <c r="M272" s="8"/>
    </row>
    <row r="273" spans="1:13" s="3" customFormat="1" ht="12" customHeight="1">
      <c r="A273" s="1" t="s">
        <v>223</v>
      </c>
      <c r="B273" s="2" t="s">
        <v>275</v>
      </c>
      <c r="C273" s="2" t="s">
        <v>224</v>
      </c>
      <c r="D273" s="2" t="s">
        <v>215</v>
      </c>
      <c r="E273" s="6">
        <v>2100</v>
      </c>
      <c r="F273" s="18">
        <v>73101.84</v>
      </c>
      <c r="G273" s="18">
        <v>8208.09</v>
      </c>
      <c r="H273" s="18">
        <v>56091.38</v>
      </c>
      <c r="I273" s="18">
        <v>11427.51</v>
      </c>
      <c r="J273" s="18"/>
      <c r="K273" s="18"/>
      <c r="L273" s="19">
        <f t="shared" ref="L273:L279" si="12">SUM(F273:K273)</f>
        <v>148828.82</v>
      </c>
      <c r="M273" s="8"/>
    </row>
    <row r="274" spans="1:13" s="3" customFormat="1" ht="12" customHeight="1">
      <c r="A274" s="1" t="s">
        <v>225</v>
      </c>
      <c r="B274" s="2" t="s">
        <v>275</v>
      </c>
      <c r="C274" s="2" t="s">
        <v>226</v>
      </c>
      <c r="D274" s="2" t="s">
        <v>215</v>
      </c>
      <c r="E274" s="6">
        <v>2200</v>
      </c>
      <c r="F274" s="18">
        <v>9793.07</v>
      </c>
      <c r="G274" s="18">
        <v>2748.14</v>
      </c>
      <c r="H274" s="18">
        <v>107466.13</v>
      </c>
      <c r="I274" s="18">
        <v>4019</v>
      </c>
      <c r="J274" s="18">
        <v>1575</v>
      </c>
      <c r="K274" s="18"/>
      <c r="L274" s="19">
        <f t="shared" si="12"/>
        <v>125601.34</v>
      </c>
      <c r="M274" s="8"/>
    </row>
    <row r="275" spans="1:13" s="3" customFormat="1" ht="12" customHeight="1">
      <c r="A275" s="1" t="s">
        <v>227</v>
      </c>
      <c r="B275" s="2" t="s">
        <v>275</v>
      </c>
      <c r="C275" s="2" t="s">
        <v>228</v>
      </c>
      <c r="D275" s="2" t="s">
        <v>215</v>
      </c>
      <c r="E275" s="6">
        <v>2300</v>
      </c>
      <c r="F275" s="18">
        <v>58699.54</v>
      </c>
      <c r="G275" s="18">
        <v>9405.68</v>
      </c>
      <c r="H275" s="18">
        <v>475.49</v>
      </c>
      <c r="I275" s="18">
        <v>1156.27</v>
      </c>
      <c r="J275" s="18"/>
      <c r="K275" s="18"/>
      <c r="L275" s="19">
        <f t="shared" si="12"/>
        <v>69736.98000000001</v>
      </c>
      <c r="M275" s="8"/>
    </row>
    <row r="276" spans="1:13" s="3" customFormat="1" ht="12" customHeight="1">
      <c r="A276" s="1" t="s">
        <v>229</v>
      </c>
      <c r="B276" s="2" t="s">
        <v>275</v>
      </c>
      <c r="C276" s="2" t="s">
        <v>230</v>
      </c>
      <c r="D276" s="2" t="s">
        <v>215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>
      <c r="A277" s="1" t="s">
        <v>231</v>
      </c>
      <c r="B277" s="2" t="s">
        <v>275</v>
      </c>
      <c r="C277" s="2" t="s">
        <v>232</v>
      </c>
      <c r="D277" s="2" t="s">
        <v>215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>
      <c r="A278" s="1" t="s">
        <v>233</v>
      </c>
      <c r="B278" s="2" t="s">
        <v>275</v>
      </c>
      <c r="C278" s="2" t="s">
        <v>234</v>
      </c>
      <c r="D278" s="2" t="s">
        <v>215</v>
      </c>
      <c r="E278" s="6">
        <v>2600</v>
      </c>
      <c r="F278" s="18"/>
      <c r="G278" s="18"/>
      <c r="H278" s="18">
        <v>170.05</v>
      </c>
      <c r="I278" s="18"/>
      <c r="J278" s="18"/>
      <c r="K278" s="18"/>
      <c r="L278" s="19">
        <f t="shared" si="12"/>
        <v>170.05</v>
      </c>
      <c r="M278" s="8"/>
    </row>
    <row r="279" spans="1:13" s="3" customFormat="1" ht="12" customHeight="1">
      <c r="A279" s="1" t="s">
        <v>235</v>
      </c>
      <c r="B279" s="2" t="s">
        <v>275</v>
      </c>
      <c r="C279" s="2" t="s">
        <v>236</v>
      </c>
      <c r="D279" s="2" t="s">
        <v>215</v>
      </c>
      <c r="E279" s="6">
        <v>2700</v>
      </c>
      <c r="F279" s="18"/>
      <c r="G279" s="18"/>
      <c r="H279" s="18">
        <v>9065.24</v>
      </c>
      <c r="I279" s="18"/>
      <c r="J279" s="18"/>
      <c r="K279" s="18"/>
      <c r="L279" s="19">
        <f t="shared" si="12"/>
        <v>9065.24</v>
      </c>
      <c r="M279" s="8"/>
    </row>
    <row r="280" spans="1:13" s="3" customFormat="1" ht="12" customHeight="1">
      <c r="A280" s="1" t="s">
        <v>237</v>
      </c>
      <c r="B280" s="2" t="s">
        <v>275</v>
      </c>
      <c r="C280" s="2" t="s">
        <v>238</v>
      </c>
      <c r="D280" s="2" t="s">
        <v>215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>
      <c r="A281" s="1" t="s">
        <v>239</v>
      </c>
      <c r="B281" s="2" t="s">
        <v>275</v>
      </c>
      <c r="C281" s="2" t="s">
        <v>240</v>
      </c>
      <c r="D281" s="2" t="s">
        <v>215</v>
      </c>
      <c r="E281" s="6">
        <v>2900</v>
      </c>
      <c r="F281" s="24" t="s">
        <v>32</v>
      </c>
      <c r="G281" s="24" t="s">
        <v>32</v>
      </c>
      <c r="H281" s="24" t="s">
        <v>32</v>
      </c>
      <c r="I281" s="24" t="s">
        <v>32</v>
      </c>
      <c r="J281" s="24" t="s">
        <v>32</v>
      </c>
      <c r="K281" s="24" t="s">
        <v>32</v>
      </c>
      <c r="L281" s="24" t="s">
        <v>32</v>
      </c>
      <c r="M281" s="8"/>
    </row>
    <row r="282" spans="1:13" s="3" customFormat="1" ht="12" customHeight="1" thickTop="1">
      <c r="A282" s="38" t="s">
        <v>241</v>
      </c>
      <c r="B282" s="39" t="s">
        <v>275</v>
      </c>
      <c r="C282" s="39" t="s">
        <v>242</v>
      </c>
      <c r="D282" s="39" t="s">
        <v>215</v>
      </c>
      <c r="E282" s="39"/>
      <c r="F282" s="42">
        <f t="shared" ref="F282:L282" si="13">SUM(F268:F281)</f>
        <v>1128253.72</v>
      </c>
      <c r="G282" s="42">
        <f t="shared" si="13"/>
        <v>188003.99</v>
      </c>
      <c r="H282" s="42">
        <f t="shared" si="13"/>
        <v>234447.29999999996</v>
      </c>
      <c r="I282" s="42">
        <f t="shared" si="13"/>
        <v>37073.89</v>
      </c>
      <c r="J282" s="42">
        <f t="shared" si="13"/>
        <v>29632.07</v>
      </c>
      <c r="K282" s="42">
        <f t="shared" si="13"/>
        <v>37.81</v>
      </c>
      <c r="L282" s="41">
        <f t="shared" si="13"/>
        <v>1617448.7800000003</v>
      </c>
      <c r="M282" s="8"/>
    </row>
    <row r="283" spans="1:13" s="3" customFormat="1" ht="12" customHeight="1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>
      <c r="A284" s="29" t="s">
        <v>274</v>
      </c>
      <c r="B284" s="2" t="s">
        <v>152</v>
      </c>
      <c r="C284" s="2" t="s">
        <v>152</v>
      </c>
      <c r="D284" s="2"/>
      <c r="E284" s="2"/>
      <c r="F284" s="176" t="s">
        <v>197</v>
      </c>
      <c r="G284" s="176" t="s">
        <v>198</v>
      </c>
      <c r="H284" s="176" t="s">
        <v>199</v>
      </c>
      <c r="I284" s="176" t="s">
        <v>200</v>
      </c>
      <c r="J284" s="176" t="s">
        <v>201</v>
      </c>
      <c r="K284" s="176" t="s">
        <v>202</v>
      </c>
      <c r="L284" s="17"/>
      <c r="M284" s="8"/>
    </row>
    <row r="285" spans="1:13" s="3" customFormat="1" ht="12" customHeight="1">
      <c r="A285" s="29" t="s">
        <v>243</v>
      </c>
      <c r="B285" s="7"/>
      <c r="C285" s="7"/>
      <c r="D285" s="7"/>
      <c r="E285" s="7"/>
      <c r="F285" s="103" t="s">
        <v>204</v>
      </c>
      <c r="G285" s="103" t="s">
        <v>205</v>
      </c>
      <c r="H285" s="103" t="s">
        <v>206</v>
      </c>
      <c r="I285" s="103" t="s">
        <v>207</v>
      </c>
      <c r="J285" s="103" t="s">
        <v>208</v>
      </c>
      <c r="K285" s="103" t="s">
        <v>209</v>
      </c>
      <c r="L285" s="103" t="s">
        <v>210</v>
      </c>
      <c r="M285" s="8"/>
    </row>
    <row r="286" spans="1:13" s="3" customFormat="1" ht="12" customHeight="1">
      <c r="A286" s="30" t="s">
        <v>247</v>
      </c>
      <c r="F286" s="24" t="s">
        <v>32</v>
      </c>
      <c r="G286" s="24" t="s">
        <v>32</v>
      </c>
      <c r="H286" s="24" t="s">
        <v>32</v>
      </c>
      <c r="I286" s="24" t="s">
        <v>32</v>
      </c>
      <c r="J286" s="24" t="s">
        <v>32</v>
      </c>
      <c r="K286" s="24" t="s">
        <v>32</v>
      </c>
      <c r="L286" s="24" t="s">
        <v>32</v>
      </c>
      <c r="M286" s="8"/>
    </row>
    <row r="287" spans="1:13" s="3" customFormat="1" ht="12" customHeight="1">
      <c r="A287" s="1" t="s">
        <v>212</v>
      </c>
      <c r="B287" s="2" t="s">
        <v>276</v>
      </c>
      <c r="C287" s="2" t="s">
        <v>214</v>
      </c>
      <c r="D287" s="2" t="s">
        <v>215</v>
      </c>
      <c r="E287" s="6">
        <v>1100</v>
      </c>
      <c r="F287" s="18">
        <v>1285.5899999999999</v>
      </c>
      <c r="G287" s="18">
        <v>149.41999999999999</v>
      </c>
      <c r="H287" s="18">
        <v>1283.46</v>
      </c>
      <c r="I287" s="18">
        <v>1712.55</v>
      </c>
      <c r="J287" s="18">
        <v>3033.68</v>
      </c>
      <c r="K287" s="18"/>
      <c r="L287" s="19">
        <f>SUM(F287:K287)</f>
        <v>7464.7000000000007</v>
      </c>
      <c r="M287" s="8"/>
    </row>
    <row r="288" spans="1:13" s="3" customFormat="1" ht="12" customHeight="1">
      <c r="A288" s="1" t="s">
        <v>216</v>
      </c>
      <c r="B288" s="2" t="s">
        <v>276</v>
      </c>
      <c r="C288" s="2" t="s">
        <v>217</v>
      </c>
      <c r="D288" s="2" t="s">
        <v>215</v>
      </c>
      <c r="E288" s="6">
        <v>1200</v>
      </c>
      <c r="F288" s="18">
        <v>429054.3</v>
      </c>
      <c r="G288" s="18">
        <v>60446.69</v>
      </c>
      <c r="H288" s="18">
        <v>20969.419999999998</v>
      </c>
      <c r="I288" s="18">
        <v>1785.26</v>
      </c>
      <c r="J288" s="18">
        <v>2328.13</v>
      </c>
      <c r="K288" s="18">
        <v>17.579999999999998</v>
      </c>
      <c r="L288" s="19">
        <f>SUM(F288:K288)</f>
        <v>514601.38</v>
      </c>
      <c r="M288" s="8"/>
    </row>
    <row r="289" spans="1:13" s="3" customFormat="1" ht="12" customHeight="1">
      <c r="A289" s="1" t="s">
        <v>218</v>
      </c>
      <c r="B289" s="2" t="s">
        <v>276</v>
      </c>
      <c r="C289" s="2" t="s">
        <v>219</v>
      </c>
      <c r="D289" s="2" t="s">
        <v>215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>
      <c r="A290" s="1" t="s">
        <v>220</v>
      </c>
      <c r="B290" s="2" t="s">
        <v>276</v>
      </c>
      <c r="C290" s="2" t="s">
        <v>221</v>
      </c>
      <c r="D290" s="2" t="s">
        <v>215</v>
      </c>
      <c r="E290" s="6">
        <v>1400</v>
      </c>
      <c r="F290" s="18">
        <v>4542.12</v>
      </c>
      <c r="G290" s="18">
        <v>111.98</v>
      </c>
      <c r="H290" s="18">
        <v>6184.59</v>
      </c>
      <c r="I290" s="18">
        <v>696.33</v>
      </c>
      <c r="J290" s="18">
        <v>328.87</v>
      </c>
      <c r="K290" s="18"/>
      <c r="L290" s="19">
        <f>SUM(F290:K290)</f>
        <v>11863.89</v>
      </c>
      <c r="M290" s="8"/>
    </row>
    <row r="291" spans="1:13" s="3" customFormat="1" ht="12" customHeight="1">
      <c r="A291" s="30" t="s">
        <v>222</v>
      </c>
      <c r="E291" s="6"/>
      <c r="F291" s="24" t="s">
        <v>32</v>
      </c>
      <c r="G291" s="24" t="s">
        <v>32</v>
      </c>
      <c r="H291" s="24" t="s">
        <v>32</v>
      </c>
      <c r="I291" s="24" t="s">
        <v>32</v>
      </c>
      <c r="J291" s="24" t="s">
        <v>32</v>
      </c>
      <c r="K291" s="24" t="s">
        <v>32</v>
      </c>
      <c r="L291" s="24" t="s">
        <v>32</v>
      </c>
      <c r="M291" s="8"/>
    </row>
    <row r="292" spans="1:13" s="3" customFormat="1" ht="12" customHeight="1">
      <c r="A292" s="1" t="s">
        <v>223</v>
      </c>
      <c r="B292" s="2" t="s">
        <v>276</v>
      </c>
      <c r="C292" s="2" t="s">
        <v>224</v>
      </c>
      <c r="D292" s="2" t="s">
        <v>215</v>
      </c>
      <c r="E292" s="6">
        <v>2100</v>
      </c>
      <c r="F292" s="18">
        <v>8423.36</v>
      </c>
      <c r="G292" s="18">
        <v>1309.1500000000001</v>
      </c>
      <c r="H292" s="18">
        <v>18161.439999999999</v>
      </c>
      <c r="I292" s="18">
        <v>11.09</v>
      </c>
      <c r="J292" s="18"/>
      <c r="K292" s="18"/>
      <c r="L292" s="19">
        <f t="shared" ref="L292:L298" si="14">SUM(F292:K292)</f>
        <v>27905.039999999997</v>
      </c>
      <c r="M292" s="8"/>
    </row>
    <row r="293" spans="1:13" s="3" customFormat="1" ht="12" customHeight="1">
      <c r="A293" s="1" t="s">
        <v>225</v>
      </c>
      <c r="B293" s="2" t="s">
        <v>276</v>
      </c>
      <c r="C293" s="2" t="s">
        <v>226</v>
      </c>
      <c r="D293" s="2" t="s">
        <v>215</v>
      </c>
      <c r="E293" s="6">
        <v>2200</v>
      </c>
      <c r="F293" s="18">
        <v>2220</v>
      </c>
      <c r="G293" s="18">
        <v>349.49</v>
      </c>
      <c r="H293" s="18">
        <v>8009.87</v>
      </c>
      <c r="I293" s="18"/>
      <c r="J293" s="18">
        <v>2458.39</v>
      </c>
      <c r="K293" s="18"/>
      <c r="L293" s="19">
        <f t="shared" si="14"/>
        <v>13037.75</v>
      </c>
      <c r="M293" s="8"/>
    </row>
    <row r="294" spans="1:13" s="3" customFormat="1" ht="12" customHeight="1">
      <c r="A294" s="1" t="s">
        <v>227</v>
      </c>
      <c r="B294" s="2" t="s">
        <v>276</v>
      </c>
      <c r="C294" s="2" t="s">
        <v>228</v>
      </c>
      <c r="D294" s="2" t="s">
        <v>215</v>
      </c>
      <c r="E294" s="6">
        <v>2300</v>
      </c>
      <c r="F294" s="18">
        <v>8677.2999999999993</v>
      </c>
      <c r="G294" s="18">
        <v>1453.77</v>
      </c>
      <c r="H294" s="18"/>
      <c r="I294" s="18"/>
      <c r="J294" s="18"/>
      <c r="K294" s="18"/>
      <c r="L294" s="19">
        <f t="shared" si="14"/>
        <v>10131.07</v>
      </c>
      <c r="M294" s="8"/>
    </row>
    <row r="295" spans="1:13" s="3" customFormat="1" ht="12" customHeight="1">
      <c r="A295" s="1" t="s">
        <v>229</v>
      </c>
      <c r="B295" s="2" t="s">
        <v>276</v>
      </c>
      <c r="C295" s="2" t="s">
        <v>230</v>
      </c>
      <c r="D295" s="2" t="s">
        <v>215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>
      <c r="A296" s="1" t="s">
        <v>231</v>
      </c>
      <c r="B296" s="2" t="s">
        <v>276</v>
      </c>
      <c r="C296" s="2" t="s">
        <v>232</v>
      </c>
      <c r="D296" s="2" t="s">
        <v>215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>
      <c r="A297" s="1" t="s">
        <v>233</v>
      </c>
      <c r="B297" s="2" t="s">
        <v>276</v>
      </c>
      <c r="C297" s="2" t="s">
        <v>234</v>
      </c>
      <c r="D297" s="2" t="s">
        <v>215</v>
      </c>
      <c r="E297" s="6">
        <v>2600</v>
      </c>
      <c r="F297" s="18"/>
      <c r="G297" s="18"/>
      <c r="H297" s="18">
        <v>79.040000000000006</v>
      </c>
      <c r="I297" s="18"/>
      <c r="J297" s="18"/>
      <c r="K297" s="18"/>
      <c r="L297" s="19">
        <f t="shared" si="14"/>
        <v>79.040000000000006</v>
      </c>
      <c r="M297" s="8"/>
    </row>
    <row r="298" spans="1:13" s="3" customFormat="1" ht="12" customHeight="1">
      <c r="A298" s="1" t="s">
        <v>235</v>
      </c>
      <c r="B298" s="2" t="s">
        <v>276</v>
      </c>
      <c r="C298" s="2" t="s">
        <v>236</v>
      </c>
      <c r="D298" s="2" t="s">
        <v>215</v>
      </c>
      <c r="E298" s="6">
        <v>2700</v>
      </c>
      <c r="F298" s="18"/>
      <c r="G298" s="18"/>
      <c r="H298" s="18">
        <v>4213.74</v>
      </c>
      <c r="I298" s="18"/>
      <c r="J298" s="18"/>
      <c r="K298" s="18"/>
      <c r="L298" s="19">
        <f t="shared" si="14"/>
        <v>4213.74</v>
      </c>
      <c r="M298" s="8"/>
    </row>
    <row r="299" spans="1:13" s="3" customFormat="1" ht="12" customHeight="1">
      <c r="A299" s="1" t="s">
        <v>237</v>
      </c>
      <c r="B299" s="2" t="s">
        <v>276</v>
      </c>
      <c r="C299" s="2" t="s">
        <v>238</v>
      </c>
      <c r="D299" s="2" t="s">
        <v>215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>
      <c r="A300" s="1" t="s">
        <v>239</v>
      </c>
      <c r="B300" s="2" t="s">
        <v>276</v>
      </c>
      <c r="C300" s="2" t="s">
        <v>240</v>
      </c>
      <c r="D300" s="2" t="s">
        <v>215</v>
      </c>
      <c r="E300" s="6">
        <v>2900</v>
      </c>
      <c r="F300" s="24" t="s">
        <v>32</v>
      </c>
      <c r="G300" s="24" t="s">
        <v>32</v>
      </c>
      <c r="H300" s="24" t="s">
        <v>32</v>
      </c>
      <c r="I300" s="24" t="s">
        <v>32</v>
      </c>
      <c r="J300" s="24" t="s">
        <v>32</v>
      </c>
      <c r="K300" s="24" t="s">
        <v>32</v>
      </c>
      <c r="L300" s="24" t="s">
        <v>32</v>
      </c>
      <c r="M300" s="8"/>
    </row>
    <row r="301" spans="1:13" s="3" customFormat="1" ht="12" customHeight="1" thickTop="1">
      <c r="A301" s="38" t="s">
        <v>245</v>
      </c>
      <c r="B301" s="39" t="s">
        <v>276</v>
      </c>
      <c r="C301" s="40">
        <v>14</v>
      </c>
      <c r="D301" s="39" t="s">
        <v>215</v>
      </c>
      <c r="E301" s="40"/>
      <c r="F301" s="42">
        <f t="shared" ref="F301:L301" si="15">SUM(F287:F300)</f>
        <v>454202.67</v>
      </c>
      <c r="G301" s="42">
        <f t="shared" si="15"/>
        <v>63820.5</v>
      </c>
      <c r="H301" s="42">
        <f t="shared" si="15"/>
        <v>58901.56</v>
      </c>
      <c r="I301" s="42">
        <f t="shared" si="15"/>
        <v>4205.2300000000005</v>
      </c>
      <c r="J301" s="42">
        <f t="shared" si="15"/>
        <v>8149.07</v>
      </c>
      <c r="K301" s="42">
        <f t="shared" si="15"/>
        <v>17.579999999999998</v>
      </c>
      <c r="L301" s="41">
        <f t="shared" si="15"/>
        <v>589296.61</v>
      </c>
      <c r="M301" s="8"/>
    </row>
    <row r="302" spans="1:13" s="3" customFormat="1" ht="12" customHeight="1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>
      <c r="A303" s="29" t="s">
        <v>274</v>
      </c>
      <c r="F303" s="176" t="s">
        <v>197</v>
      </c>
      <c r="G303" s="176" t="s">
        <v>198</v>
      </c>
      <c r="H303" s="176" t="s">
        <v>199</v>
      </c>
      <c r="I303" s="176" t="s">
        <v>200</v>
      </c>
      <c r="J303" s="176" t="s">
        <v>201</v>
      </c>
      <c r="K303" s="176" t="s">
        <v>202</v>
      </c>
    </row>
    <row r="304" spans="1:13" s="3" customFormat="1" ht="12" customHeight="1">
      <c r="A304" s="29" t="s">
        <v>246</v>
      </c>
      <c r="F304" s="103" t="s">
        <v>204</v>
      </c>
      <c r="G304" s="103" t="s">
        <v>205</v>
      </c>
      <c r="H304" s="103" t="s">
        <v>206</v>
      </c>
      <c r="I304" s="103" t="s">
        <v>207</v>
      </c>
      <c r="J304" s="103" t="s">
        <v>208</v>
      </c>
      <c r="K304" s="103" t="s">
        <v>209</v>
      </c>
      <c r="L304" s="103" t="s">
        <v>210</v>
      </c>
      <c r="M304" s="8"/>
    </row>
    <row r="305" spans="1:13" s="3" customFormat="1" ht="12" customHeight="1">
      <c r="A305" s="30" t="s">
        <v>247</v>
      </c>
      <c r="F305" s="24" t="s">
        <v>32</v>
      </c>
      <c r="G305" s="24" t="s">
        <v>32</v>
      </c>
      <c r="H305" s="24" t="s">
        <v>32</v>
      </c>
      <c r="I305" s="24" t="s">
        <v>32</v>
      </c>
      <c r="J305" s="24" t="s">
        <v>32</v>
      </c>
      <c r="K305" s="24" t="s">
        <v>32</v>
      </c>
      <c r="L305" s="24" t="s">
        <v>32</v>
      </c>
      <c r="M305" s="8"/>
    </row>
    <row r="306" spans="1:13" s="3" customFormat="1" ht="12" customHeight="1">
      <c r="A306" s="1" t="s">
        <v>212</v>
      </c>
      <c r="B306" s="2" t="s">
        <v>277</v>
      </c>
      <c r="C306" s="2" t="s">
        <v>214</v>
      </c>
      <c r="D306" s="2" t="s">
        <v>215</v>
      </c>
      <c r="E306" s="6">
        <v>1100</v>
      </c>
      <c r="F306" s="18">
        <v>2897.79</v>
      </c>
      <c r="G306" s="18">
        <v>336.81</v>
      </c>
      <c r="H306" s="18">
        <v>2892.99</v>
      </c>
      <c r="I306" s="18">
        <v>3860.17</v>
      </c>
      <c r="J306" s="18">
        <v>6838.07</v>
      </c>
      <c r="K306" s="18"/>
      <c r="L306" s="19">
        <f>SUM(F306:K306)</f>
        <v>16825.830000000002</v>
      </c>
      <c r="M306" s="8"/>
    </row>
    <row r="307" spans="1:13" s="3" customFormat="1" ht="12" customHeight="1">
      <c r="A307" s="1" t="s">
        <v>216</v>
      </c>
      <c r="B307" s="2" t="s">
        <v>277</v>
      </c>
      <c r="C307" s="2" t="s">
        <v>217</v>
      </c>
      <c r="D307" s="2" t="s">
        <v>215</v>
      </c>
      <c r="E307" s="6">
        <v>1200</v>
      </c>
      <c r="F307" s="18">
        <v>1170929.1000000001</v>
      </c>
      <c r="G307" s="18">
        <v>178596.75</v>
      </c>
      <c r="H307" s="18">
        <v>58509.599999999999</v>
      </c>
      <c r="I307" s="18">
        <v>31679.63</v>
      </c>
      <c r="J307" s="18">
        <v>10262.549999999999</v>
      </c>
      <c r="K307" s="18">
        <v>519.19000000000005</v>
      </c>
      <c r="L307" s="19">
        <f>SUM(F307:K307)</f>
        <v>1450496.82</v>
      </c>
      <c r="M307" s="8"/>
    </row>
    <row r="308" spans="1:13" s="3" customFormat="1" ht="12" customHeight="1">
      <c r="A308" s="1" t="s">
        <v>218</v>
      </c>
      <c r="B308" s="2" t="s">
        <v>277</v>
      </c>
      <c r="C308" s="2" t="s">
        <v>219</v>
      </c>
      <c r="D308" s="2" t="s">
        <v>215</v>
      </c>
      <c r="E308" s="6">
        <v>1300</v>
      </c>
      <c r="F308" s="18">
        <v>27575.72</v>
      </c>
      <c r="G308" s="18">
        <v>2230.89</v>
      </c>
      <c r="H308" s="18">
        <v>1519.87</v>
      </c>
      <c r="I308" s="18"/>
      <c r="J308" s="18"/>
      <c r="K308" s="18">
        <v>1000.5</v>
      </c>
      <c r="L308" s="19">
        <f>SUM(F308:K308)</f>
        <v>32326.98</v>
      </c>
      <c r="M308" s="8"/>
    </row>
    <row r="309" spans="1:13" s="3" customFormat="1" ht="12" customHeight="1">
      <c r="A309" s="1" t="s">
        <v>220</v>
      </c>
      <c r="B309" s="2" t="s">
        <v>277</v>
      </c>
      <c r="C309" s="2" t="s">
        <v>221</v>
      </c>
      <c r="D309" s="2" t="s">
        <v>215</v>
      </c>
      <c r="E309" s="6">
        <v>1400</v>
      </c>
      <c r="F309" s="18">
        <v>18766.75</v>
      </c>
      <c r="G309" s="18">
        <v>1989.11</v>
      </c>
      <c r="H309" s="18">
        <v>34040.410000000003</v>
      </c>
      <c r="I309" s="18">
        <v>12526.6</v>
      </c>
      <c r="J309" s="18">
        <v>741.3</v>
      </c>
      <c r="K309" s="18"/>
      <c r="L309" s="19">
        <f>SUM(F309:K309)</f>
        <v>68064.170000000013</v>
      </c>
      <c r="M309" s="8"/>
    </row>
    <row r="310" spans="1:13" s="3" customFormat="1" ht="12" customHeight="1">
      <c r="A310" s="30" t="s">
        <v>222</v>
      </c>
      <c r="C310" s="23"/>
      <c r="E310" s="6"/>
      <c r="F310" s="24" t="s">
        <v>32</v>
      </c>
      <c r="G310" s="24" t="s">
        <v>32</v>
      </c>
      <c r="H310" s="24" t="s">
        <v>32</v>
      </c>
      <c r="I310" s="24" t="s">
        <v>32</v>
      </c>
      <c r="J310" s="24" t="s">
        <v>32</v>
      </c>
      <c r="K310" s="24" t="s">
        <v>32</v>
      </c>
      <c r="L310" s="24" t="s">
        <v>32</v>
      </c>
      <c r="M310" s="8"/>
    </row>
    <row r="311" spans="1:13" s="3" customFormat="1" ht="12" customHeight="1">
      <c r="A311" s="1" t="s">
        <v>223</v>
      </c>
      <c r="B311" s="2" t="s">
        <v>277</v>
      </c>
      <c r="C311" s="2" t="s">
        <v>224</v>
      </c>
      <c r="D311" s="2" t="s">
        <v>215</v>
      </c>
      <c r="E311" s="6">
        <v>2100</v>
      </c>
      <c r="F311" s="18">
        <v>244140.47</v>
      </c>
      <c r="G311" s="18">
        <v>27790.91</v>
      </c>
      <c r="H311" s="18">
        <v>35726.160000000003</v>
      </c>
      <c r="I311" s="18">
        <v>49069.35</v>
      </c>
      <c r="J311" s="18"/>
      <c r="K311" s="18"/>
      <c r="L311" s="19">
        <f t="shared" ref="L311:L317" si="16">SUM(F311:K311)</f>
        <v>356726.89</v>
      </c>
      <c r="M311" s="8"/>
    </row>
    <row r="312" spans="1:13" s="3" customFormat="1" ht="12" customHeight="1">
      <c r="A312" s="1" t="s">
        <v>225</v>
      </c>
      <c r="B312" s="2" t="s">
        <v>277</v>
      </c>
      <c r="C312" s="2" t="s">
        <v>226</v>
      </c>
      <c r="D312" s="2" t="s">
        <v>215</v>
      </c>
      <c r="E312" s="6">
        <v>2200</v>
      </c>
      <c r="F312" s="18">
        <v>5004</v>
      </c>
      <c r="G312" s="18">
        <v>787.77</v>
      </c>
      <c r="H312" s="18">
        <v>3149.27</v>
      </c>
      <c r="I312" s="18">
        <v>47.58</v>
      </c>
      <c r="J312" s="18">
        <v>14970.77</v>
      </c>
      <c r="K312" s="18">
        <v>2878.23</v>
      </c>
      <c r="L312" s="19">
        <f t="shared" si="16"/>
        <v>26837.62</v>
      </c>
      <c r="M312" s="8"/>
    </row>
    <row r="313" spans="1:13" s="3" customFormat="1" ht="12" customHeight="1">
      <c r="A313" s="1" t="s">
        <v>227</v>
      </c>
      <c r="B313" s="2" t="s">
        <v>277</v>
      </c>
      <c r="C313" s="2" t="s">
        <v>228</v>
      </c>
      <c r="D313" s="2" t="s">
        <v>215</v>
      </c>
      <c r="E313" s="6">
        <v>2300</v>
      </c>
      <c r="F313" s="18">
        <v>100681.72</v>
      </c>
      <c r="G313" s="18">
        <v>16690.91</v>
      </c>
      <c r="H313" s="18"/>
      <c r="I313" s="18"/>
      <c r="J313" s="18"/>
      <c r="K313" s="18"/>
      <c r="L313" s="19">
        <f t="shared" si="16"/>
        <v>117372.63</v>
      </c>
      <c r="M313" s="8"/>
    </row>
    <row r="314" spans="1:13" s="3" customFormat="1" ht="12" customHeight="1">
      <c r="A314" s="1" t="s">
        <v>229</v>
      </c>
      <c r="B314" s="2" t="s">
        <v>277</v>
      </c>
      <c r="C314" s="2" t="s">
        <v>230</v>
      </c>
      <c r="D314" s="2" t="s">
        <v>215</v>
      </c>
      <c r="E314" s="6">
        <v>2400</v>
      </c>
      <c r="F314" s="18">
        <v>83070.94</v>
      </c>
      <c r="G314" s="18">
        <v>13041.84</v>
      </c>
      <c r="H314" s="18">
        <v>1221.07</v>
      </c>
      <c r="I314" s="18"/>
      <c r="J314" s="18"/>
      <c r="K314" s="18"/>
      <c r="L314" s="19">
        <f t="shared" si="16"/>
        <v>97333.85</v>
      </c>
      <c r="M314" s="8"/>
    </row>
    <row r="315" spans="1:13" s="3" customFormat="1" ht="12" customHeight="1">
      <c r="A315" s="1" t="s">
        <v>231</v>
      </c>
      <c r="B315" s="2" t="s">
        <v>277</v>
      </c>
      <c r="C315" s="2" t="s">
        <v>232</v>
      </c>
      <c r="D315" s="2" t="s">
        <v>215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>
      <c r="A316" s="1" t="s">
        <v>233</v>
      </c>
      <c r="B316" s="2" t="s">
        <v>277</v>
      </c>
      <c r="C316" s="2" t="s">
        <v>234</v>
      </c>
      <c r="D316" s="2" t="s">
        <v>215</v>
      </c>
      <c r="E316" s="6">
        <v>2600</v>
      </c>
      <c r="F316" s="18">
        <v>28446.59</v>
      </c>
      <c r="G316" s="18">
        <v>4587.7299999999996</v>
      </c>
      <c r="H316" s="18">
        <v>2957.95</v>
      </c>
      <c r="I316" s="18">
        <v>28065.72</v>
      </c>
      <c r="J316" s="18"/>
      <c r="K316" s="18"/>
      <c r="L316" s="19">
        <f t="shared" si="16"/>
        <v>64057.99</v>
      </c>
      <c r="M316" s="8"/>
    </row>
    <row r="317" spans="1:13" s="3" customFormat="1" ht="12" customHeight="1">
      <c r="A317" s="1" t="s">
        <v>235</v>
      </c>
      <c r="B317" s="2" t="s">
        <v>277</v>
      </c>
      <c r="C317" s="2" t="s">
        <v>236</v>
      </c>
      <c r="D317" s="2" t="s">
        <v>215</v>
      </c>
      <c r="E317" s="6">
        <v>2700</v>
      </c>
      <c r="F317" s="18"/>
      <c r="G317" s="18"/>
      <c r="H317" s="18">
        <v>13382.2</v>
      </c>
      <c r="I317" s="18"/>
      <c r="J317" s="18"/>
      <c r="K317" s="18"/>
      <c r="L317" s="19">
        <f t="shared" si="16"/>
        <v>13382.2</v>
      </c>
      <c r="M317" s="8"/>
    </row>
    <row r="318" spans="1:13" s="3" customFormat="1" ht="12" customHeight="1">
      <c r="A318" s="1" t="s">
        <v>237</v>
      </c>
      <c r="B318" s="2" t="s">
        <v>277</v>
      </c>
      <c r="C318" s="2" t="s">
        <v>238</v>
      </c>
      <c r="D318" s="2" t="s">
        <v>215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>
      <c r="A319" s="1" t="s">
        <v>239</v>
      </c>
      <c r="B319" s="2" t="s">
        <v>277</v>
      </c>
      <c r="C319" s="2" t="s">
        <v>240</v>
      </c>
      <c r="D319" s="2" t="s">
        <v>215</v>
      </c>
      <c r="E319" s="6">
        <v>2900</v>
      </c>
      <c r="F319" s="24" t="s">
        <v>32</v>
      </c>
      <c r="G319" s="24" t="s">
        <v>32</v>
      </c>
      <c r="H319" s="24" t="s">
        <v>32</v>
      </c>
      <c r="I319" s="24" t="s">
        <v>32</v>
      </c>
      <c r="J319" s="24" t="s">
        <v>32</v>
      </c>
      <c r="K319" s="24" t="s">
        <v>32</v>
      </c>
      <c r="L319" s="24" t="s">
        <v>32</v>
      </c>
      <c r="M319" s="8"/>
    </row>
    <row r="320" spans="1:13" s="3" customFormat="1" ht="12" customHeight="1" thickTop="1">
      <c r="A320" s="38" t="s">
        <v>249</v>
      </c>
      <c r="B320" s="39" t="s">
        <v>277</v>
      </c>
      <c r="C320" s="40">
        <v>14</v>
      </c>
      <c r="D320" s="39" t="s">
        <v>215</v>
      </c>
      <c r="E320" s="40"/>
      <c r="F320" s="42">
        <f t="shared" ref="F320:L320" si="17">SUM(F306:F319)</f>
        <v>1681513.08</v>
      </c>
      <c r="G320" s="42">
        <f t="shared" si="17"/>
        <v>246052.72</v>
      </c>
      <c r="H320" s="42">
        <f t="shared" si="17"/>
        <v>153399.52000000002</v>
      </c>
      <c r="I320" s="42">
        <f t="shared" si="17"/>
        <v>125249.05</v>
      </c>
      <c r="J320" s="42">
        <f t="shared" si="17"/>
        <v>32812.69</v>
      </c>
      <c r="K320" s="42">
        <f t="shared" si="17"/>
        <v>4397.92</v>
      </c>
      <c r="L320" s="41">
        <f t="shared" si="17"/>
        <v>2243424.9800000004</v>
      </c>
      <c r="M320" s="8"/>
    </row>
    <row r="321" spans="1:13" s="3" customFormat="1" ht="12" customHeight="1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>
      <c r="A322" s="29" t="s">
        <v>278</v>
      </c>
      <c r="B322" s="2"/>
      <c r="C322" s="6"/>
      <c r="D322" s="6"/>
      <c r="E322" s="6"/>
      <c r="F322" s="176" t="s">
        <v>197</v>
      </c>
      <c r="G322" s="176" t="s">
        <v>198</v>
      </c>
      <c r="H322" s="176" t="s">
        <v>199</v>
      </c>
      <c r="I322" s="176" t="s">
        <v>200</v>
      </c>
      <c r="J322" s="176" t="s">
        <v>201</v>
      </c>
      <c r="K322" s="176" t="s">
        <v>202</v>
      </c>
      <c r="L322" s="19"/>
      <c r="M322" s="8"/>
    </row>
    <row r="323" spans="1:13" s="3" customFormat="1" ht="12" customHeight="1">
      <c r="A323" s="29" t="s">
        <v>279</v>
      </c>
      <c r="F323" s="103" t="s">
        <v>204</v>
      </c>
      <c r="G323" s="103" t="s">
        <v>205</v>
      </c>
      <c r="H323" s="103" t="s">
        <v>206</v>
      </c>
      <c r="I323" s="103" t="s">
        <v>207</v>
      </c>
      <c r="J323" s="103" t="s">
        <v>208</v>
      </c>
      <c r="K323" s="103" t="s">
        <v>209</v>
      </c>
      <c r="L323" s="103" t="s">
        <v>210</v>
      </c>
      <c r="M323" s="8"/>
    </row>
    <row r="324" spans="1:13" s="3" customFormat="1" ht="12" customHeight="1">
      <c r="A324" s="1" t="s">
        <v>251</v>
      </c>
      <c r="B324" s="6">
        <v>14</v>
      </c>
      <c r="C324" s="2" t="s">
        <v>34</v>
      </c>
      <c r="D324" s="2" t="s">
        <v>215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>
      <c r="A325" s="1" t="s">
        <v>253</v>
      </c>
      <c r="B325" s="6">
        <v>14</v>
      </c>
      <c r="C325" s="2" t="s">
        <v>78</v>
      </c>
      <c r="D325" s="2" t="s">
        <v>215</v>
      </c>
      <c r="E325" s="6">
        <v>1600</v>
      </c>
      <c r="F325" s="18">
        <v>33891</v>
      </c>
      <c r="G325" s="18">
        <v>2682.69</v>
      </c>
      <c r="H325" s="18">
        <v>9263.15</v>
      </c>
      <c r="I325" s="18">
        <v>8964.7999999999993</v>
      </c>
      <c r="J325" s="18"/>
      <c r="K325" s="18"/>
      <c r="L325" s="19">
        <f t="shared" si="18"/>
        <v>54801.64</v>
      </c>
      <c r="M325" s="8"/>
    </row>
    <row r="326" spans="1:13" s="3" customFormat="1" ht="12" customHeight="1">
      <c r="A326" s="1" t="s">
        <v>254</v>
      </c>
      <c r="B326" s="6">
        <v>14</v>
      </c>
      <c r="C326" s="2" t="s">
        <v>98</v>
      </c>
      <c r="D326" s="2" t="s">
        <v>215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>
      <c r="A327" s="1" t="s">
        <v>255</v>
      </c>
      <c r="B327" s="6">
        <v>14</v>
      </c>
      <c r="C327" s="2" t="s">
        <v>124</v>
      </c>
      <c r="D327" s="2" t="s">
        <v>215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>
      <c r="A328" s="1" t="s">
        <v>257</v>
      </c>
      <c r="B328" s="6">
        <v>14</v>
      </c>
      <c r="C328" s="37">
        <v>5</v>
      </c>
      <c r="D328" s="2" t="s">
        <v>215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>
      <c r="A329" s="50" t="s">
        <v>280</v>
      </c>
      <c r="B329" s="40">
        <v>14</v>
      </c>
      <c r="C329" s="51">
        <v>6</v>
      </c>
      <c r="D329" s="48" t="s">
        <v>215</v>
      </c>
      <c r="E329" s="51"/>
      <c r="F329" s="41">
        <f t="shared" ref="F329:K329" si="19">SUM(F324:F328)</f>
        <v>33891</v>
      </c>
      <c r="G329" s="41">
        <f t="shared" si="19"/>
        <v>2682.69</v>
      </c>
      <c r="H329" s="41">
        <f t="shared" si="19"/>
        <v>9263.15</v>
      </c>
      <c r="I329" s="41">
        <f t="shared" si="19"/>
        <v>8964.7999999999993</v>
      </c>
      <c r="J329" s="41">
        <f t="shared" si="19"/>
        <v>0</v>
      </c>
      <c r="K329" s="41">
        <f t="shared" si="19"/>
        <v>0</v>
      </c>
      <c r="L329" s="41">
        <f t="shared" si="18"/>
        <v>54801.64</v>
      </c>
      <c r="M329" s="8"/>
    </row>
    <row r="330" spans="1:13" s="3" customFormat="1" ht="12" customHeight="1" thickTop="1">
      <c r="A330" s="38" t="s">
        <v>281</v>
      </c>
      <c r="B330" s="40">
        <v>14</v>
      </c>
      <c r="C330" s="40">
        <v>7</v>
      </c>
      <c r="D330" s="39" t="s">
        <v>215</v>
      </c>
      <c r="E330" s="40"/>
      <c r="F330" s="41">
        <f t="shared" ref="F330:L330" si="20">F282+F301+F320+F329</f>
        <v>3297860.4699999997</v>
      </c>
      <c r="G330" s="41">
        <f t="shared" si="20"/>
        <v>500559.89999999997</v>
      </c>
      <c r="H330" s="41">
        <f t="shared" si="20"/>
        <v>456011.53</v>
      </c>
      <c r="I330" s="41">
        <f t="shared" si="20"/>
        <v>175492.97</v>
      </c>
      <c r="J330" s="41">
        <f t="shared" si="20"/>
        <v>70593.83</v>
      </c>
      <c r="K330" s="41">
        <f t="shared" si="20"/>
        <v>4453.3100000000004</v>
      </c>
      <c r="L330" s="41">
        <f t="shared" si="20"/>
        <v>4504972.0100000007</v>
      </c>
      <c r="M330" s="8"/>
    </row>
    <row r="331" spans="1:13" s="3" customFormat="1" ht="12" customHeight="1">
      <c r="A331" s="29" t="s">
        <v>260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>
      <c r="A332" s="30" t="s">
        <v>262</v>
      </c>
      <c r="E332" s="6">
        <v>5100</v>
      </c>
      <c r="F332" s="24" t="s">
        <v>32</v>
      </c>
      <c r="G332" s="24" t="s">
        <v>32</v>
      </c>
      <c r="H332" s="24" t="s">
        <v>32</v>
      </c>
      <c r="I332" s="24" t="s">
        <v>32</v>
      </c>
      <c r="J332" s="24" t="s">
        <v>32</v>
      </c>
      <c r="K332" s="24" t="s">
        <v>32</v>
      </c>
      <c r="L332" s="24" t="s">
        <v>32</v>
      </c>
      <c r="M332" s="8"/>
    </row>
    <row r="333" spans="1:13" s="3" customFormat="1" ht="12" customHeight="1">
      <c r="A333" s="1" t="s">
        <v>174</v>
      </c>
      <c r="B333" s="6">
        <v>14</v>
      </c>
      <c r="C333" s="37">
        <v>8</v>
      </c>
      <c r="E333" s="6">
        <v>5100</v>
      </c>
      <c r="F333" s="24" t="s">
        <v>32</v>
      </c>
      <c r="G333" s="24" t="s">
        <v>32</v>
      </c>
      <c r="H333" s="24" t="s">
        <v>32</v>
      </c>
      <c r="I333" s="24" t="s">
        <v>32</v>
      </c>
      <c r="J333" s="24" t="s">
        <v>32</v>
      </c>
      <c r="K333" s="18"/>
      <c r="L333" s="19">
        <f>SUM(F333:K333)</f>
        <v>0</v>
      </c>
      <c r="M333" s="8"/>
    </row>
    <row r="334" spans="1:13" s="3" customFormat="1" ht="12" customHeight="1">
      <c r="A334" s="1" t="s">
        <v>263</v>
      </c>
      <c r="B334" s="6">
        <v>14</v>
      </c>
      <c r="C334" s="37">
        <v>9</v>
      </c>
      <c r="E334" s="6">
        <v>5120</v>
      </c>
      <c r="F334" s="24" t="s">
        <v>32</v>
      </c>
      <c r="G334" s="24" t="s">
        <v>32</v>
      </c>
      <c r="H334" s="24" t="s">
        <v>32</v>
      </c>
      <c r="I334" s="24" t="s">
        <v>32</v>
      </c>
      <c r="J334" s="24" t="s">
        <v>32</v>
      </c>
      <c r="K334" s="18"/>
      <c r="L334" s="19">
        <f>SUM(F334:K334)</f>
        <v>0</v>
      </c>
      <c r="M334" s="8"/>
    </row>
    <row r="335" spans="1:13" s="3" customFormat="1" ht="12" customHeight="1">
      <c r="A335" s="27" t="s">
        <v>264</v>
      </c>
      <c r="B335" s="6">
        <v>14</v>
      </c>
      <c r="E335" s="6">
        <v>5200</v>
      </c>
      <c r="F335" s="24" t="s">
        <v>32</v>
      </c>
      <c r="G335" s="24" t="s">
        <v>32</v>
      </c>
      <c r="H335" s="24" t="s">
        <v>32</v>
      </c>
      <c r="I335" s="24" t="s">
        <v>32</v>
      </c>
      <c r="J335" s="24" t="s">
        <v>32</v>
      </c>
      <c r="K335" s="24" t="s">
        <v>32</v>
      </c>
      <c r="L335" s="24" t="s">
        <v>32</v>
      </c>
      <c r="M335" s="8"/>
    </row>
    <row r="336" spans="1:13" s="3" customFormat="1" ht="12" customHeight="1">
      <c r="A336" s="3" t="s">
        <v>282</v>
      </c>
      <c r="B336" s="6">
        <v>14</v>
      </c>
      <c r="C336" s="6">
        <v>10</v>
      </c>
      <c r="D336" s="2" t="s">
        <v>215</v>
      </c>
      <c r="E336" s="6">
        <v>5210</v>
      </c>
      <c r="F336" s="24" t="s">
        <v>32</v>
      </c>
      <c r="G336" s="24" t="s">
        <v>32</v>
      </c>
      <c r="H336" s="24" t="s">
        <v>32</v>
      </c>
      <c r="I336" s="24" t="s">
        <v>32</v>
      </c>
      <c r="J336" s="24" t="s">
        <v>32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>
      <c r="A337" s="1" t="s">
        <v>283</v>
      </c>
      <c r="B337" s="6">
        <v>14</v>
      </c>
      <c r="C337" s="6">
        <v>11</v>
      </c>
      <c r="D337" s="2" t="s">
        <v>215</v>
      </c>
      <c r="E337" s="6">
        <v>5221</v>
      </c>
      <c r="F337" s="24" t="s">
        <v>32</v>
      </c>
      <c r="G337" s="24" t="s">
        <v>32</v>
      </c>
      <c r="H337" s="24" t="s">
        <v>32</v>
      </c>
      <c r="I337" s="24" t="s">
        <v>32</v>
      </c>
      <c r="J337" s="24" t="s">
        <v>32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>
      <c r="A338" s="1" t="s">
        <v>284</v>
      </c>
      <c r="B338" s="6">
        <v>14</v>
      </c>
      <c r="C338" s="6">
        <v>12</v>
      </c>
      <c r="D338" s="2" t="s">
        <v>215</v>
      </c>
      <c r="E338" s="6">
        <v>5230</v>
      </c>
      <c r="F338" s="24" t="s">
        <v>32</v>
      </c>
      <c r="G338" s="24" t="s">
        <v>32</v>
      </c>
      <c r="H338" s="24" t="s">
        <v>32</v>
      </c>
      <c r="I338" s="24" t="s">
        <v>32</v>
      </c>
      <c r="J338" s="24" t="s">
        <v>32</v>
      </c>
      <c r="K338" s="18"/>
      <c r="L338" s="19">
        <f t="shared" si="21"/>
        <v>0</v>
      </c>
      <c r="M338" s="8"/>
    </row>
    <row r="339" spans="1:43" s="3" customFormat="1" ht="12" customHeight="1">
      <c r="A339" s="3" t="s">
        <v>285</v>
      </c>
      <c r="B339" s="6">
        <v>14</v>
      </c>
      <c r="C339" s="6">
        <v>13</v>
      </c>
      <c r="D339" s="2" t="s">
        <v>215</v>
      </c>
      <c r="E339" s="6">
        <v>5250</v>
      </c>
      <c r="F339" s="24" t="s">
        <v>32</v>
      </c>
      <c r="G339" s="24" t="s">
        <v>32</v>
      </c>
      <c r="H339" s="24" t="s">
        <v>32</v>
      </c>
      <c r="I339" s="24" t="s">
        <v>32</v>
      </c>
      <c r="J339" s="24" t="s">
        <v>32</v>
      </c>
      <c r="K339" s="18"/>
      <c r="L339" s="19">
        <f t="shared" si="21"/>
        <v>0</v>
      </c>
      <c r="M339" s="8"/>
    </row>
    <row r="340" spans="1:43" s="3" customFormat="1" ht="12" customHeight="1">
      <c r="A340" s="27" t="s">
        <v>269</v>
      </c>
      <c r="B340" s="2"/>
      <c r="C340" s="6"/>
      <c r="D340" s="6"/>
      <c r="E340" s="6">
        <v>5300</v>
      </c>
      <c r="F340" s="24" t="s">
        <v>32</v>
      </c>
      <c r="G340" s="24" t="s">
        <v>32</v>
      </c>
      <c r="H340" s="24" t="s">
        <v>32</v>
      </c>
      <c r="I340" s="24" t="s">
        <v>32</v>
      </c>
      <c r="J340" s="24" t="s">
        <v>32</v>
      </c>
      <c r="K340" s="24" t="s">
        <v>32</v>
      </c>
      <c r="L340" s="24" t="s">
        <v>32</v>
      </c>
      <c r="M340" s="8"/>
    </row>
    <row r="341" spans="1:43" s="3" customFormat="1" ht="12" customHeight="1">
      <c r="A341" s="1" t="s">
        <v>270</v>
      </c>
      <c r="B341" s="6">
        <v>14</v>
      </c>
      <c r="C341" s="6">
        <v>14</v>
      </c>
      <c r="D341" s="2" t="s">
        <v>215</v>
      </c>
      <c r="E341" s="6">
        <v>5310</v>
      </c>
      <c r="F341" s="24" t="s">
        <v>32</v>
      </c>
      <c r="G341" s="24" t="s">
        <v>32</v>
      </c>
      <c r="H341" s="24" t="s">
        <v>32</v>
      </c>
      <c r="I341" s="24" t="s">
        <v>32</v>
      </c>
      <c r="J341" s="24" t="s">
        <v>32</v>
      </c>
      <c r="K341" s="18"/>
      <c r="L341" s="19">
        <f t="shared" si="21"/>
        <v>0</v>
      </c>
      <c r="M341" s="8"/>
    </row>
    <row r="342" spans="1:43" s="3" customFormat="1" ht="12" customHeight="1" thickBot="1">
      <c r="A342" s="1" t="s">
        <v>271</v>
      </c>
      <c r="B342" s="6">
        <v>14</v>
      </c>
      <c r="C342" s="37">
        <v>15</v>
      </c>
      <c r="D342" s="2" t="s">
        <v>215</v>
      </c>
      <c r="E342" s="6">
        <v>5390</v>
      </c>
      <c r="F342" s="24" t="s">
        <v>32</v>
      </c>
      <c r="G342" s="24" t="s">
        <v>32</v>
      </c>
      <c r="H342" s="24" t="s">
        <v>32</v>
      </c>
      <c r="I342" s="24" t="s">
        <v>32</v>
      </c>
      <c r="J342" s="24" t="s">
        <v>32</v>
      </c>
      <c r="K342" s="18"/>
      <c r="L342" s="19">
        <f t="shared" si="21"/>
        <v>0</v>
      </c>
      <c r="M342" s="8"/>
    </row>
    <row r="343" spans="1:43" s="3" customFormat="1" ht="12" customHeight="1" thickTop="1" thickBot="1">
      <c r="A343" s="46" t="s">
        <v>272</v>
      </c>
      <c r="B343" s="40">
        <v>14</v>
      </c>
      <c r="C343" s="51">
        <v>16</v>
      </c>
      <c r="D343" s="39" t="s">
        <v>215</v>
      </c>
      <c r="E343" s="40"/>
      <c r="F343" s="45" t="s">
        <v>32</v>
      </c>
      <c r="G343" s="45" t="s">
        <v>32</v>
      </c>
      <c r="H343" s="45" t="s">
        <v>32</v>
      </c>
      <c r="I343" s="45" t="s">
        <v>32</v>
      </c>
      <c r="J343" s="45" t="s">
        <v>32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>
      <c r="A344" s="38" t="s">
        <v>286</v>
      </c>
      <c r="B344" s="40">
        <v>14</v>
      </c>
      <c r="C344" s="40">
        <v>17</v>
      </c>
      <c r="D344" s="39" t="s">
        <v>215</v>
      </c>
      <c r="E344" s="40"/>
      <c r="F344" s="41">
        <f>F330</f>
        <v>3297860.4699999997</v>
      </c>
      <c r="G344" s="41">
        <f>G330</f>
        <v>500559.89999999997</v>
      </c>
      <c r="H344" s="41">
        <f>H330</f>
        <v>456011.53</v>
      </c>
      <c r="I344" s="41">
        <f>I330</f>
        <v>175492.97</v>
      </c>
      <c r="J344" s="41">
        <f>J330</f>
        <v>70593.83</v>
      </c>
      <c r="K344" s="47">
        <f>K330+K343</f>
        <v>4453.3100000000004</v>
      </c>
      <c r="L344" s="41">
        <f>L330+L343</f>
        <v>4504972.0100000007</v>
      </c>
      <c r="M344" s="8"/>
    </row>
    <row r="345" spans="1:43" s="3" customFormat="1" ht="12" customHeight="1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>
      <c r="A346" s="54"/>
      <c r="B346" s="52"/>
      <c r="C346" s="52"/>
      <c r="D346" s="52"/>
      <c r="E346" s="52"/>
      <c r="F346" s="176" t="s">
        <v>197</v>
      </c>
      <c r="G346" s="176" t="s">
        <v>198</v>
      </c>
      <c r="H346" s="176" t="s">
        <v>199</v>
      </c>
      <c r="I346" s="176" t="s">
        <v>200</v>
      </c>
      <c r="J346" s="176" t="s">
        <v>201</v>
      </c>
      <c r="K346" s="176" t="s">
        <v>202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>
      <c r="A347" s="29" t="s">
        <v>25</v>
      </c>
      <c r="F347" s="103" t="s">
        <v>204</v>
      </c>
      <c r="G347" s="103" t="s">
        <v>205</v>
      </c>
      <c r="H347" s="103" t="s">
        <v>206</v>
      </c>
      <c r="I347" s="103" t="s">
        <v>207</v>
      </c>
      <c r="J347" s="103" t="s">
        <v>208</v>
      </c>
      <c r="K347" s="103" t="s">
        <v>209</v>
      </c>
      <c r="L347" s="103" t="s">
        <v>210</v>
      </c>
      <c r="M347" s="8"/>
    </row>
    <row r="348" spans="1:43" s="3" customFormat="1" ht="12" customHeight="1">
      <c r="A348" s="27" t="s">
        <v>287</v>
      </c>
      <c r="B348" s="7"/>
      <c r="C348" s="7"/>
      <c r="D348" s="7"/>
      <c r="E348" s="6">
        <v>3000</v>
      </c>
      <c r="F348" s="24" t="s">
        <v>32</v>
      </c>
      <c r="G348" s="24" t="s">
        <v>32</v>
      </c>
      <c r="H348" s="24" t="s">
        <v>32</v>
      </c>
      <c r="I348" s="24" t="s">
        <v>32</v>
      </c>
      <c r="J348" s="24" t="s">
        <v>32</v>
      </c>
      <c r="K348" s="24" t="s">
        <v>32</v>
      </c>
      <c r="L348" s="24" t="s">
        <v>32</v>
      </c>
      <c r="M348" s="8"/>
    </row>
    <row r="349" spans="1:43" s="3" customFormat="1" ht="12" customHeight="1">
      <c r="A349" s="30" t="s">
        <v>288</v>
      </c>
      <c r="B349" s="2"/>
      <c r="C349" s="2"/>
      <c r="D349" s="2"/>
      <c r="E349" s="6">
        <v>3100</v>
      </c>
      <c r="F349" s="24" t="s">
        <v>32</v>
      </c>
      <c r="G349" s="24" t="s">
        <v>32</v>
      </c>
      <c r="H349" s="24" t="s">
        <v>32</v>
      </c>
      <c r="I349" s="24" t="s">
        <v>32</v>
      </c>
      <c r="J349" s="24" t="s">
        <v>32</v>
      </c>
      <c r="K349" s="24" t="s">
        <v>32</v>
      </c>
      <c r="L349" s="24" t="s">
        <v>32</v>
      </c>
      <c r="M349" s="8"/>
    </row>
    <row r="350" spans="1:43" s="3" customFormat="1" ht="12" customHeight="1">
      <c r="A350" s="3" t="s">
        <v>289</v>
      </c>
      <c r="B350" s="2" t="s">
        <v>290</v>
      </c>
      <c r="C350" s="6">
        <v>1</v>
      </c>
      <c r="D350" s="2" t="s">
        <v>215</v>
      </c>
      <c r="E350" s="6"/>
      <c r="F350" s="18">
        <v>157293.95000000001</v>
      </c>
      <c r="G350" s="18">
        <v>22349.59</v>
      </c>
      <c r="H350" s="18">
        <v>8364.4699999999993</v>
      </c>
      <c r="I350" s="18">
        <v>156077.56</v>
      </c>
      <c r="J350" s="18">
        <v>2871.5</v>
      </c>
      <c r="K350" s="18"/>
      <c r="L350" s="13">
        <f>SUM(F350:K350)</f>
        <v>346957.07</v>
      </c>
      <c r="M350" s="8"/>
    </row>
    <row r="351" spans="1:43" s="3" customFormat="1" ht="12" customHeight="1">
      <c r="A351" s="1" t="s">
        <v>291</v>
      </c>
      <c r="B351" s="2" t="s">
        <v>290</v>
      </c>
      <c r="C351" s="6">
        <v>2</v>
      </c>
      <c r="D351" s="2" t="s">
        <v>215</v>
      </c>
      <c r="E351" s="6"/>
      <c r="F351" s="18">
        <v>78829.850000000006</v>
      </c>
      <c r="G351" s="18">
        <v>10131.23</v>
      </c>
      <c r="H351" s="18">
        <v>3992.13</v>
      </c>
      <c r="I351" s="18">
        <v>74491.56</v>
      </c>
      <c r="J351" s="18">
        <v>1370.49</v>
      </c>
      <c r="K351" s="18"/>
      <c r="L351" s="19">
        <f>SUM(F351:K351)</f>
        <v>168815.26</v>
      </c>
      <c r="M351" s="8"/>
    </row>
    <row r="352" spans="1:43" ht="12" customHeight="1">
      <c r="A352" s="3" t="s">
        <v>292</v>
      </c>
      <c r="B352" s="2" t="s">
        <v>290</v>
      </c>
      <c r="C352" s="6">
        <v>3</v>
      </c>
      <c r="D352" s="2" t="s">
        <v>215</v>
      </c>
      <c r="E352" s="6"/>
      <c r="F352" s="18">
        <v>125110</v>
      </c>
      <c r="G352" s="18">
        <v>14617.38</v>
      </c>
      <c r="H352" s="18">
        <v>6653.55</v>
      </c>
      <c r="I352" s="18">
        <v>124152.6</v>
      </c>
      <c r="J352" s="18">
        <v>2284.16</v>
      </c>
      <c r="K352" s="18"/>
      <c r="L352" s="19">
        <f>SUM(F352:K352)</f>
        <v>272817.69</v>
      </c>
    </row>
    <row r="353" spans="1:13" s="3" customFormat="1" ht="12" customHeight="1" thickBot="1">
      <c r="A353" s="1" t="s">
        <v>293</v>
      </c>
      <c r="B353" s="2" t="s">
        <v>290</v>
      </c>
      <c r="C353" s="6">
        <v>4</v>
      </c>
      <c r="D353" s="2" t="s">
        <v>215</v>
      </c>
      <c r="E353" s="6">
        <v>5200</v>
      </c>
      <c r="F353" s="24" t="s">
        <v>32</v>
      </c>
      <c r="G353" s="24" t="s">
        <v>32</v>
      </c>
      <c r="H353" s="24" t="s">
        <v>32</v>
      </c>
      <c r="I353" s="24" t="s">
        <v>32</v>
      </c>
      <c r="J353" s="24" t="s">
        <v>32</v>
      </c>
      <c r="K353" s="18"/>
      <c r="L353" s="13">
        <f>SUM(F353:K353)</f>
        <v>0</v>
      </c>
      <c r="M353" s="8"/>
    </row>
    <row r="354" spans="1:13" s="3" customFormat="1" ht="12" customHeight="1" thickTop="1">
      <c r="A354" s="46" t="s">
        <v>286</v>
      </c>
      <c r="B354" s="39" t="s">
        <v>290</v>
      </c>
      <c r="C354" s="40">
        <v>5</v>
      </c>
      <c r="D354" s="39" t="s">
        <v>215</v>
      </c>
      <c r="E354" s="40"/>
      <c r="F354" s="47">
        <f t="shared" ref="F354:L354" si="22">SUM(F350:F353)</f>
        <v>361233.80000000005</v>
      </c>
      <c r="G354" s="47">
        <f t="shared" si="22"/>
        <v>47098.2</v>
      </c>
      <c r="H354" s="47">
        <f t="shared" si="22"/>
        <v>19010.149999999998</v>
      </c>
      <c r="I354" s="47">
        <f t="shared" si="22"/>
        <v>354721.72</v>
      </c>
      <c r="J354" s="47">
        <f t="shared" si="22"/>
        <v>6526.15</v>
      </c>
      <c r="K354" s="47">
        <f t="shared" si="22"/>
        <v>0</v>
      </c>
      <c r="L354" s="47">
        <f t="shared" si="22"/>
        <v>788590.02</v>
      </c>
      <c r="M354" s="8"/>
    </row>
    <row r="355" spans="1:13" s="3" customFormat="1" ht="12" customHeight="1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>
      <c r="A356" s="55" t="s">
        <v>294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>
      <c r="A357" s="55"/>
      <c r="B357" s="36"/>
      <c r="C357" s="37"/>
      <c r="D357" s="37"/>
      <c r="E357" s="37"/>
      <c r="F357" s="57" t="s">
        <v>6</v>
      </c>
      <c r="G357" s="57" t="s">
        <v>7</v>
      </c>
      <c r="H357" s="57" t="s">
        <v>8</v>
      </c>
      <c r="I357" s="57" t="s">
        <v>9</v>
      </c>
      <c r="J357" s="56"/>
      <c r="K357" s="56"/>
      <c r="L357" s="56"/>
      <c r="M357" s="8"/>
    </row>
    <row r="358" spans="1:13" s="3" customFormat="1" ht="12" customHeight="1">
      <c r="A358" s="55"/>
      <c r="B358" s="36"/>
      <c r="C358" s="37"/>
      <c r="D358" s="37"/>
      <c r="E358" s="37"/>
      <c r="F358" s="59" t="s">
        <v>295</v>
      </c>
      <c r="G358" s="60" t="s">
        <v>296</v>
      </c>
      <c r="H358" s="60" t="s">
        <v>297</v>
      </c>
      <c r="I358" s="60" t="s">
        <v>298</v>
      </c>
      <c r="J358" s="24" t="s">
        <v>32</v>
      </c>
      <c r="K358" s="24" t="s">
        <v>32</v>
      </c>
      <c r="L358" s="24" t="s">
        <v>32</v>
      </c>
      <c r="M358" s="8"/>
    </row>
    <row r="359" spans="1:13" s="3" customFormat="1" ht="12" customHeight="1">
      <c r="A359" s="58" t="s">
        <v>299</v>
      </c>
      <c r="B359" s="2" t="s">
        <v>290</v>
      </c>
      <c r="C359" s="2" t="s">
        <v>226</v>
      </c>
      <c r="D359" s="2" t="s">
        <v>300</v>
      </c>
      <c r="E359" s="2"/>
      <c r="F359" s="18">
        <v>143636.54</v>
      </c>
      <c r="G359" s="18">
        <v>68553.8</v>
      </c>
      <c r="H359" s="18">
        <v>114256.34</v>
      </c>
      <c r="I359" s="56">
        <f>SUM(F359:H359)</f>
        <v>326446.68000000005</v>
      </c>
      <c r="J359" s="24" t="s">
        <v>32</v>
      </c>
      <c r="K359" s="24" t="s">
        <v>32</v>
      </c>
      <c r="L359" s="24" t="s">
        <v>32</v>
      </c>
      <c r="M359" s="8"/>
    </row>
    <row r="360" spans="1:13" s="3" customFormat="1" ht="12" customHeight="1" thickBot="1">
      <c r="A360" s="61" t="s">
        <v>301</v>
      </c>
      <c r="B360" s="62" t="s">
        <v>290</v>
      </c>
      <c r="C360" s="62" t="s">
        <v>228</v>
      </c>
      <c r="D360" s="2" t="s">
        <v>300</v>
      </c>
      <c r="E360" s="62"/>
      <c r="F360" s="63">
        <v>12441.02</v>
      </c>
      <c r="G360" s="63">
        <v>5937.76</v>
      </c>
      <c r="H360" s="63">
        <v>9896.26</v>
      </c>
      <c r="I360" s="56">
        <f>SUM(F360:H360)</f>
        <v>28275.040000000001</v>
      </c>
      <c r="J360" s="24" t="s">
        <v>32</v>
      </c>
      <c r="K360" s="24" t="s">
        <v>32</v>
      </c>
      <c r="L360" s="24" t="s">
        <v>32</v>
      </c>
      <c r="M360" s="8"/>
    </row>
    <row r="361" spans="1:13" s="3" customFormat="1" ht="12" customHeight="1" thickTop="1">
      <c r="A361" s="34" t="s">
        <v>298</v>
      </c>
      <c r="B361" s="2" t="s">
        <v>290</v>
      </c>
      <c r="C361" s="2" t="s">
        <v>230</v>
      </c>
      <c r="D361" s="39" t="s">
        <v>300</v>
      </c>
      <c r="E361" s="2"/>
      <c r="F361" s="47">
        <f>SUM(F359:F360)</f>
        <v>156077.56</v>
      </c>
      <c r="G361" s="47">
        <f>SUM(G359:G360)</f>
        <v>74491.56</v>
      </c>
      <c r="H361" s="47">
        <f>SUM(H359:H360)</f>
        <v>124152.59999999999</v>
      </c>
      <c r="I361" s="47">
        <f>SUM(I359:I360)</f>
        <v>354721.72000000003</v>
      </c>
      <c r="J361" s="24" t="s">
        <v>32</v>
      </c>
      <c r="K361" s="24" t="s">
        <v>32</v>
      </c>
      <c r="L361" s="24" t="s">
        <v>32</v>
      </c>
      <c r="M361" s="8"/>
    </row>
    <row r="362" spans="1:13" s="3" customFormat="1" ht="12" customHeight="1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>
      <c r="A363" s="34" t="s">
        <v>27</v>
      </c>
      <c r="B363" s="2"/>
      <c r="C363" s="2"/>
      <c r="D363" s="2"/>
      <c r="E363" s="2"/>
      <c r="F363" s="176" t="s">
        <v>197</v>
      </c>
      <c r="G363" s="176" t="s">
        <v>198</v>
      </c>
      <c r="H363" s="176" t="s">
        <v>199</v>
      </c>
      <c r="I363" s="176" t="s">
        <v>200</v>
      </c>
      <c r="J363" s="176" t="s">
        <v>201</v>
      </c>
      <c r="K363" s="176" t="s">
        <v>202</v>
      </c>
      <c r="L363" s="13"/>
      <c r="M363" s="8"/>
    </row>
    <row r="364" spans="1:13" s="3" customFormat="1" ht="12" customHeight="1">
      <c r="A364" s="34" t="s">
        <v>302</v>
      </c>
      <c r="B364" s="2"/>
      <c r="C364" s="2"/>
      <c r="D364" s="2"/>
      <c r="E364" s="2"/>
      <c r="F364" s="103" t="s">
        <v>204</v>
      </c>
      <c r="G364" s="103" t="s">
        <v>205</v>
      </c>
      <c r="H364" s="103" t="s">
        <v>206</v>
      </c>
      <c r="I364" s="103" t="s">
        <v>207</v>
      </c>
      <c r="J364" s="103" t="s">
        <v>208</v>
      </c>
      <c r="K364" s="103" t="s">
        <v>209</v>
      </c>
      <c r="L364" s="103" t="s">
        <v>210</v>
      </c>
      <c r="M364" s="8"/>
    </row>
    <row r="365" spans="1:13" s="3" customFormat="1" ht="12" customHeight="1">
      <c r="A365" s="27" t="s">
        <v>303</v>
      </c>
      <c r="B365" s="2"/>
      <c r="C365" s="2"/>
      <c r="D365" s="2"/>
      <c r="E365" s="6">
        <v>4000</v>
      </c>
      <c r="F365" s="24" t="s">
        <v>32</v>
      </c>
      <c r="G365" s="24" t="s">
        <v>32</v>
      </c>
      <c r="H365" s="24" t="s">
        <v>32</v>
      </c>
      <c r="I365" s="24" t="s">
        <v>32</v>
      </c>
      <c r="J365" s="24" t="s">
        <v>32</v>
      </c>
      <c r="K365" s="24" t="s">
        <v>32</v>
      </c>
      <c r="L365" s="24" t="s">
        <v>32</v>
      </c>
      <c r="M365" s="8"/>
    </row>
    <row r="366" spans="1:13" s="3" customFormat="1" ht="12" customHeight="1">
      <c r="A366" s="1" t="s">
        <v>304</v>
      </c>
      <c r="B366" s="2" t="s">
        <v>290</v>
      </c>
      <c r="C366" s="2" t="s">
        <v>232</v>
      </c>
      <c r="D366" s="2" t="s">
        <v>215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>
      <c r="A367" s="1" t="s">
        <v>305</v>
      </c>
      <c r="B367" s="2" t="s">
        <v>290</v>
      </c>
      <c r="C367" s="2" t="s">
        <v>234</v>
      </c>
      <c r="D367" s="2" t="s">
        <v>215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>
      <c r="A368" s="1" t="s">
        <v>306</v>
      </c>
      <c r="B368" s="2" t="s">
        <v>290</v>
      </c>
      <c r="C368" s="2" t="s">
        <v>236</v>
      </c>
      <c r="D368" s="2" t="s">
        <v>215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>
      <c r="A369" s="1" t="s">
        <v>307</v>
      </c>
      <c r="B369" s="2" t="s">
        <v>290</v>
      </c>
      <c r="C369" s="2" t="s">
        <v>238</v>
      </c>
      <c r="D369" s="2" t="s">
        <v>215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>
      <c r="A370" s="1" t="s">
        <v>308</v>
      </c>
      <c r="B370" s="2" t="s">
        <v>290</v>
      </c>
      <c r="C370" s="2" t="s">
        <v>240</v>
      </c>
      <c r="D370" s="2" t="s">
        <v>215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>
      <c r="A371" s="1" t="s">
        <v>309</v>
      </c>
      <c r="B371" s="2" t="s">
        <v>290</v>
      </c>
      <c r="C371" s="2" t="s">
        <v>242</v>
      </c>
      <c r="D371" s="2" t="s">
        <v>215</v>
      </c>
      <c r="E371" s="6">
        <v>4600</v>
      </c>
      <c r="F371" s="18"/>
      <c r="G371" s="18"/>
      <c r="H371" s="18"/>
      <c r="I371" s="18"/>
      <c r="J371" s="18"/>
      <c r="K371" s="18"/>
      <c r="L371" s="13">
        <f t="shared" si="23"/>
        <v>0</v>
      </c>
      <c r="M371" s="8"/>
    </row>
    <row r="372" spans="1:13" s="3" customFormat="1" ht="12" customHeight="1">
      <c r="A372" s="1" t="s">
        <v>81</v>
      </c>
      <c r="B372" s="2" t="s">
        <v>290</v>
      </c>
      <c r="C372" s="2" t="s">
        <v>310</v>
      </c>
      <c r="D372" s="2" t="s">
        <v>215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>
      <c r="A373" s="1" t="s">
        <v>293</v>
      </c>
      <c r="B373" s="2" t="s">
        <v>290</v>
      </c>
      <c r="C373" s="2" t="s">
        <v>311</v>
      </c>
      <c r="D373" s="2" t="s">
        <v>215</v>
      </c>
      <c r="E373" s="6">
        <v>5200</v>
      </c>
      <c r="F373" s="24" t="s">
        <v>32</v>
      </c>
      <c r="G373" s="24" t="s">
        <v>32</v>
      </c>
      <c r="H373" s="24" t="s">
        <v>32</v>
      </c>
      <c r="I373" s="24" t="s">
        <v>32</v>
      </c>
      <c r="J373" s="24" t="s">
        <v>32</v>
      </c>
      <c r="K373" s="18"/>
      <c r="L373" s="13">
        <f t="shared" si="23"/>
        <v>0</v>
      </c>
      <c r="M373" s="8"/>
    </row>
    <row r="374" spans="1:13" s="3" customFormat="1" ht="12" customHeight="1" thickTop="1">
      <c r="A374" s="46" t="s">
        <v>286</v>
      </c>
      <c r="B374" s="39" t="s">
        <v>290</v>
      </c>
      <c r="C374" s="39" t="s">
        <v>312</v>
      </c>
      <c r="D374" s="39" t="s">
        <v>215</v>
      </c>
      <c r="E374" s="39"/>
      <c r="F374" s="138">
        <f>SUM(F366:F373)</f>
        <v>0</v>
      </c>
      <c r="G374" s="138">
        <f t="shared" ref="G374:L374" si="24">SUM(G366:G373)</f>
        <v>0</v>
      </c>
      <c r="H374" s="138">
        <f t="shared" si="24"/>
        <v>0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0</v>
      </c>
      <c r="M374" s="8"/>
    </row>
    <row r="375" spans="1:13" s="3" customFormat="1" ht="12" customHeight="1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>
      <c r="A376" s="26" t="s">
        <v>313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>
      <c r="A377" s="26" t="s">
        <v>314</v>
      </c>
      <c r="B377" s="2"/>
      <c r="C377" s="2"/>
      <c r="D377" s="2"/>
      <c r="E377" s="2"/>
      <c r="F377" s="16"/>
      <c r="G377" s="16" t="s">
        <v>315</v>
      </c>
      <c r="H377" s="16" t="s">
        <v>316</v>
      </c>
      <c r="I377" s="16" t="s">
        <v>317</v>
      </c>
      <c r="J377" s="56"/>
      <c r="K377" s="56"/>
      <c r="L377" s="56"/>
      <c r="M377" s="8"/>
    </row>
    <row r="378" spans="1:13" s="3" customFormat="1" ht="12" customHeight="1">
      <c r="A378" s="26" t="s">
        <v>318</v>
      </c>
      <c r="B378" s="2"/>
      <c r="C378" s="2"/>
      <c r="D378" s="2"/>
      <c r="F378" s="16" t="s">
        <v>319</v>
      </c>
      <c r="G378" s="16" t="s">
        <v>320</v>
      </c>
      <c r="H378" s="16" t="s">
        <v>321</v>
      </c>
      <c r="I378" s="16" t="s">
        <v>322</v>
      </c>
      <c r="J378" s="56"/>
      <c r="K378" s="56"/>
      <c r="L378" s="77" t="s">
        <v>298</v>
      </c>
      <c r="M378" s="8"/>
    </row>
    <row r="379" spans="1:13" s="3" customFormat="1" ht="12" customHeight="1">
      <c r="A379" s="79" t="s">
        <v>323</v>
      </c>
      <c r="B379" s="2" t="s">
        <v>324</v>
      </c>
      <c r="C379" s="6">
        <v>1</v>
      </c>
      <c r="D379" s="2" t="s">
        <v>300</v>
      </c>
      <c r="F379" s="18"/>
      <c r="G379" s="18"/>
      <c r="H379" s="18"/>
      <c r="I379" s="18"/>
      <c r="J379" s="24" t="s">
        <v>32</v>
      </c>
      <c r="K379" s="24" t="s">
        <v>32</v>
      </c>
      <c r="L379" s="56">
        <f t="shared" ref="L379:L384" si="25">SUM(F379:K379)</f>
        <v>0</v>
      </c>
      <c r="M379" s="8"/>
    </row>
    <row r="380" spans="1:13" s="3" customFormat="1" ht="12" customHeight="1">
      <c r="A380" s="79" t="s">
        <v>325</v>
      </c>
      <c r="B380" s="2" t="s">
        <v>324</v>
      </c>
      <c r="C380" s="6">
        <v>2</v>
      </c>
      <c r="D380" s="2" t="s">
        <v>300</v>
      </c>
      <c r="E380" s="6"/>
      <c r="F380" s="18"/>
      <c r="G380" s="18"/>
      <c r="H380" s="18"/>
      <c r="I380" s="18"/>
      <c r="J380" s="24" t="s">
        <v>32</v>
      </c>
      <c r="K380" s="24" t="s">
        <v>32</v>
      </c>
      <c r="L380" s="56">
        <f t="shared" si="25"/>
        <v>0</v>
      </c>
      <c r="M380" s="8"/>
    </row>
    <row r="381" spans="1:13" s="3" customFormat="1" ht="12" customHeight="1">
      <c r="A381" s="79" t="s">
        <v>326</v>
      </c>
      <c r="B381" s="2" t="s">
        <v>324</v>
      </c>
      <c r="C381" s="6">
        <v>3</v>
      </c>
      <c r="D381" s="2" t="s">
        <v>300</v>
      </c>
      <c r="E381" s="6"/>
      <c r="F381" s="18"/>
      <c r="G381" s="18"/>
      <c r="H381" s="18"/>
      <c r="I381" s="18"/>
      <c r="J381" s="24" t="s">
        <v>32</v>
      </c>
      <c r="K381" s="24" t="s">
        <v>32</v>
      </c>
      <c r="L381" s="56">
        <f t="shared" si="25"/>
        <v>0</v>
      </c>
      <c r="M381" s="8"/>
    </row>
    <row r="382" spans="1:13" s="3" customFormat="1" ht="12" customHeight="1">
      <c r="A382" s="79" t="s">
        <v>327</v>
      </c>
      <c r="B382" s="2" t="s">
        <v>324</v>
      </c>
      <c r="C382" s="6">
        <v>4</v>
      </c>
      <c r="D382" s="2" t="s">
        <v>300</v>
      </c>
      <c r="E382" s="6"/>
      <c r="F382" s="18"/>
      <c r="G382" s="18"/>
      <c r="H382" s="18"/>
      <c r="I382" s="18"/>
      <c r="J382" s="24" t="s">
        <v>32</v>
      </c>
      <c r="K382" s="24" t="s">
        <v>32</v>
      </c>
      <c r="L382" s="56">
        <f t="shared" si="25"/>
        <v>0</v>
      </c>
      <c r="M382" s="8"/>
    </row>
    <row r="383" spans="1:13" s="3" customFormat="1" ht="12" customHeight="1">
      <c r="A383" s="79" t="s">
        <v>328</v>
      </c>
      <c r="B383" s="2" t="s">
        <v>324</v>
      </c>
      <c r="C383" s="6">
        <v>5</v>
      </c>
      <c r="D383" s="2" t="s">
        <v>300</v>
      </c>
      <c r="E383" s="6"/>
      <c r="F383" s="18"/>
      <c r="G383" s="18"/>
      <c r="H383" s="18"/>
      <c r="I383" s="18"/>
      <c r="J383" s="24" t="s">
        <v>32</v>
      </c>
      <c r="K383" s="24" t="s">
        <v>32</v>
      </c>
      <c r="L383" s="56">
        <f t="shared" si="25"/>
        <v>0</v>
      </c>
      <c r="M383" s="8"/>
    </row>
    <row r="384" spans="1:13" s="3" customFormat="1" ht="12" customHeight="1" thickBot="1">
      <c r="A384" s="79" t="s">
        <v>329</v>
      </c>
      <c r="B384" s="2" t="s">
        <v>324</v>
      </c>
      <c r="C384" s="6">
        <v>6</v>
      </c>
      <c r="D384" s="2" t="s">
        <v>300</v>
      </c>
      <c r="E384" s="6"/>
      <c r="F384" s="18"/>
      <c r="G384" s="18"/>
      <c r="H384" s="18"/>
      <c r="I384" s="18"/>
      <c r="J384" s="24" t="s">
        <v>32</v>
      </c>
      <c r="K384" s="24" t="s">
        <v>32</v>
      </c>
      <c r="L384" s="56">
        <f t="shared" si="25"/>
        <v>0</v>
      </c>
      <c r="M384" s="8"/>
    </row>
    <row r="385" spans="1:13" s="3" customFormat="1" ht="12" customHeight="1" thickTop="1">
      <c r="A385" s="159" t="s">
        <v>330</v>
      </c>
      <c r="B385" s="2" t="s">
        <v>324</v>
      </c>
      <c r="C385" s="6">
        <v>7</v>
      </c>
      <c r="D385" s="2" t="s">
        <v>300</v>
      </c>
      <c r="E385" s="40">
        <v>5251</v>
      </c>
      <c r="F385" s="138">
        <f>SUM(F379:F384)</f>
        <v>0</v>
      </c>
      <c r="G385" s="138">
        <f>SUM(G379:G384)</f>
        <v>0</v>
      </c>
      <c r="H385" s="138">
        <f>SUM(H379:H384)</f>
        <v>0</v>
      </c>
      <c r="I385" s="65">
        <f>SUM(I379:I384)</f>
        <v>0</v>
      </c>
      <c r="J385" s="45" t="s">
        <v>32</v>
      </c>
      <c r="K385" s="45" t="s">
        <v>32</v>
      </c>
      <c r="L385" s="47">
        <f>SUM(L379:L384)</f>
        <v>0</v>
      </c>
      <c r="M385" s="8"/>
    </row>
    <row r="386" spans="1:13" s="3" customFormat="1" ht="12" customHeight="1">
      <c r="A386" s="78" t="s">
        <v>331</v>
      </c>
      <c r="B386" s="2"/>
      <c r="C386" s="6"/>
      <c r="D386" s="6"/>
      <c r="F386" s="24" t="s">
        <v>32</v>
      </c>
      <c r="G386" s="24" t="s">
        <v>32</v>
      </c>
      <c r="H386" s="24" t="s">
        <v>32</v>
      </c>
      <c r="I386" s="24" t="s">
        <v>32</v>
      </c>
      <c r="J386" s="24" t="s">
        <v>32</v>
      </c>
      <c r="K386" s="24" t="s">
        <v>32</v>
      </c>
      <c r="L386" s="24" t="s">
        <v>32</v>
      </c>
      <c r="M386" s="8"/>
    </row>
    <row r="387" spans="1:13" s="3" customFormat="1" ht="12" customHeight="1">
      <c r="A387" s="79" t="s">
        <v>332</v>
      </c>
      <c r="B387" s="2" t="s">
        <v>324</v>
      </c>
      <c r="C387" s="6">
        <v>8</v>
      </c>
      <c r="D387" s="2" t="s">
        <v>300</v>
      </c>
      <c r="E387" s="6"/>
      <c r="F387" s="18"/>
      <c r="G387" s="18"/>
      <c r="H387" s="18"/>
      <c r="I387" s="18"/>
      <c r="J387" s="24" t="s">
        <v>32</v>
      </c>
      <c r="K387" s="24" t="s">
        <v>32</v>
      </c>
      <c r="L387" s="56">
        <f t="shared" ref="L387:L392" si="26">SUM(F387:K387)</f>
        <v>0</v>
      </c>
      <c r="M387" s="8"/>
    </row>
    <row r="388" spans="1:13" s="3" customFormat="1" ht="12" customHeight="1">
      <c r="A388" s="79" t="s">
        <v>333</v>
      </c>
      <c r="B388" s="2" t="s">
        <v>324</v>
      </c>
      <c r="C388" s="6">
        <v>9</v>
      </c>
      <c r="D388" s="2" t="s">
        <v>300</v>
      </c>
      <c r="E388" s="6"/>
      <c r="F388" s="18"/>
      <c r="G388" s="18"/>
      <c r="H388" s="18"/>
      <c r="I388" s="18"/>
      <c r="J388" s="24" t="s">
        <v>32</v>
      </c>
      <c r="K388" s="24" t="s">
        <v>32</v>
      </c>
      <c r="L388" s="56">
        <f t="shared" si="26"/>
        <v>0</v>
      </c>
      <c r="M388" s="8"/>
    </row>
    <row r="389" spans="1:13" s="3" customFormat="1" ht="12" customHeight="1">
      <c r="A389" s="79" t="s">
        <v>90</v>
      </c>
      <c r="B389" s="2" t="s">
        <v>324</v>
      </c>
      <c r="C389" s="6">
        <v>10</v>
      </c>
      <c r="D389" s="2" t="s">
        <v>300</v>
      </c>
      <c r="E389" s="6"/>
      <c r="F389" s="18"/>
      <c r="G389" s="18"/>
      <c r="H389" s="18"/>
      <c r="I389" s="18"/>
      <c r="J389" s="24" t="s">
        <v>32</v>
      </c>
      <c r="K389" s="24" t="s">
        <v>32</v>
      </c>
      <c r="L389" s="56">
        <f t="shared" si="26"/>
        <v>0</v>
      </c>
      <c r="M389" s="8"/>
    </row>
    <row r="390" spans="1:13" s="3" customFormat="1" ht="12" customHeight="1">
      <c r="A390" s="79" t="s">
        <v>334</v>
      </c>
      <c r="B390" s="2" t="s">
        <v>324</v>
      </c>
      <c r="C390" s="6">
        <v>11</v>
      </c>
      <c r="D390" s="2" t="s">
        <v>300</v>
      </c>
      <c r="E390" s="6"/>
      <c r="F390" s="18"/>
      <c r="G390" s="18"/>
      <c r="H390" s="18"/>
      <c r="I390" s="18"/>
      <c r="J390" s="24" t="s">
        <v>32</v>
      </c>
      <c r="K390" s="24" t="s">
        <v>32</v>
      </c>
      <c r="L390" s="56">
        <f t="shared" si="26"/>
        <v>0</v>
      </c>
      <c r="M390" s="8"/>
    </row>
    <row r="391" spans="1:13" s="3" customFormat="1" ht="12" customHeight="1">
      <c r="A391" s="79" t="s">
        <v>335</v>
      </c>
      <c r="B391" s="2" t="s">
        <v>324</v>
      </c>
      <c r="C391" s="6">
        <v>12</v>
      </c>
      <c r="D391" s="2" t="s">
        <v>300</v>
      </c>
      <c r="E391" s="6"/>
      <c r="F391" s="18"/>
      <c r="G391" s="18"/>
      <c r="H391" s="18"/>
      <c r="I391" s="18"/>
      <c r="J391" s="24" t="s">
        <v>32</v>
      </c>
      <c r="K391" s="24" t="s">
        <v>32</v>
      </c>
      <c r="L391" s="56">
        <f t="shared" si="26"/>
        <v>0</v>
      </c>
      <c r="M391" s="8"/>
    </row>
    <row r="392" spans="1:13" s="3" customFormat="1" ht="12" customHeight="1" thickBot="1">
      <c r="A392" s="79" t="s">
        <v>81</v>
      </c>
      <c r="B392" s="2" t="s">
        <v>324</v>
      </c>
      <c r="C392" s="6">
        <v>13</v>
      </c>
      <c r="D392" s="2" t="s">
        <v>300</v>
      </c>
      <c r="E392" s="6"/>
      <c r="F392" s="18"/>
      <c r="G392" s="18"/>
      <c r="H392" s="18"/>
      <c r="I392" s="18"/>
      <c r="J392" s="24" t="s">
        <v>32</v>
      </c>
      <c r="K392" s="24" t="s">
        <v>32</v>
      </c>
      <c r="L392" s="56">
        <f t="shared" si="26"/>
        <v>0</v>
      </c>
      <c r="M392" s="8"/>
    </row>
    <row r="393" spans="1:13" s="3" customFormat="1" ht="12" customHeight="1" thickTop="1">
      <c r="A393" s="159" t="s">
        <v>336</v>
      </c>
      <c r="B393" s="2" t="s">
        <v>324</v>
      </c>
      <c r="C393" s="6">
        <v>14</v>
      </c>
      <c r="D393" s="2" t="s">
        <v>300</v>
      </c>
      <c r="E393" s="40">
        <v>5252</v>
      </c>
      <c r="F393" s="47">
        <f>SUM(F387:F392)</f>
        <v>0</v>
      </c>
      <c r="G393" s="47">
        <f>SUM(G387:G392)</f>
        <v>0</v>
      </c>
      <c r="H393" s="47">
        <f>SUM(H387:H392)</f>
        <v>0</v>
      </c>
      <c r="I393" s="47">
        <f>SUM(I387:I392)</f>
        <v>0</v>
      </c>
      <c r="J393" s="45" t="s">
        <v>32</v>
      </c>
      <c r="K393" s="45" t="s">
        <v>32</v>
      </c>
      <c r="L393" s="47">
        <f>SUM(L387:L392)</f>
        <v>0</v>
      </c>
      <c r="M393" s="8"/>
    </row>
    <row r="394" spans="1:13" s="3" customFormat="1" ht="12" customHeight="1">
      <c r="A394" s="78" t="s">
        <v>337</v>
      </c>
      <c r="B394" s="2"/>
      <c r="C394" s="2"/>
      <c r="D394" s="2"/>
      <c r="F394" s="24" t="s">
        <v>32</v>
      </c>
      <c r="G394" s="24" t="s">
        <v>32</v>
      </c>
      <c r="H394" s="24" t="s">
        <v>32</v>
      </c>
      <c r="I394" s="24" t="s">
        <v>32</v>
      </c>
      <c r="J394" s="24" t="s">
        <v>32</v>
      </c>
      <c r="K394" s="24" t="s">
        <v>32</v>
      </c>
      <c r="L394" s="24" t="s">
        <v>32</v>
      </c>
      <c r="M394" s="8"/>
    </row>
    <row r="395" spans="1:13" s="3" customFormat="1" ht="12" customHeight="1">
      <c r="A395" s="110"/>
      <c r="B395" s="2" t="s">
        <v>324</v>
      </c>
      <c r="C395" s="6">
        <v>15</v>
      </c>
      <c r="D395" s="2" t="s">
        <v>300</v>
      </c>
      <c r="E395" s="6"/>
      <c r="F395" s="18"/>
      <c r="G395" s="18"/>
      <c r="H395" s="18"/>
      <c r="I395" s="18"/>
      <c r="J395" s="24" t="s">
        <v>32</v>
      </c>
      <c r="K395" s="24" t="s">
        <v>32</v>
      </c>
      <c r="L395" s="56">
        <f>SUM(F395:K395)</f>
        <v>0</v>
      </c>
      <c r="M395" s="8"/>
    </row>
    <row r="396" spans="1:13" s="3" customFormat="1" ht="12" customHeight="1">
      <c r="A396" s="110" t="s">
        <v>338</v>
      </c>
      <c r="B396" s="2" t="s">
        <v>324</v>
      </c>
      <c r="C396" s="6">
        <v>16</v>
      </c>
      <c r="D396" s="2" t="s">
        <v>300</v>
      </c>
      <c r="E396" s="6"/>
      <c r="F396" s="18"/>
      <c r="G396" s="18"/>
      <c r="H396" s="18">
        <v>-60148.3</v>
      </c>
      <c r="I396" s="18">
        <v>140644</v>
      </c>
      <c r="J396" s="24" t="s">
        <v>32</v>
      </c>
      <c r="K396" s="24" t="s">
        <v>32</v>
      </c>
      <c r="L396" s="56">
        <f>SUM(F396:K396)</f>
        <v>80495.7</v>
      </c>
      <c r="M396" s="8"/>
    </row>
    <row r="397" spans="1:13" s="3" customFormat="1" ht="12" customHeight="1">
      <c r="A397" s="110" t="s">
        <v>339</v>
      </c>
      <c r="B397" s="2" t="s">
        <v>324</v>
      </c>
      <c r="C397" s="6">
        <v>17</v>
      </c>
      <c r="D397" s="2" t="s">
        <v>300</v>
      </c>
      <c r="E397" s="6"/>
      <c r="F397" s="18"/>
      <c r="G397" s="18"/>
      <c r="H397" s="18">
        <v>-2807.27</v>
      </c>
      <c r="I397" s="18">
        <v>234369.75</v>
      </c>
      <c r="J397" s="24" t="s">
        <v>32</v>
      </c>
      <c r="K397" s="24" t="s">
        <v>32</v>
      </c>
      <c r="L397" s="56">
        <f>SUM(F397:K397)</f>
        <v>231562.48</v>
      </c>
      <c r="M397" s="8"/>
    </row>
    <row r="398" spans="1:13" s="3" customFormat="1" ht="12" customHeight="1" thickBot="1">
      <c r="A398" s="110"/>
      <c r="B398" s="2" t="s">
        <v>324</v>
      </c>
      <c r="C398" s="6">
        <v>18</v>
      </c>
      <c r="D398" s="2" t="s">
        <v>300</v>
      </c>
      <c r="E398" s="6"/>
      <c r="F398" s="18"/>
      <c r="G398" s="18"/>
      <c r="H398" s="18"/>
      <c r="I398" s="18"/>
      <c r="J398" s="24" t="s">
        <v>32</v>
      </c>
      <c r="K398" s="24" t="s">
        <v>32</v>
      </c>
      <c r="L398" s="56">
        <f>SUM(F398:K398)</f>
        <v>0</v>
      </c>
      <c r="M398" s="8"/>
    </row>
    <row r="399" spans="1:13" s="3" customFormat="1" ht="12" customHeight="1" thickTop="1" thickBot="1">
      <c r="A399" s="159" t="s">
        <v>340</v>
      </c>
      <c r="B399" s="2" t="s">
        <v>324</v>
      </c>
      <c r="C399" s="6">
        <v>19</v>
      </c>
      <c r="D399" s="2" t="s">
        <v>300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-62955.57</v>
      </c>
      <c r="I399" s="47">
        <f>SUM(I395:I398)</f>
        <v>375013.75</v>
      </c>
      <c r="J399" s="49" t="s">
        <v>32</v>
      </c>
      <c r="K399" s="49" t="s">
        <v>32</v>
      </c>
      <c r="L399" s="47">
        <f>SUM(L395:L398)</f>
        <v>312058.18</v>
      </c>
      <c r="M399" s="8"/>
    </row>
    <row r="400" spans="1:13" s="3" customFormat="1" ht="12" customHeight="1" thickTop="1">
      <c r="A400" s="78" t="s">
        <v>341</v>
      </c>
      <c r="B400" s="2" t="s">
        <v>324</v>
      </c>
      <c r="C400" s="6">
        <v>20</v>
      </c>
      <c r="D400" s="6"/>
      <c r="E400" s="40"/>
      <c r="F400" s="47">
        <f>F385+F393+F399</f>
        <v>0</v>
      </c>
      <c r="G400" s="47">
        <f>G385+G393+G399</f>
        <v>0</v>
      </c>
      <c r="H400" s="47">
        <f>H385+H393+H399</f>
        <v>-62955.57</v>
      </c>
      <c r="I400" s="47">
        <f>I385+I393+I399</f>
        <v>375013.75</v>
      </c>
      <c r="J400" s="24" t="s">
        <v>32</v>
      </c>
      <c r="K400" s="24" t="s">
        <v>32</v>
      </c>
      <c r="L400" s="47">
        <f>L385+L393+L399</f>
        <v>312058.18</v>
      </c>
      <c r="M400" s="8"/>
    </row>
    <row r="401" spans="1:21" s="3" customFormat="1" ht="12" customHeight="1">
      <c r="A401" s="78"/>
      <c r="B401" s="2"/>
      <c r="C401" s="6"/>
      <c r="D401" s="6"/>
      <c r="E401" s="6"/>
      <c r="F401" s="176" t="s">
        <v>197</v>
      </c>
      <c r="G401" s="176" t="s">
        <v>198</v>
      </c>
      <c r="H401" s="176" t="s">
        <v>199</v>
      </c>
      <c r="I401" s="176" t="s">
        <v>200</v>
      </c>
      <c r="J401" s="176" t="s">
        <v>201</v>
      </c>
      <c r="K401" s="176" t="s">
        <v>202</v>
      </c>
      <c r="L401" s="56"/>
      <c r="M401" s="8"/>
    </row>
    <row r="402" spans="1:21" s="3" customFormat="1" ht="12" customHeight="1">
      <c r="A402" s="26" t="s">
        <v>313</v>
      </c>
      <c r="B402" s="76"/>
      <c r="C402" s="76"/>
      <c r="D402" s="76"/>
      <c r="E402" s="76"/>
      <c r="F402" s="66"/>
      <c r="G402" s="16" t="s">
        <v>342</v>
      </c>
      <c r="H402" s="16" t="s">
        <v>343</v>
      </c>
      <c r="I402" s="67"/>
      <c r="J402" s="56"/>
      <c r="K402" s="56"/>
      <c r="L402" s="56"/>
      <c r="M402" s="8"/>
    </row>
    <row r="403" spans="1:21" s="3" customFormat="1" ht="12" customHeight="1">
      <c r="A403" s="26" t="s">
        <v>344</v>
      </c>
      <c r="B403" s="2"/>
      <c r="C403" s="2"/>
      <c r="D403" s="2"/>
      <c r="E403" s="2"/>
      <c r="F403" s="16" t="s">
        <v>345</v>
      </c>
      <c r="G403" s="16" t="s">
        <v>346</v>
      </c>
      <c r="H403" s="16" t="s">
        <v>347</v>
      </c>
      <c r="I403" s="16" t="s">
        <v>348</v>
      </c>
      <c r="J403" s="56" t="s">
        <v>349</v>
      </c>
      <c r="K403" s="56" t="s">
        <v>264</v>
      </c>
      <c r="L403" s="77" t="s">
        <v>298</v>
      </c>
      <c r="M403" s="8"/>
    </row>
    <row r="404" spans="1:21" s="3" customFormat="1" ht="12" customHeight="1">
      <c r="A404" s="26" t="s">
        <v>318</v>
      </c>
      <c r="B404" s="2"/>
      <c r="C404" s="2"/>
      <c r="D404" s="2"/>
      <c r="F404" s="24" t="s">
        <v>32</v>
      </c>
      <c r="G404" s="24" t="s">
        <v>32</v>
      </c>
      <c r="H404" s="24" t="s">
        <v>32</v>
      </c>
      <c r="I404" s="24" t="s">
        <v>32</v>
      </c>
      <c r="J404" s="24" t="s">
        <v>32</v>
      </c>
      <c r="K404" s="24" t="s">
        <v>32</v>
      </c>
      <c r="L404" s="24" t="s">
        <v>32</v>
      </c>
      <c r="M404" s="8"/>
    </row>
    <row r="405" spans="1:21" s="3" customFormat="1" ht="12" customHeight="1">
      <c r="A405" s="79" t="s">
        <v>323</v>
      </c>
      <c r="B405" s="6">
        <v>17</v>
      </c>
      <c r="C405" s="6">
        <v>1</v>
      </c>
      <c r="D405" s="2" t="s">
        <v>300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>
      <c r="A406" s="79" t="s">
        <v>325</v>
      </c>
      <c r="B406" s="6">
        <v>17</v>
      </c>
      <c r="C406" s="6">
        <v>2</v>
      </c>
      <c r="D406" s="2" t="s">
        <v>300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>
      <c r="A407" s="79" t="s">
        <v>326</v>
      </c>
      <c r="B407" s="6">
        <v>17</v>
      </c>
      <c r="C407" s="6">
        <v>3</v>
      </c>
      <c r="D407" s="2" t="s">
        <v>300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>
      <c r="A408" s="79" t="s">
        <v>327</v>
      </c>
      <c r="B408" s="6">
        <v>17</v>
      </c>
      <c r="C408" s="6">
        <v>4</v>
      </c>
      <c r="D408" s="2" t="s">
        <v>300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>
      <c r="A409" s="79" t="s">
        <v>328</v>
      </c>
      <c r="B409" s="6">
        <v>17</v>
      </c>
      <c r="C409" s="6">
        <v>5</v>
      </c>
      <c r="D409" s="2" t="s">
        <v>300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>
      <c r="A410" s="79" t="s">
        <v>329</v>
      </c>
      <c r="B410" s="6">
        <v>17</v>
      </c>
      <c r="C410" s="6">
        <v>6</v>
      </c>
      <c r="D410" s="2" t="s">
        <v>300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>
      <c r="A411" s="159" t="s">
        <v>330</v>
      </c>
      <c r="B411" s="6">
        <v>17</v>
      </c>
      <c r="C411" s="6">
        <v>7</v>
      </c>
      <c r="D411" s="2" t="s">
        <v>300</v>
      </c>
      <c r="E411" s="40">
        <v>5251</v>
      </c>
      <c r="F411" s="138">
        <f t="shared" ref="F411:L411" si="28">SUM(F405:F410)</f>
        <v>0</v>
      </c>
      <c r="G411" s="138">
        <f t="shared" si="28"/>
        <v>0</v>
      </c>
      <c r="H411" s="138">
        <f t="shared" si="28"/>
        <v>0</v>
      </c>
      <c r="I411" s="138">
        <f t="shared" si="28"/>
        <v>0</v>
      </c>
      <c r="J411" s="138">
        <f t="shared" si="28"/>
        <v>0</v>
      </c>
      <c r="K411" s="138">
        <f t="shared" si="28"/>
        <v>0</v>
      </c>
      <c r="L411" s="47">
        <f t="shared" si="28"/>
        <v>0</v>
      </c>
      <c r="M411" s="8"/>
    </row>
    <row r="412" spans="1:21" s="3" customFormat="1" ht="12" customHeight="1">
      <c r="A412" s="78" t="s">
        <v>331</v>
      </c>
      <c r="B412" s="2"/>
      <c r="C412" s="6"/>
      <c r="D412" s="6"/>
      <c r="F412" s="24" t="s">
        <v>32</v>
      </c>
      <c r="G412" s="24" t="s">
        <v>32</v>
      </c>
      <c r="H412" s="24" t="s">
        <v>32</v>
      </c>
      <c r="I412" s="24" t="s">
        <v>32</v>
      </c>
      <c r="J412" s="24" t="s">
        <v>32</v>
      </c>
      <c r="K412" s="24" t="s">
        <v>32</v>
      </c>
      <c r="L412" s="24" t="s">
        <v>32</v>
      </c>
      <c r="M412" s="8"/>
    </row>
    <row r="413" spans="1:21" s="3" customFormat="1" ht="12" customHeight="1">
      <c r="A413" s="79" t="s">
        <v>332</v>
      </c>
      <c r="B413" s="6">
        <v>17</v>
      </c>
      <c r="C413" s="6">
        <v>8</v>
      </c>
      <c r="D413" s="2" t="s">
        <v>300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>
      <c r="A414" s="79" t="s">
        <v>333</v>
      </c>
      <c r="B414" s="6">
        <v>17</v>
      </c>
      <c r="C414" s="6">
        <v>9</v>
      </c>
      <c r="D414" s="2" t="s">
        <v>300</v>
      </c>
      <c r="E414" s="6"/>
      <c r="F414" s="18"/>
      <c r="G414" s="18"/>
      <c r="H414" s="18"/>
      <c r="I414" s="18"/>
      <c r="J414" s="18"/>
      <c r="K414" s="18"/>
      <c r="L414" s="56">
        <f t="shared" si="29"/>
        <v>0</v>
      </c>
      <c r="M414" s="8"/>
    </row>
    <row r="415" spans="1:21" s="3" customFormat="1" ht="12" customHeight="1">
      <c r="A415" s="79" t="s">
        <v>90</v>
      </c>
      <c r="B415" s="6">
        <v>17</v>
      </c>
      <c r="C415" s="6">
        <v>10</v>
      </c>
      <c r="D415" s="2" t="s">
        <v>300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>
      <c r="A416" s="79" t="s">
        <v>334</v>
      </c>
      <c r="B416" s="6">
        <v>17</v>
      </c>
      <c r="C416" s="6">
        <v>11</v>
      </c>
      <c r="D416" s="2" t="s">
        <v>300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>
      <c r="A417" s="79" t="s">
        <v>335</v>
      </c>
      <c r="B417" s="6">
        <v>17</v>
      </c>
      <c r="C417" s="6">
        <v>12</v>
      </c>
      <c r="D417" s="2" t="s">
        <v>300</v>
      </c>
      <c r="E417" s="6"/>
      <c r="F417" s="18"/>
      <c r="G417" s="18"/>
      <c r="H417" s="18"/>
      <c r="I417" s="18"/>
      <c r="J417" s="18"/>
      <c r="K417" s="18"/>
      <c r="L417" s="56">
        <f t="shared" si="29"/>
        <v>0</v>
      </c>
      <c r="M417" s="8"/>
    </row>
    <row r="418" spans="1:21" s="3" customFormat="1" ht="12" customHeight="1" thickBot="1">
      <c r="A418" s="79" t="s">
        <v>81</v>
      </c>
      <c r="B418" s="6">
        <v>17</v>
      </c>
      <c r="C418" s="6">
        <v>13</v>
      </c>
      <c r="D418" s="2" t="s">
        <v>300</v>
      </c>
      <c r="E418" s="6"/>
      <c r="F418" s="18"/>
      <c r="G418" s="18"/>
      <c r="H418" s="18"/>
      <c r="I418" s="18"/>
      <c r="J418" s="18"/>
      <c r="K418" s="18"/>
      <c r="L418" s="56">
        <f t="shared" si="29"/>
        <v>0</v>
      </c>
      <c r="M418" s="8"/>
    </row>
    <row r="419" spans="1:21" s="3" customFormat="1" ht="12" customHeight="1" thickTop="1">
      <c r="A419" s="159" t="s">
        <v>336</v>
      </c>
      <c r="B419" s="6">
        <v>17</v>
      </c>
      <c r="C419" s="6">
        <v>14</v>
      </c>
      <c r="D419" s="2" t="s">
        <v>300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0</v>
      </c>
      <c r="I419" s="47">
        <f t="shared" si="30"/>
        <v>0</v>
      </c>
      <c r="J419" s="47">
        <f t="shared" si="30"/>
        <v>0</v>
      </c>
      <c r="K419" s="47">
        <f t="shared" si="30"/>
        <v>0</v>
      </c>
      <c r="L419" s="47">
        <f t="shared" si="30"/>
        <v>0</v>
      </c>
      <c r="M419" s="8"/>
    </row>
    <row r="420" spans="1:21" s="3" customFormat="1" ht="12" customHeight="1">
      <c r="A420" s="78" t="s">
        <v>337</v>
      </c>
      <c r="B420" s="2"/>
      <c r="C420" s="2"/>
      <c r="D420" s="2"/>
      <c r="F420" s="24" t="s">
        <v>32</v>
      </c>
      <c r="G420" s="24" t="s">
        <v>32</v>
      </c>
      <c r="H420" s="24" t="s">
        <v>32</v>
      </c>
      <c r="I420" s="24" t="s">
        <v>32</v>
      </c>
      <c r="J420" s="24" t="s">
        <v>32</v>
      </c>
      <c r="K420" s="24" t="s">
        <v>32</v>
      </c>
      <c r="L420" s="24" t="s">
        <v>32</v>
      </c>
      <c r="M420" s="8"/>
    </row>
    <row r="421" spans="1:21" s="3" customFormat="1" ht="12" customHeight="1">
      <c r="A421" s="110"/>
      <c r="B421" s="6">
        <v>17</v>
      </c>
      <c r="C421" s="6">
        <v>15</v>
      </c>
      <c r="D421" s="2" t="s">
        <v>300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>
      <c r="A422" s="110" t="s">
        <v>350</v>
      </c>
      <c r="B422" s="6">
        <v>17</v>
      </c>
      <c r="C422" s="6">
        <v>16</v>
      </c>
      <c r="D422" s="2" t="s">
        <v>300</v>
      </c>
      <c r="E422" s="6"/>
      <c r="F422" s="18"/>
      <c r="G422" s="18"/>
      <c r="H422" s="18"/>
      <c r="I422" s="18"/>
      <c r="J422" s="18"/>
      <c r="K422" s="18">
        <v>1251.53</v>
      </c>
      <c r="L422" s="56">
        <f>SUM(F422:K422)</f>
        <v>1251.53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>
      <c r="A423" s="110" t="s">
        <v>338</v>
      </c>
      <c r="B423" s="6">
        <v>17</v>
      </c>
      <c r="C423" s="6">
        <v>17</v>
      </c>
      <c r="D423" s="2" t="s">
        <v>300</v>
      </c>
      <c r="E423" s="6"/>
      <c r="F423" s="18"/>
      <c r="G423" s="18"/>
      <c r="H423" s="18"/>
      <c r="I423" s="18"/>
      <c r="J423" s="18"/>
      <c r="K423" s="18">
        <v>142465.56</v>
      </c>
      <c r="L423" s="56">
        <f>SUM(F423:K423)</f>
        <v>142465.56</v>
      </c>
      <c r="M423" s="68"/>
    </row>
    <row r="424" spans="1:21" s="58" customFormat="1" ht="12" customHeight="1" thickBot="1">
      <c r="A424" s="110"/>
      <c r="B424" s="6">
        <v>17</v>
      </c>
      <c r="C424" s="6">
        <v>18</v>
      </c>
      <c r="D424" s="2" t="s">
        <v>300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>
      <c r="A425" s="159" t="s">
        <v>340</v>
      </c>
      <c r="B425" s="6">
        <v>17</v>
      </c>
      <c r="C425" s="6">
        <v>19</v>
      </c>
      <c r="D425" s="2" t="s">
        <v>300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143717.09</v>
      </c>
      <c r="L425" s="47">
        <f t="shared" si="31"/>
        <v>143717.09</v>
      </c>
    </row>
    <row r="426" spans="1:21" s="3" customFormat="1" ht="12" customHeight="1" thickTop="1">
      <c r="A426" s="78" t="s">
        <v>351</v>
      </c>
      <c r="B426" s="6">
        <v>17</v>
      </c>
      <c r="C426" s="6">
        <v>20</v>
      </c>
      <c r="D426" s="2" t="s">
        <v>300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0</v>
      </c>
      <c r="I426" s="47">
        <f t="shared" si="32"/>
        <v>0</v>
      </c>
      <c r="J426" s="47">
        <f t="shared" si="32"/>
        <v>0</v>
      </c>
      <c r="K426" s="47">
        <f t="shared" si="32"/>
        <v>143717.09</v>
      </c>
      <c r="L426" s="47">
        <f t="shared" si="32"/>
        <v>143717.09</v>
      </c>
      <c r="M426" s="8"/>
    </row>
    <row r="427" spans="1:21" s="3" customFormat="1" ht="12" customHeight="1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>
      <c r="A428" s="34" t="s">
        <v>352</v>
      </c>
      <c r="K428" s="56"/>
      <c r="L428" s="13"/>
      <c r="M428" s="8"/>
    </row>
    <row r="429" spans="1:21" s="3" customFormat="1" ht="12" customHeight="1">
      <c r="A429" s="34" t="s">
        <v>353</v>
      </c>
      <c r="F429" s="23" t="s">
        <v>354</v>
      </c>
      <c r="G429" s="23" t="s">
        <v>355</v>
      </c>
      <c r="H429" s="23" t="s">
        <v>356</v>
      </c>
      <c r="I429" s="23" t="s">
        <v>210</v>
      </c>
      <c r="M429" s="8"/>
    </row>
    <row r="430" spans="1:21" s="3" customFormat="1" ht="12" customHeight="1">
      <c r="A430" s="34" t="s">
        <v>357</v>
      </c>
      <c r="B430" s="23"/>
      <c r="C430" s="23"/>
      <c r="D430" s="23"/>
      <c r="E430" s="23"/>
      <c r="F430" s="24" t="s">
        <v>32</v>
      </c>
      <c r="G430" s="24" t="s">
        <v>32</v>
      </c>
      <c r="H430" s="24" t="s">
        <v>32</v>
      </c>
      <c r="I430" s="24" t="s">
        <v>32</v>
      </c>
      <c r="J430" s="24" t="s">
        <v>32</v>
      </c>
      <c r="K430" s="24" t="s">
        <v>32</v>
      </c>
      <c r="L430" s="24" t="s">
        <v>32</v>
      </c>
      <c r="M430" s="8"/>
    </row>
    <row r="431" spans="1:21" s="3" customFormat="1" ht="12" customHeight="1">
      <c r="A431" s="3" t="s">
        <v>33</v>
      </c>
      <c r="B431" s="23">
        <v>18</v>
      </c>
      <c r="C431" s="6">
        <v>1</v>
      </c>
      <c r="D431" s="2" t="s">
        <v>300</v>
      </c>
      <c r="E431" s="6">
        <v>100</v>
      </c>
      <c r="F431" s="18"/>
      <c r="G431" s="18"/>
      <c r="H431" s="18">
        <v>171398.6</v>
      </c>
      <c r="I431" s="56">
        <f t="shared" ref="I431:I437" si="33">SUM(F431:H431)</f>
        <v>171398.6</v>
      </c>
      <c r="J431" s="24" t="s">
        <v>32</v>
      </c>
      <c r="K431" s="24" t="s">
        <v>32</v>
      </c>
      <c r="L431" s="24" t="s">
        <v>32</v>
      </c>
      <c r="M431" s="8"/>
    </row>
    <row r="432" spans="1:21" s="3" customFormat="1" ht="12" customHeight="1">
      <c r="A432" s="69" t="s">
        <v>36</v>
      </c>
      <c r="B432" s="23">
        <v>18</v>
      </c>
      <c r="C432" s="6">
        <v>2</v>
      </c>
      <c r="D432" s="2" t="s">
        <v>300</v>
      </c>
      <c r="E432" s="6">
        <v>110</v>
      </c>
      <c r="F432" s="18"/>
      <c r="G432" s="18"/>
      <c r="H432" s="18">
        <v>4796734.9800000004</v>
      </c>
      <c r="I432" s="56">
        <f t="shared" si="33"/>
        <v>4796734.9800000004</v>
      </c>
      <c r="J432" s="24" t="s">
        <v>32</v>
      </c>
      <c r="K432" s="24" t="s">
        <v>32</v>
      </c>
      <c r="L432" s="24" t="s">
        <v>32</v>
      </c>
      <c r="M432" s="8"/>
    </row>
    <row r="433" spans="1:13" s="3" customFormat="1" ht="12" customHeight="1">
      <c r="A433" s="69" t="s">
        <v>358</v>
      </c>
      <c r="B433" s="23">
        <v>18</v>
      </c>
      <c r="C433" s="6">
        <v>3</v>
      </c>
      <c r="D433" s="2" t="s">
        <v>300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32</v>
      </c>
      <c r="K433" s="24" t="s">
        <v>32</v>
      </c>
      <c r="L433" s="24" t="s">
        <v>32</v>
      </c>
      <c r="M433" s="8"/>
    </row>
    <row r="434" spans="1:13" s="3" customFormat="1" ht="12" customHeight="1">
      <c r="A434" s="69" t="s">
        <v>39</v>
      </c>
      <c r="B434" s="23">
        <v>18</v>
      </c>
      <c r="C434" s="6">
        <v>4</v>
      </c>
      <c r="D434" s="2" t="s">
        <v>300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32</v>
      </c>
      <c r="K434" s="24" t="s">
        <v>32</v>
      </c>
      <c r="L434" s="24" t="s">
        <v>32</v>
      </c>
      <c r="M434" s="8"/>
    </row>
    <row r="435" spans="1:13" s="3" customFormat="1" ht="12" customHeight="1">
      <c r="A435" s="69" t="s">
        <v>40</v>
      </c>
      <c r="B435" s="23">
        <v>18</v>
      </c>
      <c r="C435" s="6">
        <v>5</v>
      </c>
      <c r="D435" s="2" t="s">
        <v>300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32</v>
      </c>
      <c r="K435" s="24" t="s">
        <v>32</v>
      </c>
      <c r="L435" s="24" t="s">
        <v>32</v>
      </c>
      <c r="M435" s="8"/>
    </row>
    <row r="436" spans="1:13" s="3" customFormat="1" ht="12" customHeight="1">
      <c r="A436" s="69" t="s">
        <v>359</v>
      </c>
      <c r="B436" s="23">
        <v>18</v>
      </c>
      <c r="C436" s="6">
        <v>6</v>
      </c>
      <c r="D436" s="2" t="s">
        <v>300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32</v>
      </c>
      <c r="K436" s="24" t="s">
        <v>32</v>
      </c>
      <c r="L436" s="24" t="s">
        <v>32</v>
      </c>
      <c r="M436" s="8"/>
    </row>
    <row r="437" spans="1:13" s="3" customFormat="1" ht="12" customHeight="1">
      <c r="A437" s="69" t="s">
        <v>360</v>
      </c>
      <c r="B437" s="23">
        <v>18</v>
      </c>
      <c r="C437" s="6">
        <v>7</v>
      </c>
      <c r="D437" s="2" t="s">
        <v>300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32</v>
      </c>
      <c r="K437" s="24" t="s">
        <v>32</v>
      </c>
      <c r="L437" s="24" t="s">
        <v>32</v>
      </c>
      <c r="M437" s="8"/>
    </row>
    <row r="438" spans="1:13" s="3" customFormat="1" ht="12" customHeight="1" thickBot="1">
      <c r="A438" s="70" t="s">
        <v>45</v>
      </c>
      <c r="B438" s="23">
        <v>18</v>
      </c>
      <c r="C438" s="37">
        <v>8</v>
      </c>
      <c r="D438" s="2" t="s">
        <v>300</v>
      </c>
      <c r="E438" s="37"/>
      <c r="F438" s="13">
        <f>SUM(F431:F437)</f>
        <v>0</v>
      </c>
      <c r="G438" s="13">
        <f>SUM(G431:G437)</f>
        <v>0</v>
      </c>
      <c r="H438" s="13">
        <f>SUM(H431:H437)</f>
        <v>4968133.58</v>
      </c>
      <c r="I438" s="13">
        <f>SUM(I431:I437)</f>
        <v>4968133.58</v>
      </c>
      <c r="J438" s="24" t="s">
        <v>32</v>
      </c>
      <c r="K438" s="24" t="s">
        <v>32</v>
      </c>
      <c r="L438" s="24" t="s">
        <v>32</v>
      </c>
      <c r="M438" s="8"/>
    </row>
    <row r="439" spans="1:13" s="3" customFormat="1" ht="12" customHeight="1" thickTop="1">
      <c r="A439" s="38" t="s">
        <v>361</v>
      </c>
      <c r="B439" s="44"/>
      <c r="C439" s="40"/>
      <c r="D439" s="40"/>
      <c r="E439" s="40"/>
      <c r="F439" s="45" t="s">
        <v>32</v>
      </c>
      <c r="G439" s="45" t="s">
        <v>32</v>
      </c>
      <c r="H439" s="45" t="s">
        <v>32</v>
      </c>
      <c r="I439" s="45" t="s">
        <v>32</v>
      </c>
      <c r="J439" s="24" t="s">
        <v>32</v>
      </c>
      <c r="K439" s="24" t="s">
        <v>32</v>
      </c>
      <c r="L439" s="24" t="s">
        <v>32</v>
      </c>
      <c r="M439" s="8"/>
    </row>
    <row r="440" spans="1:13" s="3" customFormat="1" ht="12" customHeight="1">
      <c r="A440" s="69" t="s">
        <v>49</v>
      </c>
      <c r="B440" s="23">
        <v>18</v>
      </c>
      <c r="C440" s="6">
        <v>9</v>
      </c>
      <c r="D440" s="2" t="s">
        <v>300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32</v>
      </c>
      <c r="K440" s="24" t="s">
        <v>32</v>
      </c>
      <c r="L440" s="24" t="s">
        <v>32</v>
      </c>
      <c r="M440" s="8"/>
    </row>
    <row r="441" spans="1:13" s="3" customFormat="1" ht="12" customHeight="1">
      <c r="A441" s="69" t="s">
        <v>51</v>
      </c>
      <c r="B441" s="23">
        <v>18</v>
      </c>
      <c r="C441" s="6">
        <v>10</v>
      </c>
      <c r="D441" s="2" t="s">
        <v>300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32</v>
      </c>
      <c r="K441" s="24" t="s">
        <v>32</v>
      </c>
      <c r="L441" s="24" t="s">
        <v>32</v>
      </c>
      <c r="M441" s="8"/>
    </row>
    <row r="442" spans="1:13" s="3" customFormat="1" ht="12" customHeight="1">
      <c r="A442" s="69" t="s">
        <v>52</v>
      </c>
      <c r="B442" s="23">
        <v>18</v>
      </c>
      <c r="C442" s="6">
        <v>11</v>
      </c>
      <c r="D442" s="2" t="s">
        <v>300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32</v>
      </c>
      <c r="K442" s="24" t="s">
        <v>32</v>
      </c>
      <c r="L442" s="24" t="s">
        <v>32</v>
      </c>
      <c r="M442" s="8"/>
    </row>
    <row r="443" spans="1:13" s="3" customFormat="1" ht="12" customHeight="1">
      <c r="A443" s="69" t="s">
        <v>362</v>
      </c>
      <c r="B443" s="23">
        <v>18</v>
      </c>
      <c r="C443" s="6">
        <v>12</v>
      </c>
      <c r="D443" s="2" t="s">
        <v>300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32</v>
      </c>
      <c r="K443" s="24" t="s">
        <v>32</v>
      </c>
      <c r="L443" s="24" t="s">
        <v>32</v>
      </c>
      <c r="M443" s="8"/>
    </row>
    <row r="444" spans="1:13" s="3" customFormat="1" ht="12" customHeight="1" thickBot="1">
      <c r="A444" s="74" t="s">
        <v>363</v>
      </c>
      <c r="B444" s="73">
        <v>18</v>
      </c>
      <c r="C444" s="71">
        <v>13</v>
      </c>
      <c r="D444" s="2" t="s">
        <v>300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32</v>
      </c>
      <c r="K444" s="24" t="s">
        <v>32</v>
      </c>
      <c r="L444" s="24" t="s">
        <v>32</v>
      </c>
      <c r="M444" s="8"/>
    </row>
    <row r="445" spans="1:13" s="3" customFormat="1" ht="12" customHeight="1" thickTop="1">
      <c r="A445" s="90" t="s">
        <v>364</v>
      </c>
      <c r="B445" s="36"/>
      <c r="C445" s="75"/>
      <c r="D445" s="75"/>
      <c r="E445" s="75"/>
      <c r="F445" s="24" t="s">
        <v>32</v>
      </c>
      <c r="G445" s="24" t="s">
        <v>32</v>
      </c>
      <c r="H445" s="24" t="s">
        <v>32</v>
      </c>
      <c r="I445" s="24" t="s">
        <v>32</v>
      </c>
      <c r="J445" s="24" t="s">
        <v>32</v>
      </c>
      <c r="K445" s="24" t="s">
        <v>32</v>
      </c>
      <c r="L445" s="24" t="s">
        <v>32</v>
      </c>
      <c r="M445" s="8"/>
    </row>
    <row r="446" spans="1:13" s="3" customFormat="1" ht="12" customHeight="1">
      <c r="A446" s="1" t="s">
        <v>365</v>
      </c>
      <c r="B446" s="23">
        <v>18</v>
      </c>
      <c r="C446" s="6">
        <v>14</v>
      </c>
      <c r="D446" s="2" t="s">
        <v>300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32</v>
      </c>
      <c r="K446" s="24" t="s">
        <v>32</v>
      </c>
      <c r="L446" s="24" t="s">
        <v>32</v>
      </c>
      <c r="M446" s="8"/>
    </row>
    <row r="447" spans="1:13" s="3" customFormat="1" ht="12" customHeight="1">
      <c r="A447" s="1" t="s">
        <v>366</v>
      </c>
      <c r="B447" s="23">
        <v>18</v>
      </c>
      <c r="C447" s="6">
        <v>15</v>
      </c>
      <c r="D447" s="2" t="s">
        <v>300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32</v>
      </c>
      <c r="K447" s="24" t="s">
        <v>32</v>
      </c>
      <c r="L447" s="24" t="s">
        <v>32</v>
      </c>
      <c r="M447" s="8"/>
    </row>
    <row r="448" spans="1:13" s="3" customFormat="1" ht="12" customHeight="1">
      <c r="A448" s="1" t="s">
        <v>367</v>
      </c>
      <c r="B448" s="23">
        <v>18</v>
      </c>
      <c r="C448" s="6">
        <v>16</v>
      </c>
      <c r="D448" s="2" t="s">
        <v>300</v>
      </c>
      <c r="E448" s="6">
        <v>756</v>
      </c>
      <c r="F448" s="18"/>
      <c r="G448" s="18"/>
      <c r="H448" s="18">
        <v>4968133.58</v>
      </c>
      <c r="I448" s="56">
        <f>SUM(F448:H448)</f>
        <v>4968133.58</v>
      </c>
      <c r="J448" s="24" t="s">
        <v>32</v>
      </c>
      <c r="K448" s="24" t="s">
        <v>32</v>
      </c>
      <c r="L448" s="24" t="s">
        <v>32</v>
      </c>
      <c r="M448" s="8"/>
    </row>
    <row r="449" spans="1:23" s="3" customFormat="1" ht="12" customHeight="1" thickBot="1">
      <c r="A449" s="1" t="s">
        <v>70</v>
      </c>
      <c r="B449" s="23">
        <v>18</v>
      </c>
      <c r="C449" s="6">
        <v>17</v>
      </c>
      <c r="D449" s="2" t="s">
        <v>300</v>
      </c>
      <c r="E449" s="6">
        <v>760</v>
      </c>
      <c r="F449" s="18"/>
      <c r="G449" s="18"/>
      <c r="H449" s="18"/>
      <c r="I449" s="56">
        <f>SUM(F449:H449)</f>
        <v>0</v>
      </c>
      <c r="J449" s="24" t="s">
        <v>32</v>
      </c>
      <c r="K449" s="24" t="s">
        <v>32</v>
      </c>
      <c r="L449" s="24" t="s">
        <v>32</v>
      </c>
      <c r="M449" s="68"/>
      <c r="N449" s="58"/>
      <c r="O449" s="58"/>
      <c r="P449" s="58"/>
    </row>
    <row r="450" spans="1:23" s="12" customFormat="1" ht="12" customHeight="1" thickTop="1" thickBot="1">
      <c r="A450" s="50" t="s">
        <v>72</v>
      </c>
      <c r="B450" s="81">
        <v>18</v>
      </c>
      <c r="C450" s="51">
        <v>18</v>
      </c>
      <c r="D450" s="48" t="s">
        <v>300</v>
      </c>
      <c r="E450" s="51"/>
      <c r="F450" s="83">
        <f>SUM(F446:F449)</f>
        <v>0</v>
      </c>
      <c r="G450" s="83">
        <f>SUM(G446:G449)</f>
        <v>0</v>
      </c>
      <c r="H450" s="83">
        <f>SUM(H446:H449)</f>
        <v>4968133.58</v>
      </c>
      <c r="I450" s="83">
        <f>SUM(I446:I449)</f>
        <v>4968133.58</v>
      </c>
      <c r="J450" s="24" t="s">
        <v>32</v>
      </c>
      <c r="K450" s="24" t="s">
        <v>32</v>
      </c>
      <c r="L450" s="24" t="s">
        <v>32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>
      <c r="A451" s="91" t="s">
        <v>368</v>
      </c>
      <c r="B451" s="44">
        <v>18</v>
      </c>
      <c r="C451" s="82">
        <v>19</v>
      </c>
      <c r="D451" s="156" t="s">
        <v>300</v>
      </c>
      <c r="E451" s="82"/>
      <c r="F451" s="42">
        <f>F444+F450</f>
        <v>0</v>
      </c>
      <c r="G451" s="42">
        <f>G444+G450</f>
        <v>0</v>
      </c>
      <c r="H451" s="42">
        <f>H444+H450</f>
        <v>4968133.58</v>
      </c>
      <c r="I451" s="42">
        <f>I444+I450</f>
        <v>4968133.58</v>
      </c>
      <c r="J451" s="24" t="s">
        <v>32</v>
      </c>
      <c r="K451" s="24" t="s">
        <v>32</v>
      </c>
      <c r="L451" s="24" t="s">
        <v>32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>
      <c r="A453" s="92" t="s">
        <v>369</v>
      </c>
      <c r="B453" s="75"/>
      <c r="C453" s="80"/>
      <c r="D453" s="80"/>
      <c r="E453" s="80"/>
      <c r="F453" s="23" t="s">
        <v>19</v>
      </c>
      <c r="G453" s="23" t="s">
        <v>20</v>
      </c>
      <c r="H453" s="23" t="s">
        <v>21</v>
      </c>
      <c r="I453" s="23" t="s">
        <v>22</v>
      </c>
      <c r="J453" s="23" t="s">
        <v>23</v>
      </c>
      <c r="K453" s="53"/>
      <c r="L453" s="53"/>
    </row>
    <row r="454" spans="1:23" s="52" customFormat="1" ht="12" customHeight="1">
      <c r="A454" s="92"/>
      <c r="B454" s="75"/>
      <c r="C454" s="80"/>
      <c r="D454" s="80"/>
      <c r="E454" s="80"/>
      <c r="F454" s="84" t="s">
        <v>370</v>
      </c>
      <c r="G454" s="84" t="s">
        <v>371</v>
      </c>
      <c r="H454" s="84" t="s">
        <v>372</v>
      </c>
      <c r="I454" s="84" t="s">
        <v>373</v>
      </c>
      <c r="J454" s="84" t="s">
        <v>374</v>
      </c>
      <c r="K454" s="53"/>
      <c r="L454" s="53"/>
    </row>
    <row r="455" spans="1:23" s="52" customFormat="1" ht="12" customHeight="1">
      <c r="A455" s="187" t="s">
        <v>375</v>
      </c>
      <c r="B455" s="105">
        <v>19</v>
      </c>
      <c r="C455" s="111">
        <v>1</v>
      </c>
      <c r="D455" s="2" t="s">
        <v>300</v>
      </c>
      <c r="E455" s="111"/>
      <c r="F455" s="18"/>
      <c r="G455" s="18">
        <v>15766.24</v>
      </c>
      <c r="H455" s="18">
        <v>448880.41</v>
      </c>
      <c r="I455" s="18"/>
      <c r="J455" s="18">
        <v>4799792.49</v>
      </c>
      <c r="K455" s="24" t="s">
        <v>32</v>
      </c>
      <c r="L455" s="24" t="s">
        <v>32</v>
      </c>
    </row>
    <row r="456" spans="1:23" s="52" customFormat="1" ht="12" customHeight="1">
      <c r="A456" s="24" t="s">
        <v>32</v>
      </c>
      <c r="B456" s="24" t="s">
        <v>32</v>
      </c>
      <c r="C456" s="24" t="s">
        <v>32</v>
      </c>
      <c r="D456" s="24"/>
      <c r="E456" s="24"/>
      <c r="F456" s="24" t="s">
        <v>32</v>
      </c>
      <c r="G456" s="24" t="s">
        <v>32</v>
      </c>
      <c r="H456" s="24" t="s">
        <v>32</v>
      </c>
      <c r="I456" s="24" t="s">
        <v>32</v>
      </c>
      <c r="J456" s="24" t="s">
        <v>32</v>
      </c>
      <c r="K456" s="24" t="s">
        <v>32</v>
      </c>
      <c r="L456" s="24" t="s">
        <v>32</v>
      </c>
    </row>
    <row r="457" spans="1:23" s="52" customFormat="1" ht="12" customHeight="1">
      <c r="A457" s="94" t="s">
        <v>376</v>
      </c>
      <c r="B457" s="24" t="s">
        <v>32</v>
      </c>
      <c r="C457" s="24" t="s">
        <v>32</v>
      </c>
      <c r="D457" s="24"/>
      <c r="E457" s="24"/>
      <c r="F457" s="24" t="s">
        <v>32</v>
      </c>
      <c r="G457" s="24" t="s">
        <v>32</v>
      </c>
      <c r="H457" s="24" t="s">
        <v>32</v>
      </c>
      <c r="I457" s="24" t="s">
        <v>32</v>
      </c>
      <c r="J457" s="24" t="s">
        <v>32</v>
      </c>
      <c r="K457" s="24" t="s">
        <v>32</v>
      </c>
      <c r="L457" s="24" t="s">
        <v>32</v>
      </c>
    </row>
    <row r="458" spans="1:23" s="52" customFormat="1" ht="12" customHeight="1">
      <c r="A458" s="93" t="s">
        <v>377</v>
      </c>
      <c r="B458" s="75">
        <v>19</v>
      </c>
      <c r="C458" s="80">
        <v>2</v>
      </c>
      <c r="D458" s="2" t="s">
        <v>300</v>
      </c>
      <c r="E458" s="80"/>
      <c r="F458" s="18">
        <v>36903940.399999999</v>
      </c>
      <c r="G458" s="18">
        <v>833129.06</v>
      </c>
      <c r="H458" s="18">
        <v>4395435.6900000004</v>
      </c>
      <c r="I458" s="18"/>
      <c r="J458" s="18">
        <v>312058.18</v>
      </c>
      <c r="K458" s="24" t="s">
        <v>32</v>
      </c>
      <c r="L458" s="24" t="s">
        <v>32</v>
      </c>
    </row>
    <row r="459" spans="1:23" s="52" customFormat="1" ht="12" customHeight="1">
      <c r="A459" s="93" t="s">
        <v>378</v>
      </c>
      <c r="B459" s="75">
        <v>19</v>
      </c>
      <c r="C459" s="80">
        <v>3</v>
      </c>
      <c r="D459" s="2" t="s">
        <v>300</v>
      </c>
      <c r="E459" s="80"/>
      <c r="F459" s="18"/>
      <c r="G459" s="18"/>
      <c r="H459" s="18"/>
      <c r="I459" s="18"/>
      <c r="J459" s="18"/>
      <c r="K459" s="24" t="s">
        <v>32</v>
      </c>
      <c r="L459" s="24" t="s">
        <v>32</v>
      </c>
    </row>
    <row r="460" spans="1:23" s="52" customFormat="1" ht="12" customHeight="1">
      <c r="A460" s="92" t="s">
        <v>379</v>
      </c>
      <c r="B460" s="75">
        <v>19</v>
      </c>
      <c r="C460" s="80">
        <v>4</v>
      </c>
      <c r="D460" s="2" t="s">
        <v>300</v>
      </c>
      <c r="E460" s="80"/>
      <c r="F460" s="53">
        <f>SUM(F458:F459)</f>
        <v>36903940.399999999</v>
      </c>
      <c r="G460" s="53">
        <f>SUM(G458:G459)</f>
        <v>833129.06</v>
      </c>
      <c r="H460" s="53">
        <f>SUM(H458:H459)</f>
        <v>4395435.6900000004</v>
      </c>
      <c r="I460" s="53">
        <f>SUM(I458:I459)</f>
        <v>0</v>
      </c>
      <c r="J460" s="53">
        <f>SUM(J458:J459)</f>
        <v>312058.18</v>
      </c>
      <c r="K460" s="24" t="s">
        <v>32</v>
      </c>
      <c r="L460" s="24" t="s">
        <v>32</v>
      </c>
    </row>
    <row r="461" spans="1:23" s="52" customFormat="1" ht="12" customHeight="1">
      <c r="A461" s="94" t="s">
        <v>380</v>
      </c>
      <c r="B461" s="24" t="s">
        <v>32</v>
      </c>
      <c r="C461" s="24" t="s">
        <v>32</v>
      </c>
      <c r="D461" s="24"/>
      <c r="E461" s="24"/>
      <c r="F461" s="24" t="s">
        <v>32</v>
      </c>
      <c r="G461" s="24" t="s">
        <v>32</v>
      </c>
      <c r="H461" s="24" t="s">
        <v>32</v>
      </c>
      <c r="I461" s="24" t="s">
        <v>32</v>
      </c>
      <c r="J461" s="24" t="s">
        <v>32</v>
      </c>
      <c r="K461" s="24" t="s">
        <v>32</v>
      </c>
      <c r="L461" s="24" t="s">
        <v>32</v>
      </c>
    </row>
    <row r="462" spans="1:23" s="52" customFormat="1" ht="12" customHeight="1">
      <c r="A462" s="93" t="s">
        <v>381</v>
      </c>
      <c r="B462" s="75">
        <v>19</v>
      </c>
      <c r="C462" s="80">
        <v>5</v>
      </c>
      <c r="D462" s="2" t="s">
        <v>300</v>
      </c>
      <c r="E462" s="80"/>
      <c r="F462" s="18">
        <v>36903940.399999999</v>
      </c>
      <c r="G462" s="18">
        <v>788590.02</v>
      </c>
      <c r="H462" s="18">
        <v>4504972.01</v>
      </c>
      <c r="I462" s="18"/>
      <c r="J462" s="18">
        <v>143717.09</v>
      </c>
      <c r="K462" s="24" t="s">
        <v>32</v>
      </c>
      <c r="L462" s="24" t="s">
        <v>32</v>
      </c>
    </row>
    <row r="463" spans="1:23" s="52" customFormat="1" ht="12" customHeight="1">
      <c r="A463" s="93" t="s">
        <v>382</v>
      </c>
      <c r="B463" s="75">
        <v>19</v>
      </c>
      <c r="C463" s="80">
        <v>6</v>
      </c>
      <c r="D463" s="2" t="s">
        <v>300</v>
      </c>
      <c r="E463" s="80"/>
      <c r="F463" s="18"/>
      <c r="G463" s="18"/>
      <c r="H463" s="18"/>
      <c r="I463" s="18"/>
      <c r="J463" s="18"/>
      <c r="K463" s="24" t="s">
        <v>32</v>
      </c>
      <c r="L463" s="24" t="s">
        <v>32</v>
      </c>
    </row>
    <row r="464" spans="1:23" s="52" customFormat="1" ht="12" customHeight="1">
      <c r="A464" s="92" t="s">
        <v>383</v>
      </c>
      <c r="B464" s="75">
        <v>19</v>
      </c>
      <c r="C464" s="80">
        <v>7</v>
      </c>
      <c r="D464" s="2" t="s">
        <v>300</v>
      </c>
      <c r="E464" s="80"/>
      <c r="F464" s="53">
        <f>SUM(F462:F463)</f>
        <v>36903940.399999999</v>
      </c>
      <c r="G464" s="53">
        <f>SUM(G462:G463)</f>
        <v>788590.02</v>
      </c>
      <c r="H464" s="53">
        <f>SUM(H462:H463)</f>
        <v>4504972.01</v>
      </c>
      <c r="I464" s="53">
        <f>SUM(I462:I463)</f>
        <v>0</v>
      </c>
      <c r="J464" s="53">
        <f>SUM(J462:J463)</f>
        <v>143717.09</v>
      </c>
      <c r="K464" s="24" t="s">
        <v>32</v>
      </c>
      <c r="L464" s="24" t="s">
        <v>32</v>
      </c>
    </row>
    <row r="465" spans="1:12" s="52" customFormat="1" ht="12" customHeight="1">
      <c r="A465" s="24" t="s">
        <v>32</v>
      </c>
      <c r="B465" s="24" t="s">
        <v>32</v>
      </c>
      <c r="C465" s="24" t="s">
        <v>32</v>
      </c>
      <c r="D465" s="24"/>
      <c r="E465" s="24"/>
      <c r="F465" s="24" t="s">
        <v>32</v>
      </c>
      <c r="G465" s="24" t="s">
        <v>32</v>
      </c>
      <c r="H465" s="24" t="s">
        <v>32</v>
      </c>
      <c r="I465" s="24" t="s">
        <v>32</v>
      </c>
      <c r="J465" s="24" t="s">
        <v>32</v>
      </c>
      <c r="K465" s="24" t="s">
        <v>32</v>
      </c>
      <c r="L465" s="24" t="s">
        <v>32</v>
      </c>
    </row>
    <row r="466" spans="1:12" s="52" customFormat="1" ht="12" customHeight="1">
      <c r="A466" s="188" t="s">
        <v>384</v>
      </c>
      <c r="B466" s="75">
        <v>19</v>
      </c>
      <c r="C466" s="115">
        <v>8</v>
      </c>
      <c r="D466" s="2" t="s">
        <v>300</v>
      </c>
      <c r="E466" s="115"/>
      <c r="F466" s="53">
        <f>(F455+F460)- F464</f>
        <v>0</v>
      </c>
      <c r="G466" s="53">
        <f>(G455+G460)- G464</f>
        <v>60305.280000000028</v>
      </c>
      <c r="H466" s="53">
        <f>(H455+H460)- H464</f>
        <v>339344.09000000078</v>
      </c>
      <c r="I466" s="53">
        <f>(I455+I460)- I464</f>
        <v>0</v>
      </c>
      <c r="J466" s="53">
        <f>(J455+J460)- J464</f>
        <v>4968133.58</v>
      </c>
      <c r="K466" s="24" t="s">
        <v>32</v>
      </c>
      <c r="L466" s="24" t="s">
        <v>32</v>
      </c>
    </row>
    <row r="467" spans="1:12" s="52" customFormat="1" ht="12" customHeight="1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>
      <c r="A468" s="95" t="s">
        <v>385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>
      <c r="A469" s="95" t="s">
        <v>386</v>
      </c>
      <c r="B469" s="112"/>
      <c r="C469" s="112"/>
      <c r="D469" s="112"/>
      <c r="E469" s="112"/>
      <c r="F469" s="112"/>
      <c r="G469" s="112"/>
      <c r="H469" s="112"/>
      <c r="I469" s="112" t="s">
        <v>387</v>
      </c>
      <c r="J469" s="112"/>
      <c r="K469" s="95"/>
      <c r="L469" s="95"/>
    </row>
    <row r="470" spans="1:12" s="52" customFormat="1" ht="12" customHeight="1">
      <c r="A470" s="18"/>
      <c r="B470" s="112"/>
      <c r="C470" s="112"/>
      <c r="D470" s="112"/>
      <c r="E470" s="112"/>
      <c r="F470" s="112"/>
      <c r="G470" s="112"/>
      <c r="H470" s="112"/>
      <c r="I470" s="112" t="s">
        <v>388</v>
      </c>
      <c r="J470" s="112"/>
      <c r="K470" s="95"/>
      <c r="L470" s="95"/>
    </row>
    <row r="471" spans="1:12" s="52" customFormat="1" ht="12" customHeight="1">
      <c r="A471" s="174"/>
      <c r="B471" s="112"/>
      <c r="C471" s="112"/>
      <c r="D471" s="112"/>
      <c r="E471" s="112"/>
      <c r="F471" s="112"/>
      <c r="G471" s="112"/>
      <c r="H471" s="112"/>
      <c r="I471" s="112" t="s">
        <v>389</v>
      </c>
      <c r="J471" s="112"/>
      <c r="K471" s="95"/>
      <c r="L471" s="95"/>
    </row>
    <row r="472" spans="1:12" s="52" customFormat="1" ht="12" customHeight="1">
      <c r="A472" s="95" t="s">
        <v>390</v>
      </c>
      <c r="B472" s="112"/>
      <c r="C472" s="112"/>
      <c r="D472" s="112"/>
      <c r="E472" s="112"/>
      <c r="F472" s="112"/>
      <c r="G472" s="112"/>
      <c r="H472" s="112"/>
      <c r="I472" s="112" t="s">
        <v>391</v>
      </c>
      <c r="J472" s="112"/>
      <c r="K472" s="95"/>
      <c r="L472" s="95"/>
    </row>
    <row r="473" spans="1:12" s="52" customFormat="1" ht="12" customHeight="1">
      <c r="A473" s="173"/>
      <c r="B473" s="112"/>
      <c r="C473" s="112"/>
      <c r="D473" s="112"/>
      <c r="E473" s="112"/>
      <c r="F473" s="112"/>
      <c r="G473" s="112"/>
      <c r="H473" s="112"/>
      <c r="I473" s="112" t="s">
        <v>392</v>
      </c>
      <c r="J473" s="112"/>
      <c r="K473" s="95"/>
      <c r="L473" s="95"/>
    </row>
    <row r="474" spans="1:12" s="52" customFormat="1" ht="12" customHeight="1">
      <c r="A474" s="173"/>
      <c r="B474" s="112"/>
      <c r="C474" s="112"/>
      <c r="D474" s="112"/>
      <c r="E474" s="112"/>
      <c r="F474" s="112"/>
      <c r="G474" s="112"/>
      <c r="H474" s="112"/>
      <c r="I474" s="112" t="s">
        <v>393</v>
      </c>
      <c r="J474" s="112"/>
      <c r="K474" s="95"/>
      <c r="L474" s="95"/>
    </row>
    <row r="475" spans="1:12" s="52" customFormat="1" ht="12" customHeight="1">
      <c r="A475" s="173"/>
      <c r="B475" s="112"/>
      <c r="C475" s="112"/>
      <c r="D475" s="112"/>
      <c r="E475" s="112"/>
      <c r="F475" s="112"/>
      <c r="G475" s="112"/>
      <c r="H475" s="112"/>
      <c r="I475" s="112" t="s">
        <v>394</v>
      </c>
      <c r="J475" s="112"/>
      <c r="K475" s="95"/>
      <c r="L475" s="95"/>
    </row>
    <row r="476" spans="1:12" s="52" customFormat="1" ht="12" customHeight="1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>
      <c r="A477" s="96" t="s">
        <v>395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>
      <c r="A478" s="189" t="s">
        <v>396</v>
      </c>
      <c r="B478" s="105"/>
      <c r="C478" s="115"/>
      <c r="D478" s="115"/>
      <c r="E478" s="115"/>
      <c r="F478" s="15" t="s">
        <v>6</v>
      </c>
      <c r="G478" s="15" t="s">
        <v>7</v>
      </c>
      <c r="H478" s="15" t="s">
        <v>8</v>
      </c>
      <c r="I478" s="15" t="s">
        <v>9</v>
      </c>
      <c r="J478" s="15" t="s">
        <v>10</v>
      </c>
      <c r="K478" s="15" t="s">
        <v>11</v>
      </c>
      <c r="L478" s="116"/>
    </row>
    <row r="479" spans="1:12" s="52" customFormat="1" ht="12" customHeight="1">
      <c r="A479" s="96" t="s">
        <v>397</v>
      </c>
      <c r="B479" s="105"/>
      <c r="C479" s="115"/>
      <c r="D479" s="115"/>
      <c r="E479" s="115"/>
      <c r="F479" s="117" t="s">
        <v>398</v>
      </c>
      <c r="G479" s="117" t="s">
        <v>399</v>
      </c>
      <c r="H479" s="117" t="s">
        <v>400</v>
      </c>
      <c r="I479" s="117" t="s">
        <v>401</v>
      </c>
      <c r="J479" s="117" t="s">
        <v>402</v>
      </c>
      <c r="K479" s="117" t="s">
        <v>298</v>
      </c>
      <c r="L479" s="116"/>
    </row>
    <row r="480" spans="1:12" s="52" customFormat="1" ht="12" customHeight="1">
      <c r="A480" s="22" t="s">
        <v>403</v>
      </c>
      <c r="B480" s="75">
        <v>20</v>
      </c>
      <c r="C480" s="115">
        <v>1</v>
      </c>
      <c r="D480" s="2" t="s">
        <v>300</v>
      </c>
      <c r="E480" s="115"/>
      <c r="F480" s="153"/>
      <c r="G480" s="153"/>
      <c r="H480" s="153"/>
      <c r="I480" s="153"/>
      <c r="J480" s="153"/>
      <c r="K480" s="24" t="s">
        <v>32</v>
      </c>
      <c r="L480" s="24" t="s">
        <v>32</v>
      </c>
    </row>
    <row r="481" spans="1:12" s="52" customFormat="1" ht="12" customHeight="1">
      <c r="A481" s="22" t="s">
        <v>404</v>
      </c>
      <c r="B481" s="75">
        <v>20</v>
      </c>
      <c r="C481" s="115">
        <v>2</v>
      </c>
      <c r="D481" s="2" t="s">
        <v>300</v>
      </c>
      <c r="E481" s="115"/>
      <c r="F481" s="154"/>
      <c r="G481" s="154"/>
      <c r="H481" s="154"/>
      <c r="I481" s="154"/>
      <c r="J481" s="154"/>
      <c r="K481" s="24" t="s">
        <v>32</v>
      </c>
      <c r="L481" s="24" t="s">
        <v>32</v>
      </c>
    </row>
    <row r="482" spans="1:12" s="52" customFormat="1" ht="12" customHeight="1">
      <c r="A482" s="22" t="s">
        <v>405</v>
      </c>
      <c r="B482" s="75">
        <v>20</v>
      </c>
      <c r="C482" s="115">
        <v>3</v>
      </c>
      <c r="D482" s="2" t="s">
        <v>300</v>
      </c>
      <c r="E482" s="115"/>
      <c r="F482" s="154"/>
      <c r="G482" s="154"/>
      <c r="H482" s="154"/>
      <c r="I482" s="154"/>
      <c r="J482" s="154"/>
      <c r="K482" s="24" t="s">
        <v>32</v>
      </c>
      <c r="L482" s="24" t="s">
        <v>32</v>
      </c>
    </row>
    <row r="483" spans="1:12" s="52" customFormat="1" ht="12" customHeight="1">
      <c r="A483" s="22" t="s">
        <v>406</v>
      </c>
      <c r="B483" s="75">
        <v>20</v>
      </c>
      <c r="C483" s="115">
        <v>4</v>
      </c>
      <c r="D483" s="2" t="s">
        <v>300</v>
      </c>
      <c r="E483" s="115"/>
      <c r="F483" s="18"/>
      <c r="G483" s="18"/>
      <c r="H483" s="18"/>
      <c r="I483" s="18"/>
      <c r="J483" s="18"/>
      <c r="K483" s="24" t="s">
        <v>32</v>
      </c>
      <c r="L483" s="24" t="s">
        <v>32</v>
      </c>
    </row>
    <row r="484" spans="1:12" s="52" customFormat="1" ht="12" customHeight="1">
      <c r="A484" s="22" t="s">
        <v>407</v>
      </c>
      <c r="B484" s="75">
        <v>20</v>
      </c>
      <c r="C484" s="115">
        <v>5</v>
      </c>
      <c r="D484" s="2" t="s">
        <v>300</v>
      </c>
      <c r="E484" s="115"/>
      <c r="F484" s="18"/>
      <c r="G484" s="18"/>
      <c r="H484" s="18"/>
      <c r="I484" s="18"/>
      <c r="J484" s="18"/>
      <c r="K484" s="24" t="s">
        <v>32</v>
      </c>
      <c r="L484" s="24" t="s">
        <v>32</v>
      </c>
    </row>
    <row r="485" spans="1:12" s="52" customFormat="1" ht="12" customHeight="1">
      <c r="A485" s="22" t="s">
        <v>408</v>
      </c>
      <c r="B485" s="75">
        <v>20</v>
      </c>
      <c r="C485" s="115">
        <v>6</v>
      </c>
      <c r="D485" s="2" t="s">
        <v>300</v>
      </c>
      <c r="E485" s="115"/>
      <c r="F485" s="18"/>
      <c r="G485" s="18"/>
      <c r="H485" s="18"/>
      <c r="I485" s="18"/>
      <c r="J485" s="18"/>
      <c r="K485" s="53">
        <f>SUM(F485:J485)</f>
        <v>0</v>
      </c>
      <c r="L485" s="24" t="s">
        <v>32</v>
      </c>
    </row>
    <row r="486" spans="1:12" s="52" customFormat="1" ht="12" customHeight="1">
      <c r="A486" s="22" t="s">
        <v>409</v>
      </c>
      <c r="B486" s="75">
        <v>20</v>
      </c>
      <c r="C486" s="115">
        <v>7</v>
      </c>
      <c r="D486" s="2" t="s">
        <v>300</v>
      </c>
      <c r="E486" s="115"/>
      <c r="F486" s="18"/>
      <c r="G486" s="18"/>
      <c r="H486" s="18"/>
      <c r="I486" s="18"/>
      <c r="J486" s="18"/>
      <c r="K486" s="53">
        <f t="shared" ref="K486:K493" si="34">SUM(F486:J486)</f>
        <v>0</v>
      </c>
      <c r="L486" s="24" t="s">
        <v>32</v>
      </c>
    </row>
    <row r="487" spans="1:12" s="52" customFormat="1" ht="12" customHeight="1">
      <c r="A487" s="22" t="s">
        <v>410</v>
      </c>
      <c r="B487" s="75">
        <v>20</v>
      </c>
      <c r="C487" s="115">
        <v>8</v>
      </c>
      <c r="D487" s="2" t="s">
        <v>300</v>
      </c>
      <c r="E487" s="115"/>
      <c r="F487" s="18"/>
      <c r="G487" s="18"/>
      <c r="H487" s="18"/>
      <c r="I487" s="18"/>
      <c r="J487" s="18"/>
      <c r="K487" s="53">
        <f t="shared" si="34"/>
        <v>0</v>
      </c>
      <c r="L487" s="24" t="s">
        <v>32</v>
      </c>
    </row>
    <row r="488" spans="1:12" s="52" customFormat="1" ht="12" customHeight="1">
      <c r="A488" s="199" t="s">
        <v>411</v>
      </c>
      <c r="B488" s="200">
        <v>20</v>
      </c>
      <c r="C488" s="201">
        <v>9</v>
      </c>
      <c r="D488" s="202" t="s">
        <v>300</v>
      </c>
      <c r="E488" s="201"/>
      <c r="F488" s="203"/>
      <c r="G488" s="203"/>
      <c r="H488" s="203"/>
      <c r="I488" s="203"/>
      <c r="J488" s="203"/>
      <c r="K488" s="204">
        <f t="shared" si="34"/>
        <v>0</v>
      </c>
      <c r="L488" s="205" t="s">
        <v>32</v>
      </c>
    </row>
    <row r="489" spans="1:12" s="52" customFormat="1" ht="12" customHeight="1" thickBot="1">
      <c r="A489" s="22" t="s">
        <v>412</v>
      </c>
      <c r="B489" s="75">
        <v>20</v>
      </c>
      <c r="C489" s="115">
        <v>10</v>
      </c>
      <c r="D489" s="2" t="s">
        <v>300</v>
      </c>
      <c r="E489" s="115"/>
      <c r="F489" s="18"/>
      <c r="G489" s="18"/>
      <c r="H489" s="18"/>
      <c r="I489" s="18"/>
      <c r="J489" s="18"/>
      <c r="K489" s="53">
        <f t="shared" si="34"/>
        <v>0</v>
      </c>
      <c r="L489" s="24" t="s">
        <v>32</v>
      </c>
    </row>
    <row r="490" spans="1:12" s="52" customFormat="1" ht="12" customHeight="1" thickTop="1">
      <c r="A490" s="138" t="s">
        <v>413</v>
      </c>
      <c r="B490" s="44">
        <v>20</v>
      </c>
      <c r="C490" s="194">
        <v>11</v>
      </c>
      <c r="D490" s="39" t="s">
        <v>300</v>
      </c>
      <c r="E490" s="194"/>
      <c r="F490" s="42">
        <f>SUM(F488:F489)</f>
        <v>0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0</v>
      </c>
      <c r="L490" s="45" t="s">
        <v>32</v>
      </c>
    </row>
    <row r="491" spans="1:12" s="52" customFormat="1" ht="12" customHeight="1">
      <c r="A491" s="199" t="s">
        <v>414</v>
      </c>
      <c r="B491" s="200">
        <v>20</v>
      </c>
      <c r="C491" s="201">
        <v>12</v>
      </c>
      <c r="D491" s="202" t="s">
        <v>300</v>
      </c>
      <c r="E491" s="201"/>
      <c r="F491" s="203"/>
      <c r="G491" s="203"/>
      <c r="H491" s="203"/>
      <c r="I491" s="203"/>
      <c r="J491" s="203"/>
      <c r="K491" s="204">
        <f t="shared" si="34"/>
        <v>0</v>
      </c>
      <c r="L491" s="205" t="s">
        <v>32</v>
      </c>
    </row>
    <row r="492" spans="1:12" s="52" customFormat="1" ht="12" customHeight="1" thickBot="1">
      <c r="A492" s="22" t="s">
        <v>415</v>
      </c>
      <c r="B492" s="75">
        <v>20</v>
      </c>
      <c r="C492" s="115">
        <v>13</v>
      </c>
      <c r="D492" s="2" t="s">
        <v>300</v>
      </c>
      <c r="E492" s="115"/>
      <c r="F492" s="18"/>
      <c r="G492" s="18"/>
      <c r="H492" s="18"/>
      <c r="I492" s="18"/>
      <c r="J492" s="18"/>
      <c r="K492" s="53">
        <f t="shared" si="34"/>
        <v>0</v>
      </c>
      <c r="L492" s="24" t="s">
        <v>32</v>
      </c>
    </row>
    <row r="493" spans="1:12" s="52" customFormat="1" ht="12" customHeight="1" thickTop="1">
      <c r="A493" s="138" t="s">
        <v>416</v>
      </c>
      <c r="B493" s="44">
        <v>20</v>
      </c>
      <c r="C493" s="194">
        <v>14</v>
      </c>
      <c r="D493" s="39" t="s">
        <v>300</v>
      </c>
      <c r="E493" s="194"/>
      <c r="F493" s="42">
        <f>SUM(F491:F492)</f>
        <v>0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0</v>
      </c>
      <c r="L493" s="45" t="s">
        <v>32</v>
      </c>
    </row>
    <row r="494" spans="1:12" s="52" customFormat="1" ht="12" customHeight="1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>
      <c r="B496" s="105"/>
      <c r="F496" s="52" t="s">
        <v>417</v>
      </c>
      <c r="G496" s="103" t="s">
        <v>418</v>
      </c>
      <c r="H496" s="103" t="s">
        <v>419</v>
      </c>
      <c r="I496" s="106" t="s">
        <v>420</v>
      </c>
      <c r="J496" s="24" t="s">
        <v>32</v>
      </c>
      <c r="K496" s="24" t="s">
        <v>32</v>
      </c>
      <c r="L496" s="24" t="s">
        <v>32</v>
      </c>
    </row>
    <row r="497" spans="1:12" s="52" customFormat="1" ht="12" customHeight="1">
      <c r="A497" s="96" t="s">
        <v>421</v>
      </c>
      <c r="B497" s="105">
        <v>20</v>
      </c>
      <c r="C497" s="115">
        <v>15</v>
      </c>
      <c r="D497" s="2" t="s">
        <v>300</v>
      </c>
      <c r="E497" s="115"/>
      <c r="F497" s="143"/>
      <c r="G497" s="143"/>
      <c r="H497" s="143"/>
      <c r="I497" s="143"/>
      <c r="J497" s="24" t="s">
        <v>32</v>
      </c>
      <c r="K497" s="24" t="s">
        <v>32</v>
      </c>
      <c r="L497" s="24" t="s">
        <v>32</v>
      </c>
    </row>
    <row r="498" spans="1:12" s="52" customFormat="1" ht="12" customHeight="1">
      <c r="A498" s="96" t="s">
        <v>422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>
      <c r="A499" s="146" t="s">
        <v>423</v>
      </c>
      <c r="B499" s="22"/>
      <c r="C499" s="22"/>
      <c r="D499" s="22"/>
      <c r="E499" s="22"/>
      <c r="F499" s="122" t="s">
        <v>424</v>
      </c>
      <c r="G499" s="122"/>
      <c r="H499" s="123" t="s">
        <v>425</v>
      </c>
      <c r="I499" s="123"/>
      <c r="J499" s="53"/>
      <c r="K499" s="53"/>
      <c r="L499" s="53"/>
    </row>
    <row r="500" spans="1:12" s="52" customFormat="1" ht="12" customHeight="1">
      <c r="A500" s="96"/>
      <c r="B500" s="22"/>
      <c r="C500" s="22"/>
      <c r="D500" s="22"/>
      <c r="E500" s="22"/>
      <c r="F500" s="113" t="s">
        <v>426</v>
      </c>
      <c r="G500" s="113" t="s">
        <v>427</v>
      </c>
      <c r="H500" s="114" t="s">
        <v>426</v>
      </c>
      <c r="I500" s="114" t="s">
        <v>427</v>
      </c>
      <c r="J500" s="53"/>
      <c r="K500" s="53"/>
      <c r="L500" s="53"/>
    </row>
    <row r="501" spans="1:12" s="52" customFormat="1" ht="12" customHeight="1">
      <c r="A501" s="22" t="s">
        <v>428</v>
      </c>
      <c r="B501" s="75">
        <v>20</v>
      </c>
      <c r="C501" s="115">
        <v>16</v>
      </c>
      <c r="D501" s="2" t="s">
        <v>300</v>
      </c>
      <c r="E501" s="115">
        <v>210</v>
      </c>
      <c r="F501" s="18"/>
      <c r="G501" s="24" t="s">
        <v>32</v>
      </c>
      <c r="H501" s="18"/>
      <c r="I501" s="24" t="s">
        <v>32</v>
      </c>
      <c r="J501" s="24" t="s">
        <v>32</v>
      </c>
      <c r="K501" s="24" t="s">
        <v>32</v>
      </c>
      <c r="L501" s="24" t="s">
        <v>32</v>
      </c>
    </row>
    <row r="502" spans="1:12" s="52" customFormat="1" ht="12" customHeight="1">
      <c r="A502" s="22" t="s">
        <v>429</v>
      </c>
      <c r="B502" s="75">
        <v>20</v>
      </c>
      <c r="C502" s="115">
        <v>17</v>
      </c>
      <c r="D502" s="2" t="s">
        <v>300</v>
      </c>
      <c r="E502" s="115">
        <v>220</v>
      </c>
      <c r="F502" s="18"/>
      <c r="G502" s="24" t="s">
        <v>32</v>
      </c>
      <c r="H502" s="18"/>
      <c r="I502" s="24" t="s">
        <v>32</v>
      </c>
      <c r="J502" s="24" t="s">
        <v>32</v>
      </c>
      <c r="K502" s="24" t="s">
        <v>32</v>
      </c>
      <c r="L502" s="24" t="s">
        <v>32</v>
      </c>
    </row>
    <row r="503" spans="1:12" s="52" customFormat="1" ht="12" customHeight="1">
      <c r="A503" s="22" t="s">
        <v>430</v>
      </c>
      <c r="B503" s="75">
        <v>20</v>
      </c>
      <c r="C503" s="115">
        <v>18</v>
      </c>
      <c r="D503" s="2" t="s">
        <v>300</v>
      </c>
      <c r="E503" s="115">
        <v>230</v>
      </c>
      <c r="F503" s="18"/>
      <c r="G503" s="24" t="s">
        <v>32</v>
      </c>
      <c r="H503" s="18"/>
      <c r="I503" s="24" t="s">
        <v>32</v>
      </c>
      <c r="J503" s="24" t="s">
        <v>32</v>
      </c>
      <c r="K503" s="24" t="s">
        <v>32</v>
      </c>
      <c r="L503" s="24" t="s">
        <v>32</v>
      </c>
    </row>
    <row r="504" spans="1:12" s="52" customFormat="1" ht="12" customHeight="1">
      <c r="A504" s="22" t="s">
        <v>431</v>
      </c>
      <c r="B504" s="75">
        <v>20</v>
      </c>
      <c r="C504" s="115">
        <v>19</v>
      </c>
      <c r="D504" s="2" t="s">
        <v>300</v>
      </c>
      <c r="E504" s="115">
        <v>240</v>
      </c>
      <c r="F504" s="18"/>
      <c r="G504" s="24" t="s">
        <v>32</v>
      </c>
      <c r="H504" s="18"/>
      <c r="I504" s="24" t="s">
        <v>32</v>
      </c>
      <c r="J504" s="24" t="s">
        <v>32</v>
      </c>
      <c r="K504" s="24" t="s">
        <v>32</v>
      </c>
      <c r="L504" s="24" t="s">
        <v>32</v>
      </c>
    </row>
    <row r="505" spans="1:12" s="52" customFormat="1" ht="12" customHeight="1">
      <c r="A505" s="22" t="s">
        <v>432</v>
      </c>
      <c r="B505" s="75">
        <v>20</v>
      </c>
      <c r="C505" s="115">
        <v>20</v>
      </c>
      <c r="D505" s="2" t="s">
        <v>300</v>
      </c>
      <c r="E505" s="115">
        <v>250</v>
      </c>
      <c r="F505" s="18"/>
      <c r="G505" s="24" t="s">
        <v>32</v>
      </c>
      <c r="H505" s="18"/>
      <c r="I505" s="24" t="s">
        <v>32</v>
      </c>
      <c r="J505" s="24" t="s">
        <v>32</v>
      </c>
      <c r="K505" s="24" t="s">
        <v>32</v>
      </c>
      <c r="L505" s="24" t="s">
        <v>32</v>
      </c>
    </row>
    <row r="506" spans="1:12" s="52" customFormat="1" ht="12" customHeight="1" thickBot="1">
      <c r="A506" s="22" t="s">
        <v>433</v>
      </c>
      <c r="B506" s="75">
        <v>20</v>
      </c>
      <c r="C506" s="115">
        <v>21</v>
      </c>
      <c r="D506" s="2" t="s">
        <v>300</v>
      </c>
      <c r="E506" s="115">
        <v>710</v>
      </c>
      <c r="F506" s="24" t="s">
        <v>32</v>
      </c>
      <c r="G506" s="18"/>
      <c r="H506" s="24" t="s">
        <v>32</v>
      </c>
      <c r="I506" s="18"/>
      <c r="J506" s="24" t="s">
        <v>32</v>
      </c>
      <c r="K506" s="24" t="s">
        <v>32</v>
      </c>
      <c r="L506" s="24" t="s">
        <v>32</v>
      </c>
    </row>
    <row r="507" spans="1:12" s="52" customFormat="1" ht="12" customHeight="1" thickTop="1">
      <c r="A507" s="96" t="s">
        <v>434</v>
      </c>
      <c r="B507" s="75">
        <v>20</v>
      </c>
      <c r="C507" s="115">
        <v>22</v>
      </c>
      <c r="D507" s="2" t="s">
        <v>300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32</v>
      </c>
      <c r="K507" s="24" t="s">
        <v>32</v>
      </c>
      <c r="L507" s="24" t="s">
        <v>32</v>
      </c>
    </row>
    <row r="508" spans="1:12" s="52" customFormat="1" ht="12" customHeight="1">
      <c r="A508" s="96" t="s">
        <v>435</v>
      </c>
      <c r="B508" s="105"/>
      <c r="C508" s="115"/>
      <c r="D508" s="115"/>
      <c r="E508" s="115"/>
      <c r="F508" s="176" t="s">
        <v>197</v>
      </c>
      <c r="G508" s="176" t="s">
        <v>198</v>
      </c>
      <c r="H508" s="176" t="s">
        <v>199</v>
      </c>
      <c r="I508" s="176" t="s">
        <v>200</v>
      </c>
      <c r="J508" s="176" t="s">
        <v>201</v>
      </c>
      <c r="K508" s="176" t="s">
        <v>202</v>
      </c>
      <c r="L508" s="106"/>
    </row>
    <row r="509" spans="1:12" s="52" customFormat="1" ht="12" customHeight="1">
      <c r="A509" s="177" t="s">
        <v>436</v>
      </c>
      <c r="B509" s="105"/>
      <c r="C509" s="115"/>
      <c r="D509" s="115"/>
      <c r="E509" s="115"/>
      <c r="F509" s="103" t="s">
        <v>204</v>
      </c>
      <c r="G509" s="103" t="s">
        <v>205</v>
      </c>
      <c r="H509" s="106" t="s">
        <v>206</v>
      </c>
      <c r="I509" s="106" t="s">
        <v>207</v>
      </c>
      <c r="J509" s="106" t="s">
        <v>208</v>
      </c>
      <c r="K509" s="106" t="s">
        <v>209</v>
      </c>
      <c r="L509" s="106" t="s">
        <v>210</v>
      </c>
    </row>
    <row r="510" spans="1:12" s="52" customFormat="1" ht="12" customHeight="1">
      <c r="A510" s="96" t="s">
        <v>437</v>
      </c>
      <c r="B510" s="105"/>
      <c r="C510" s="115"/>
      <c r="D510" s="115"/>
      <c r="E510" s="115"/>
      <c r="F510" s="24" t="s">
        <v>32</v>
      </c>
      <c r="G510" s="24" t="s">
        <v>32</v>
      </c>
      <c r="H510" s="24" t="s">
        <v>32</v>
      </c>
      <c r="I510" s="24" t="s">
        <v>32</v>
      </c>
      <c r="J510" s="24" t="s">
        <v>32</v>
      </c>
      <c r="K510" s="24" t="s">
        <v>32</v>
      </c>
      <c r="L510" s="24" t="s">
        <v>32</v>
      </c>
    </row>
    <row r="511" spans="1:12" s="52" customFormat="1" ht="12" customHeight="1">
      <c r="A511" s="22" t="s">
        <v>438</v>
      </c>
      <c r="B511" s="105">
        <v>21</v>
      </c>
      <c r="C511" s="115">
        <v>1</v>
      </c>
      <c r="D511" s="2" t="s">
        <v>300</v>
      </c>
      <c r="E511" s="115"/>
      <c r="F511" s="18">
        <v>1665840.54</v>
      </c>
      <c r="G511" s="18">
        <v>686102.13</v>
      </c>
      <c r="H511" s="18">
        <v>137045.25</v>
      </c>
      <c r="I511" s="18">
        <v>3606.91</v>
      </c>
      <c r="J511" s="18">
        <v>5194.3100000000004</v>
      </c>
      <c r="K511" s="18">
        <v>0</v>
      </c>
      <c r="L511" s="88">
        <f>SUM(F511:K511)</f>
        <v>2497789.14</v>
      </c>
    </row>
    <row r="512" spans="1:12" s="52" customFormat="1" ht="12" customHeight="1">
      <c r="A512" s="22" t="s">
        <v>439</v>
      </c>
      <c r="B512" s="105">
        <v>21</v>
      </c>
      <c r="C512" s="115">
        <v>2</v>
      </c>
      <c r="D512" s="2" t="s">
        <v>300</v>
      </c>
      <c r="E512" s="115"/>
      <c r="F512" s="18">
        <v>931652.14</v>
      </c>
      <c r="G512" s="18">
        <v>318264.11</v>
      </c>
      <c r="H512" s="18">
        <v>98126.45</v>
      </c>
      <c r="I512" s="18">
        <v>1893</v>
      </c>
      <c r="J512" s="18">
        <v>2433.0100000000002</v>
      </c>
      <c r="K512" s="18">
        <v>0</v>
      </c>
      <c r="L512" s="88">
        <f>SUM(F512:K512)</f>
        <v>1352368.71</v>
      </c>
    </row>
    <row r="513" spans="1:13" s="52" customFormat="1" ht="12" customHeight="1" thickBot="1">
      <c r="A513" s="22" t="s">
        <v>440</v>
      </c>
      <c r="B513" s="105">
        <v>21</v>
      </c>
      <c r="C513" s="115">
        <v>3</v>
      </c>
      <c r="D513" s="2" t="s">
        <v>300</v>
      </c>
      <c r="E513" s="115"/>
      <c r="F513" s="18">
        <v>1723118.61</v>
      </c>
      <c r="G513" s="18">
        <v>472565.1</v>
      </c>
      <c r="H513" s="18">
        <v>954826.77</v>
      </c>
      <c r="I513" s="18">
        <v>32025.7</v>
      </c>
      <c r="J513" s="18">
        <v>10227.23</v>
      </c>
      <c r="K513" s="18">
        <v>479.57</v>
      </c>
      <c r="L513" s="88">
        <f>SUM(F513:K513)</f>
        <v>3193242.98</v>
      </c>
    </row>
    <row r="514" spans="1:13" s="52" customFormat="1" ht="12" customHeight="1" thickTop="1">
      <c r="A514" s="138" t="s">
        <v>441</v>
      </c>
      <c r="B514" s="107">
        <v>21</v>
      </c>
      <c r="C514" s="194">
        <v>4</v>
      </c>
      <c r="D514" s="195" t="s">
        <v>300</v>
      </c>
      <c r="E514" s="194"/>
      <c r="F514" s="108">
        <f>SUM(F511:F513)</f>
        <v>4320611.29</v>
      </c>
      <c r="G514" s="108">
        <f t="shared" ref="G514:L514" si="35">SUM(G511:G513)</f>
        <v>1476931.3399999999</v>
      </c>
      <c r="H514" s="108">
        <f t="shared" si="35"/>
        <v>1189998.47</v>
      </c>
      <c r="I514" s="108">
        <f t="shared" si="35"/>
        <v>37525.61</v>
      </c>
      <c r="J514" s="108">
        <f t="shared" si="35"/>
        <v>17854.55</v>
      </c>
      <c r="K514" s="108">
        <f t="shared" si="35"/>
        <v>479.57</v>
      </c>
      <c r="L514" s="89">
        <f t="shared" si="35"/>
        <v>7043400.8300000001</v>
      </c>
    </row>
    <row r="515" spans="1:13" s="52" customFormat="1" ht="12" customHeight="1">
      <c r="A515" s="96" t="s">
        <v>442</v>
      </c>
      <c r="B515" s="105"/>
      <c r="C515" s="115"/>
      <c r="D515" s="115"/>
      <c r="E515" s="115"/>
      <c r="F515" s="24" t="s">
        <v>32</v>
      </c>
      <c r="G515" s="24" t="s">
        <v>32</v>
      </c>
      <c r="H515" s="24" t="s">
        <v>32</v>
      </c>
      <c r="I515" s="24" t="s">
        <v>32</v>
      </c>
      <c r="J515" s="24" t="s">
        <v>32</v>
      </c>
      <c r="K515" s="24" t="s">
        <v>32</v>
      </c>
      <c r="L515" s="24" t="s">
        <v>32</v>
      </c>
    </row>
    <row r="516" spans="1:13" s="52" customFormat="1" ht="12" customHeight="1">
      <c r="A516" s="22" t="s">
        <v>438</v>
      </c>
      <c r="B516" s="105">
        <v>21</v>
      </c>
      <c r="C516" s="115">
        <v>5</v>
      </c>
      <c r="D516" s="2" t="s">
        <v>300</v>
      </c>
      <c r="E516" s="115"/>
      <c r="F516" s="18">
        <v>479960.72</v>
      </c>
      <c r="G516" s="18">
        <v>233756.17</v>
      </c>
      <c r="H516" s="18">
        <v>42681.57</v>
      </c>
      <c r="I516" s="18">
        <v>1746.93</v>
      </c>
      <c r="J516" s="18">
        <v>902.37</v>
      </c>
      <c r="K516" s="18">
        <v>0</v>
      </c>
      <c r="L516" s="88">
        <f>SUM(F516:K516)</f>
        <v>759047.76</v>
      </c>
    </row>
    <row r="517" spans="1:13" s="52" customFormat="1" ht="12" customHeight="1">
      <c r="A517" s="22" t="s">
        <v>439</v>
      </c>
      <c r="B517" s="105">
        <v>21</v>
      </c>
      <c r="C517" s="115">
        <v>6</v>
      </c>
      <c r="D517" s="2" t="s">
        <v>300</v>
      </c>
      <c r="E517" s="115"/>
      <c r="F517" s="18">
        <v>82905.78</v>
      </c>
      <c r="G517" s="18">
        <v>42933.96</v>
      </c>
      <c r="H517" s="18">
        <v>18959.189999999999</v>
      </c>
      <c r="I517" s="18">
        <v>812.02</v>
      </c>
      <c r="J517" s="18">
        <v>419.44</v>
      </c>
      <c r="K517" s="18"/>
      <c r="L517" s="88">
        <f>SUM(F517:K517)</f>
        <v>146030.38999999998</v>
      </c>
    </row>
    <row r="518" spans="1:13" s="3" customFormat="1" ht="12" customHeight="1" thickBot="1">
      <c r="A518" s="22" t="s">
        <v>440</v>
      </c>
      <c r="B518" s="118">
        <v>21</v>
      </c>
      <c r="C518" s="118">
        <v>7</v>
      </c>
      <c r="D518" s="2" t="s">
        <v>300</v>
      </c>
      <c r="E518" s="118"/>
      <c r="F518" s="18">
        <v>91898.09</v>
      </c>
      <c r="G518" s="18">
        <v>45509.67</v>
      </c>
      <c r="H518" s="18">
        <v>46357.25</v>
      </c>
      <c r="I518" s="18">
        <v>8573.0499999999993</v>
      </c>
      <c r="J518" s="18">
        <v>945.46</v>
      </c>
      <c r="K518" s="18">
        <v>255</v>
      </c>
      <c r="L518" s="88">
        <f>SUM(F518:K518)</f>
        <v>193538.52</v>
      </c>
      <c r="M518" s="8"/>
    </row>
    <row r="519" spans="1:13" s="3" customFormat="1" ht="12" customHeight="1" thickTop="1">
      <c r="A519" s="138" t="s">
        <v>443</v>
      </c>
      <c r="B519" s="107">
        <v>21</v>
      </c>
      <c r="C519" s="107">
        <v>8</v>
      </c>
      <c r="D519" s="157" t="s">
        <v>300</v>
      </c>
      <c r="E519" s="107"/>
      <c r="F519" s="89">
        <f>SUM(F516:F518)</f>
        <v>654764.59</v>
      </c>
      <c r="G519" s="89">
        <f t="shared" ref="G519:L519" si="36">SUM(G516:G518)</f>
        <v>322199.8</v>
      </c>
      <c r="H519" s="89">
        <f t="shared" si="36"/>
        <v>107998.01</v>
      </c>
      <c r="I519" s="89">
        <f t="shared" si="36"/>
        <v>11132</v>
      </c>
      <c r="J519" s="89">
        <f t="shared" si="36"/>
        <v>2267.27</v>
      </c>
      <c r="K519" s="89">
        <f t="shared" si="36"/>
        <v>255</v>
      </c>
      <c r="L519" s="89">
        <f t="shared" si="36"/>
        <v>1098616.67</v>
      </c>
      <c r="M519" s="8"/>
    </row>
    <row r="520" spans="1:13" s="3" customFormat="1" ht="12" customHeight="1">
      <c r="A520" s="97" t="s">
        <v>444</v>
      </c>
      <c r="B520" s="105"/>
      <c r="C520" s="105"/>
      <c r="D520" s="105"/>
      <c r="E520" s="105"/>
      <c r="F520" s="24" t="s">
        <v>32</v>
      </c>
      <c r="G520" s="24" t="s">
        <v>32</v>
      </c>
      <c r="H520" s="24" t="s">
        <v>32</v>
      </c>
      <c r="I520" s="24" t="s">
        <v>32</v>
      </c>
      <c r="J520" s="24" t="s">
        <v>32</v>
      </c>
      <c r="K520" s="24" t="s">
        <v>32</v>
      </c>
      <c r="L520" s="24" t="s">
        <v>32</v>
      </c>
      <c r="M520" s="8"/>
    </row>
    <row r="521" spans="1:13" s="3" customFormat="1" ht="12" customHeight="1">
      <c r="A521" s="22" t="s">
        <v>438</v>
      </c>
      <c r="B521" s="105">
        <v>21</v>
      </c>
      <c r="C521" s="105">
        <v>9</v>
      </c>
      <c r="D521" s="2" t="s">
        <v>300</v>
      </c>
      <c r="E521" s="105"/>
      <c r="F521" s="18">
        <v>53702.75</v>
      </c>
      <c r="G521" s="18">
        <v>19736.68</v>
      </c>
      <c r="H521" s="18"/>
      <c r="I521" s="18"/>
      <c r="J521" s="18"/>
      <c r="K521" s="18"/>
      <c r="L521" s="88">
        <f>SUM(F521:K521)</f>
        <v>73439.429999999993</v>
      </c>
      <c r="M521" s="8"/>
    </row>
    <row r="522" spans="1:13" s="3" customFormat="1" ht="12" customHeight="1">
      <c r="A522" s="22" t="s">
        <v>439</v>
      </c>
      <c r="B522" s="105">
        <v>21</v>
      </c>
      <c r="C522" s="105">
        <v>10</v>
      </c>
      <c r="D522" s="2" t="s">
        <v>300</v>
      </c>
      <c r="E522" s="105"/>
      <c r="F522" s="18">
        <v>24477.42</v>
      </c>
      <c r="G522" s="18">
        <v>12851.32</v>
      </c>
      <c r="H522" s="18"/>
      <c r="I522" s="18"/>
      <c r="J522" s="18"/>
      <c r="K522" s="18"/>
      <c r="L522" s="88">
        <f>SUM(F522:K522)</f>
        <v>37328.74</v>
      </c>
      <c r="M522" s="8"/>
    </row>
    <row r="523" spans="1:13" s="3" customFormat="1" ht="12" customHeight="1" thickBot="1">
      <c r="A523" s="22" t="s">
        <v>440</v>
      </c>
      <c r="B523" s="105">
        <v>21</v>
      </c>
      <c r="C523" s="105">
        <v>11</v>
      </c>
      <c r="D523" s="2" t="s">
        <v>300</v>
      </c>
      <c r="E523" s="105"/>
      <c r="F523" s="18">
        <v>201492.99</v>
      </c>
      <c r="G523" s="18">
        <v>73821.48</v>
      </c>
      <c r="H523" s="18">
        <v>500</v>
      </c>
      <c r="I523" s="18"/>
      <c r="J523" s="18"/>
      <c r="K523" s="18"/>
      <c r="L523" s="88">
        <f>SUM(F523:K523)</f>
        <v>275814.46999999997</v>
      </c>
      <c r="M523" s="8"/>
    </row>
    <row r="524" spans="1:13" s="3" customFormat="1" ht="12" customHeight="1" thickTop="1">
      <c r="A524" s="138" t="s">
        <v>445</v>
      </c>
      <c r="B524" s="107">
        <v>21</v>
      </c>
      <c r="C524" s="107">
        <v>12</v>
      </c>
      <c r="D524" s="157" t="s">
        <v>300</v>
      </c>
      <c r="E524" s="107"/>
      <c r="F524" s="89">
        <f>SUM(F521:F523)</f>
        <v>279673.15999999997</v>
      </c>
      <c r="G524" s="89">
        <f t="shared" ref="G524:L524" si="37">SUM(G521:G523)</f>
        <v>106409.48</v>
      </c>
      <c r="H524" s="89">
        <f t="shared" si="37"/>
        <v>500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386582.63999999996</v>
      </c>
      <c r="M524" s="8"/>
    </row>
    <row r="525" spans="1:13" s="3" customFormat="1" ht="12" customHeight="1">
      <c r="A525" s="97" t="s">
        <v>446</v>
      </c>
      <c r="B525" s="105"/>
      <c r="C525" s="105"/>
      <c r="D525" s="105"/>
      <c r="E525" s="105"/>
      <c r="F525" s="193" t="s">
        <v>32</v>
      </c>
      <c r="G525" s="193" t="s">
        <v>32</v>
      </c>
      <c r="H525" s="193" t="s">
        <v>32</v>
      </c>
      <c r="I525" s="193" t="s">
        <v>32</v>
      </c>
      <c r="J525" s="193" t="s">
        <v>32</v>
      </c>
      <c r="K525" s="193" t="s">
        <v>32</v>
      </c>
      <c r="L525" s="193" t="s">
        <v>32</v>
      </c>
      <c r="M525" s="8"/>
    </row>
    <row r="526" spans="1:13" s="3" customFormat="1" ht="12" customHeight="1">
      <c r="A526" s="22" t="s">
        <v>438</v>
      </c>
      <c r="B526" s="105">
        <v>21</v>
      </c>
      <c r="C526" s="105">
        <v>13</v>
      </c>
      <c r="D526" s="2" t="s">
        <v>300</v>
      </c>
      <c r="E526" s="105"/>
      <c r="F526" s="18"/>
      <c r="G526" s="18"/>
      <c r="H526" s="18">
        <v>20076.7</v>
      </c>
      <c r="I526" s="18"/>
      <c r="J526" s="18"/>
      <c r="K526" s="18"/>
      <c r="L526" s="88">
        <f>SUM(F526:K526)</f>
        <v>20076.7</v>
      </c>
      <c r="M526" s="8"/>
    </row>
    <row r="527" spans="1:13" s="3" customFormat="1" ht="12" customHeight="1">
      <c r="A527" s="22" t="s">
        <v>439</v>
      </c>
      <c r="B527" s="105">
        <v>21</v>
      </c>
      <c r="C527" s="105">
        <v>14</v>
      </c>
      <c r="D527" s="2" t="s">
        <v>300</v>
      </c>
      <c r="E527" s="105"/>
      <c r="F527" s="18"/>
      <c r="G527" s="18"/>
      <c r="H527" s="18">
        <v>933.13</v>
      </c>
      <c r="I527" s="18"/>
      <c r="J527" s="18"/>
      <c r="K527" s="18"/>
      <c r="L527" s="88">
        <f>SUM(F527:K527)</f>
        <v>933.13</v>
      </c>
      <c r="M527" s="8"/>
    </row>
    <row r="528" spans="1:13" s="3" customFormat="1" ht="12" customHeight="1" thickBot="1">
      <c r="A528" s="22" t="s">
        <v>440</v>
      </c>
      <c r="B528" s="105">
        <v>21</v>
      </c>
      <c r="C528" s="105">
        <v>15</v>
      </c>
      <c r="D528" s="2" t="s">
        <v>300</v>
      </c>
      <c r="E528" s="105"/>
      <c r="F528" s="18"/>
      <c r="G528" s="18"/>
      <c r="H528" s="18">
        <v>21035.119999999999</v>
      </c>
      <c r="I528" s="18"/>
      <c r="J528" s="18"/>
      <c r="K528" s="18"/>
      <c r="L528" s="88">
        <f>SUM(F528:K528)</f>
        <v>21035.119999999999</v>
      </c>
      <c r="M528" s="8"/>
    </row>
    <row r="529" spans="1:13" s="3" customFormat="1" ht="12" customHeight="1" thickTop="1">
      <c r="A529" s="138" t="s">
        <v>447</v>
      </c>
      <c r="B529" s="107">
        <v>21</v>
      </c>
      <c r="C529" s="107">
        <v>16</v>
      </c>
      <c r="D529" s="157" t="s">
        <v>300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42044.95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42044.95</v>
      </c>
      <c r="M529" s="8"/>
    </row>
    <row r="530" spans="1:13" s="3" customFormat="1" ht="12" customHeight="1">
      <c r="A530" s="97" t="s">
        <v>448</v>
      </c>
      <c r="B530" s="105"/>
      <c r="C530" s="105"/>
      <c r="D530" s="105"/>
      <c r="E530" s="105"/>
      <c r="F530" s="24" t="s">
        <v>32</v>
      </c>
      <c r="G530" s="24" t="s">
        <v>32</v>
      </c>
      <c r="H530" s="24" t="s">
        <v>32</v>
      </c>
      <c r="I530" s="24" t="s">
        <v>32</v>
      </c>
      <c r="J530" s="24" t="s">
        <v>32</v>
      </c>
      <c r="K530" s="24" t="s">
        <v>32</v>
      </c>
      <c r="L530" s="24" t="s">
        <v>32</v>
      </c>
      <c r="M530" s="8"/>
    </row>
    <row r="531" spans="1:13" s="3" customFormat="1" ht="12" customHeight="1">
      <c r="A531" s="22" t="s">
        <v>438</v>
      </c>
      <c r="B531" s="105">
        <v>21</v>
      </c>
      <c r="C531" s="105">
        <v>17</v>
      </c>
      <c r="D531" s="2" t="s">
        <v>300</v>
      </c>
      <c r="E531" s="105"/>
      <c r="F531" s="18"/>
      <c r="G531" s="18"/>
      <c r="H531" s="18">
        <v>65801.19</v>
      </c>
      <c r="I531" s="18"/>
      <c r="J531" s="18"/>
      <c r="K531" s="18"/>
      <c r="L531" s="88">
        <f>SUM(F531:K531)</f>
        <v>65801.19</v>
      </c>
      <c r="M531" s="8"/>
    </row>
    <row r="532" spans="1:13" s="3" customFormat="1" ht="12" customHeight="1">
      <c r="A532" s="22" t="s">
        <v>439</v>
      </c>
      <c r="B532" s="105">
        <v>21</v>
      </c>
      <c r="C532" s="105">
        <v>18</v>
      </c>
      <c r="D532" s="2" t="s">
        <v>300</v>
      </c>
      <c r="E532" s="105"/>
      <c r="F532" s="18"/>
      <c r="G532" s="18"/>
      <c r="H532" s="18">
        <v>30372.74</v>
      </c>
      <c r="I532" s="18"/>
      <c r="J532" s="18"/>
      <c r="K532" s="18"/>
      <c r="L532" s="88">
        <f>SUM(F532:K532)</f>
        <v>30372.74</v>
      </c>
      <c r="M532" s="8"/>
    </row>
    <row r="533" spans="1:13" s="3" customFormat="1" ht="12" customHeight="1" thickBot="1">
      <c r="A533" s="22" t="s">
        <v>440</v>
      </c>
      <c r="B533" s="105">
        <v>21</v>
      </c>
      <c r="C533" s="105">
        <v>19</v>
      </c>
      <c r="D533" s="2" t="s">
        <v>300</v>
      </c>
      <c r="E533" s="105"/>
      <c r="F533" s="18"/>
      <c r="G533" s="18"/>
      <c r="H533" s="18">
        <v>165938.07999999999</v>
      </c>
      <c r="I533" s="18"/>
      <c r="J533" s="18"/>
      <c r="K533" s="18"/>
      <c r="L533" s="88">
        <f>SUM(F533:K533)</f>
        <v>165938.07999999999</v>
      </c>
      <c r="M533" s="8"/>
    </row>
    <row r="534" spans="1:13" s="3" customFormat="1" ht="12" customHeight="1" thickTop="1" thickBot="1">
      <c r="A534" s="130" t="s">
        <v>449</v>
      </c>
      <c r="B534" s="190">
        <v>21</v>
      </c>
      <c r="C534" s="190">
        <v>20</v>
      </c>
      <c r="D534" s="191" t="s">
        <v>300</v>
      </c>
      <c r="E534" s="190"/>
      <c r="F534" s="192">
        <f>SUM(F531:F533)</f>
        <v>0</v>
      </c>
      <c r="G534" s="192">
        <f t="shared" ref="G534:L534" si="39">SUM(G531:G533)</f>
        <v>0</v>
      </c>
      <c r="H534" s="192">
        <f t="shared" si="39"/>
        <v>262112.01</v>
      </c>
      <c r="I534" s="192">
        <f t="shared" si="39"/>
        <v>0</v>
      </c>
      <c r="J534" s="192">
        <f t="shared" si="39"/>
        <v>0</v>
      </c>
      <c r="K534" s="192">
        <f t="shared" si="39"/>
        <v>0</v>
      </c>
      <c r="L534" s="192">
        <f t="shared" si="39"/>
        <v>262112.01</v>
      </c>
      <c r="M534" s="8"/>
    </row>
    <row r="535" spans="1:13" s="3" customFormat="1" ht="12" customHeight="1" thickTop="1">
      <c r="A535" s="98" t="s">
        <v>450</v>
      </c>
      <c r="B535" s="107">
        <v>21</v>
      </c>
      <c r="C535" s="107">
        <v>21</v>
      </c>
      <c r="D535" s="157" t="s">
        <v>300</v>
      </c>
      <c r="E535" s="107"/>
      <c r="F535" s="89">
        <f>F514+F519+F524+F529+F534</f>
        <v>5255049.04</v>
      </c>
      <c r="G535" s="89">
        <f t="shared" ref="G535:L535" si="40">G514+G519+G524+G529+G534</f>
        <v>1905540.6199999999</v>
      </c>
      <c r="H535" s="89">
        <f t="shared" si="40"/>
        <v>1602653.44</v>
      </c>
      <c r="I535" s="89">
        <f t="shared" si="40"/>
        <v>48657.61</v>
      </c>
      <c r="J535" s="89">
        <f t="shared" si="40"/>
        <v>20121.82</v>
      </c>
      <c r="K535" s="89">
        <f t="shared" si="40"/>
        <v>734.56999999999994</v>
      </c>
      <c r="L535" s="89">
        <f t="shared" si="40"/>
        <v>8832757.0999999996</v>
      </c>
      <c r="M535" s="8"/>
    </row>
    <row r="536" spans="1:13" s="3" customFormat="1" ht="12" customHeight="1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>
      <c r="A537" s="100" t="s">
        <v>451</v>
      </c>
      <c r="B537" s="105"/>
      <c r="C537" s="105"/>
      <c r="D537" s="105"/>
      <c r="E537" s="105"/>
      <c r="F537" s="101" t="s">
        <v>452</v>
      </c>
      <c r="G537" s="87" t="s">
        <v>453</v>
      </c>
      <c r="H537" s="87" t="s">
        <v>454</v>
      </c>
      <c r="I537" s="101" t="s">
        <v>455</v>
      </c>
      <c r="J537" s="87" t="s">
        <v>456</v>
      </c>
      <c r="K537" s="101" t="s">
        <v>457</v>
      </c>
      <c r="L537" s="24" t="s">
        <v>32</v>
      </c>
      <c r="M537" s="8"/>
    </row>
    <row r="538" spans="1:13" s="3" customFormat="1" ht="12" customHeight="1">
      <c r="A538" s="100" t="s">
        <v>458</v>
      </c>
      <c r="B538" s="105"/>
      <c r="C538" s="105"/>
      <c r="D538" s="105"/>
      <c r="E538" s="105"/>
      <c r="F538" s="101" t="s">
        <v>459</v>
      </c>
      <c r="G538" s="101" t="s">
        <v>460</v>
      </c>
      <c r="H538" s="101" t="s">
        <v>461</v>
      </c>
      <c r="I538" s="101" t="s">
        <v>462</v>
      </c>
      <c r="J538" s="101" t="s">
        <v>463</v>
      </c>
      <c r="K538" s="87"/>
      <c r="L538" s="24" t="s">
        <v>32</v>
      </c>
      <c r="M538" s="8"/>
    </row>
    <row r="539" spans="1:13" s="3" customFormat="1" ht="12" customHeight="1">
      <c r="A539" s="22" t="s">
        <v>438</v>
      </c>
      <c r="B539" s="75">
        <v>21</v>
      </c>
      <c r="C539" s="75">
        <v>22</v>
      </c>
      <c r="D539" s="2" t="s">
        <v>300</v>
      </c>
      <c r="E539" s="75"/>
      <c r="F539" s="87">
        <f>L511</f>
        <v>2497789.14</v>
      </c>
      <c r="G539" s="87">
        <f>L516</f>
        <v>759047.76</v>
      </c>
      <c r="H539" s="87">
        <f>L521</f>
        <v>73439.429999999993</v>
      </c>
      <c r="I539" s="87">
        <f>L526</f>
        <v>20076.7</v>
      </c>
      <c r="J539" s="87">
        <f>L531</f>
        <v>65801.19</v>
      </c>
      <c r="K539" s="87">
        <f>SUM(F539:J539)</f>
        <v>3416154.2200000007</v>
      </c>
      <c r="L539" s="24" t="s">
        <v>32</v>
      </c>
      <c r="M539" s="8"/>
    </row>
    <row r="540" spans="1:13" s="3" customFormat="1" ht="12" customHeight="1">
      <c r="A540" s="22" t="s">
        <v>439</v>
      </c>
      <c r="B540" s="75">
        <v>21</v>
      </c>
      <c r="C540" s="75">
        <v>23</v>
      </c>
      <c r="D540" s="2" t="s">
        <v>300</v>
      </c>
      <c r="E540" s="75"/>
      <c r="F540" s="87">
        <f>L512</f>
        <v>1352368.71</v>
      </c>
      <c r="G540" s="87">
        <f>L517</f>
        <v>146030.38999999998</v>
      </c>
      <c r="H540" s="87">
        <f>L522</f>
        <v>37328.74</v>
      </c>
      <c r="I540" s="87">
        <f>L527</f>
        <v>933.13</v>
      </c>
      <c r="J540" s="87">
        <f>L532</f>
        <v>30372.74</v>
      </c>
      <c r="K540" s="87">
        <f>SUM(F540:J540)</f>
        <v>1567033.7099999997</v>
      </c>
      <c r="L540" s="24" t="s">
        <v>32</v>
      </c>
      <c r="M540" s="8"/>
    </row>
    <row r="541" spans="1:13" s="3" customFormat="1" ht="12" customHeight="1" thickBot="1">
      <c r="A541" s="22" t="s">
        <v>440</v>
      </c>
      <c r="B541" s="75">
        <v>21</v>
      </c>
      <c r="C541" s="75">
        <v>24</v>
      </c>
      <c r="D541" s="2" t="s">
        <v>300</v>
      </c>
      <c r="E541" s="75"/>
      <c r="F541" s="87">
        <f>L513</f>
        <v>3193242.98</v>
      </c>
      <c r="G541" s="87">
        <f>L518</f>
        <v>193538.52</v>
      </c>
      <c r="H541" s="87">
        <f>L523</f>
        <v>275814.46999999997</v>
      </c>
      <c r="I541" s="87">
        <f>L528</f>
        <v>21035.119999999999</v>
      </c>
      <c r="J541" s="87">
        <f>L533</f>
        <v>165938.07999999999</v>
      </c>
      <c r="K541" s="87">
        <f>SUM(F541:J541)</f>
        <v>3849569.17</v>
      </c>
      <c r="L541" s="24" t="s">
        <v>32</v>
      </c>
      <c r="M541" s="8"/>
    </row>
    <row r="542" spans="1:13" s="3" customFormat="1" ht="12" customHeight="1" thickTop="1">
      <c r="A542" s="171" t="s">
        <v>298</v>
      </c>
      <c r="B542" s="44">
        <v>21</v>
      </c>
      <c r="C542" s="44">
        <v>25</v>
      </c>
      <c r="D542" s="39" t="s">
        <v>300</v>
      </c>
      <c r="E542" s="44"/>
      <c r="F542" s="89">
        <f t="shared" ref="F542:K542" si="41">SUM(F539:F541)</f>
        <v>7043400.8300000001</v>
      </c>
      <c r="G542" s="89">
        <f t="shared" si="41"/>
        <v>1098616.67</v>
      </c>
      <c r="H542" s="89">
        <f t="shared" si="41"/>
        <v>386582.63999999996</v>
      </c>
      <c r="I542" s="89">
        <f t="shared" si="41"/>
        <v>42044.95</v>
      </c>
      <c r="J542" s="89">
        <f t="shared" si="41"/>
        <v>262112.01</v>
      </c>
      <c r="K542" s="89">
        <f t="shared" si="41"/>
        <v>8832757.1000000015</v>
      </c>
      <c r="L542" s="24"/>
      <c r="M542" s="8"/>
    </row>
    <row r="543" spans="1:13" s="3" customFormat="1" ht="12" customHeight="1">
      <c r="A543" s="96" t="s">
        <v>464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>
      <c r="B544" s="105"/>
      <c r="C544" s="115"/>
      <c r="D544" s="115"/>
      <c r="E544" s="115"/>
      <c r="F544" s="176" t="s">
        <v>197</v>
      </c>
      <c r="G544" s="176" t="s">
        <v>198</v>
      </c>
      <c r="H544" s="176" t="s">
        <v>199</v>
      </c>
      <c r="I544" s="176" t="s">
        <v>200</v>
      </c>
      <c r="J544" s="176" t="s">
        <v>201</v>
      </c>
      <c r="K544" s="176" t="s">
        <v>202</v>
      </c>
      <c r="L544" s="106"/>
      <c r="M544" s="8"/>
    </row>
    <row r="545" spans="1:13" s="3" customFormat="1" ht="12" customHeight="1">
      <c r="A545" s="96" t="s">
        <v>465</v>
      </c>
      <c r="B545" s="105"/>
      <c r="C545" s="115"/>
      <c r="D545" s="115"/>
      <c r="E545" s="115"/>
      <c r="F545" s="103" t="s">
        <v>204</v>
      </c>
      <c r="G545" s="103" t="s">
        <v>205</v>
      </c>
      <c r="H545" s="106" t="s">
        <v>206</v>
      </c>
      <c r="I545" s="106" t="s">
        <v>207</v>
      </c>
      <c r="J545" s="106" t="s">
        <v>208</v>
      </c>
      <c r="K545" s="106" t="s">
        <v>209</v>
      </c>
      <c r="L545" s="106" t="s">
        <v>210</v>
      </c>
      <c r="M545" s="8"/>
    </row>
    <row r="546" spans="1:13" s="3" customFormat="1" ht="12" customHeight="1">
      <c r="A546" s="96" t="s">
        <v>466</v>
      </c>
      <c r="B546" s="105"/>
      <c r="C546" s="115"/>
      <c r="D546" s="115"/>
      <c r="E546" s="115"/>
      <c r="F546" s="24" t="s">
        <v>32</v>
      </c>
      <c r="G546" s="24" t="s">
        <v>32</v>
      </c>
      <c r="H546" s="24" t="s">
        <v>32</v>
      </c>
      <c r="I546" s="24" t="s">
        <v>32</v>
      </c>
      <c r="J546" s="24" t="s">
        <v>32</v>
      </c>
      <c r="K546" s="24" t="s">
        <v>32</v>
      </c>
      <c r="L546" s="24" t="s">
        <v>32</v>
      </c>
      <c r="M546" s="8"/>
    </row>
    <row r="547" spans="1:13" s="3" customFormat="1" ht="12" customHeight="1">
      <c r="A547" s="22" t="s">
        <v>438</v>
      </c>
      <c r="B547" s="105">
        <v>22</v>
      </c>
      <c r="C547" s="115">
        <v>1</v>
      </c>
      <c r="D547" s="2" t="s">
        <v>300</v>
      </c>
      <c r="E547" s="115"/>
      <c r="F547" s="18">
        <v>510329.1</v>
      </c>
      <c r="G547" s="18">
        <v>107283.96</v>
      </c>
      <c r="H547" s="18">
        <v>183986.11</v>
      </c>
      <c r="I547" s="18">
        <v>22483.8</v>
      </c>
      <c r="J547" s="18">
        <v>15113.13</v>
      </c>
      <c r="K547" s="18"/>
      <c r="L547" s="88">
        <f>SUM(F547:K547)</f>
        <v>839196.1</v>
      </c>
      <c r="M547" s="8"/>
    </row>
    <row r="548" spans="1:13" s="3" customFormat="1" ht="12" customHeight="1">
      <c r="A548" s="22" t="s">
        <v>439</v>
      </c>
      <c r="B548" s="105">
        <v>22</v>
      </c>
      <c r="C548" s="115">
        <v>2</v>
      </c>
      <c r="D548" s="2" t="s">
        <v>300</v>
      </c>
      <c r="E548" s="115"/>
      <c r="F548" s="18">
        <v>3906.37</v>
      </c>
      <c r="G548" s="18">
        <v>667.79</v>
      </c>
      <c r="H548" s="18">
        <v>6430.23</v>
      </c>
      <c r="I548" s="18">
        <v>94.34</v>
      </c>
      <c r="J548" s="18"/>
      <c r="K548" s="18"/>
      <c r="L548" s="88">
        <f>SUM(F548:K548)</f>
        <v>11098.73</v>
      </c>
      <c r="M548" s="8"/>
    </row>
    <row r="549" spans="1:13" s="3" customFormat="1" ht="12" customHeight="1" thickBot="1">
      <c r="A549" s="22" t="s">
        <v>440</v>
      </c>
      <c r="B549" s="105">
        <v>22</v>
      </c>
      <c r="C549" s="115">
        <v>3</v>
      </c>
      <c r="D549" s="2" t="s">
        <v>300</v>
      </c>
      <c r="E549" s="115"/>
      <c r="F549" s="18">
        <v>173548.99</v>
      </c>
      <c r="G549" s="18">
        <v>19166.54</v>
      </c>
      <c r="H549" s="18">
        <v>15080.63</v>
      </c>
      <c r="I549" s="18">
        <v>42514.28</v>
      </c>
      <c r="J549" s="18"/>
      <c r="K549" s="18"/>
      <c r="L549" s="88">
        <f>SUM(F549:K549)</f>
        <v>250310.44</v>
      </c>
      <c r="M549" s="8"/>
    </row>
    <row r="550" spans="1:13" s="3" customFormat="1" ht="12" customHeight="1" thickTop="1">
      <c r="A550" s="138" t="s">
        <v>441</v>
      </c>
      <c r="B550" s="107">
        <v>22</v>
      </c>
      <c r="C550" s="194">
        <v>4</v>
      </c>
      <c r="D550" s="195" t="s">
        <v>300</v>
      </c>
      <c r="E550" s="194"/>
      <c r="F550" s="108">
        <f t="shared" ref="F550:L550" si="42">SUM(F547:F549)</f>
        <v>687784.46</v>
      </c>
      <c r="G550" s="108">
        <f t="shared" si="42"/>
        <v>127118.29000000001</v>
      </c>
      <c r="H550" s="108">
        <f t="shared" si="42"/>
        <v>205496.97</v>
      </c>
      <c r="I550" s="108">
        <f t="shared" si="42"/>
        <v>65092.42</v>
      </c>
      <c r="J550" s="108">
        <f t="shared" si="42"/>
        <v>15113.13</v>
      </c>
      <c r="K550" s="108">
        <f t="shared" si="42"/>
        <v>0</v>
      </c>
      <c r="L550" s="89">
        <f t="shared" si="42"/>
        <v>1100605.27</v>
      </c>
      <c r="M550" s="8"/>
    </row>
    <row r="551" spans="1:13" s="3" customFormat="1" ht="12" customHeight="1">
      <c r="A551" s="96" t="s">
        <v>467</v>
      </c>
      <c r="B551" s="105"/>
      <c r="C551" s="115"/>
      <c r="D551" s="115"/>
      <c r="E551" s="115"/>
      <c r="F551" s="24" t="s">
        <v>32</v>
      </c>
      <c r="G551" s="24" t="s">
        <v>32</v>
      </c>
      <c r="H551" s="24" t="s">
        <v>32</v>
      </c>
      <c r="I551" s="24" t="s">
        <v>32</v>
      </c>
      <c r="J551" s="24" t="s">
        <v>32</v>
      </c>
      <c r="K551" s="24" t="s">
        <v>32</v>
      </c>
      <c r="L551" s="24" t="s">
        <v>32</v>
      </c>
      <c r="M551" s="8"/>
    </row>
    <row r="552" spans="1:13" s="3" customFormat="1" ht="12" customHeight="1">
      <c r="A552" s="22" t="s">
        <v>438</v>
      </c>
      <c r="B552" s="105">
        <v>22</v>
      </c>
      <c r="C552" s="115">
        <v>5</v>
      </c>
      <c r="D552" s="2" t="s">
        <v>300</v>
      </c>
      <c r="E552" s="115"/>
      <c r="F552" s="18">
        <v>51092.67</v>
      </c>
      <c r="G552" s="18">
        <v>26021.96</v>
      </c>
      <c r="H552" s="18">
        <v>1328.14</v>
      </c>
      <c r="I552" s="18">
        <v>1298.56</v>
      </c>
      <c r="J552" s="18">
        <v>1496.04</v>
      </c>
      <c r="K552" s="18">
        <v>37.81</v>
      </c>
      <c r="L552" s="88">
        <f>SUM(F552:K552)</f>
        <v>81275.179999999993</v>
      </c>
      <c r="M552" s="8"/>
    </row>
    <row r="553" spans="1:13" s="3" customFormat="1" ht="12" customHeight="1">
      <c r="A553" s="22" t="s">
        <v>439</v>
      </c>
      <c r="B553" s="105">
        <v>22</v>
      </c>
      <c r="C553" s="115">
        <v>6</v>
      </c>
      <c r="D553" s="2" t="s">
        <v>300</v>
      </c>
      <c r="E553" s="115"/>
      <c r="F553" s="18">
        <v>23749.1</v>
      </c>
      <c r="G553" s="18">
        <v>12773.68</v>
      </c>
      <c r="H553" s="18">
        <v>617.35</v>
      </c>
      <c r="I553" s="18">
        <v>603.6</v>
      </c>
      <c r="J553" s="18">
        <v>695.39</v>
      </c>
      <c r="K553" s="18">
        <v>17.579999999999998</v>
      </c>
      <c r="L553" s="88">
        <f>SUM(F553:K553)</f>
        <v>38456.699999999997</v>
      </c>
      <c r="M553" s="8"/>
    </row>
    <row r="554" spans="1:13" s="3" customFormat="1" ht="12" customHeight="1" thickBot="1">
      <c r="A554" s="22" t="s">
        <v>440</v>
      </c>
      <c r="B554" s="105">
        <v>22</v>
      </c>
      <c r="C554" s="118">
        <v>7</v>
      </c>
      <c r="D554" s="2" t="s">
        <v>300</v>
      </c>
      <c r="E554" s="118"/>
      <c r="F554" s="18">
        <v>53531.77</v>
      </c>
      <c r="G554" s="18">
        <v>27196.04</v>
      </c>
      <c r="H554" s="18">
        <v>1391.54</v>
      </c>
      <c r="I554" s="18">
        <v>1360.55</v>
      </c>
      <c r="J554" s="18">
        <v>1567.46</v>
      </c>
      <c r="K554" s="18">
        <v>39.619999999999997</v>
      </c>
      <c r="L554" s="88">
        <f>SUM(F554:K554)</f>
        <v>85086.98</v>
      </c>
      <c r="M554" s="8"/>
    </row>
    <row r="555" spans="1:13" s="3" customFormat="1" ht="12" customHeight="1" thickTop="1">
      <c r="A555" s="138" t="s">
        <v>443</v>
      </c>
      <c r="B555" s="107">
        <v>22</v>
      </c>
      <c r="C555" s="107">
        <v>8</v>
      </c>
      <c r="D555" s="195" t="s">
        <v>300</v>
      </c>
      <c r="E555" s="107"/>
      <c r="F555" s="89">
        <f t="shared" ref="F555:L555" si="43">SUM(F552:F554)</f>
        <v>128373.53999999998</v>
      </c>
      <c r="G555" s="89">
        <f t="shared" si="43"/>
        <v>65991.679999999993</v>
      </c>
      <c r="H555" s="89">
        <f t="shared" si="43"/>
        <v>3337.03</v>
      </c>
      <c r="I555" s="89">
        <f t="shared" si="43"/>
        <v>3262.71</v>
      </c>
      <c r="J555" s="89">
        <f t="shared" si="43"/>
        <v>3758.89</v>
      </c>
      <c r="K555" s="89">
        <f t="shared" si="43"/>
        <v>95.009999999999991</v>
      </c>
      <c r="L555" s="89">
        <f t="shared" si="43"/>
        <v>204818.86</v>
      </c>
      <c r="M555" s="8"/>
    </row>
    <row r="556" spans="1:13" s="3" customFormat="1" ht="12" customHeight="1">
      <c r="A556" s="97" t="s">
        <v>468</v>
      </c>
      <c r="B556" s="105"/>
      <c r="C556" s="105"/>
      <c r="D556" s="105"/>
      <c r="E556" s="105"/>
      <c r="F556" s="24" t="s">
        <v>32</v>
      </c>
      <c r="G556" s="24" t="s">
        <v>32</v>
      </c>
      <c r="H556" s="24" t="s">
        <v>32</v>
      </c>
      <c r="I556" s="24" t="s">
        <v>32</v>
      </c>
      <c r="J556" s="24" t="s">
        <v>32</v>
      </c>
      <c r="K556" s="24" t="s">
        <v>32</v>
      </c>
      <c r="L556" s="24" t="s">
        <v>32</v>
      </c>
      <c r="M556" s="8"/>
    </row>
    <row r="557" spans="1:13" s="3" customFormat="1" ht="12" customHeight="1">
      <c r="A557" s="22" t="s">
        <v>438</v>
      </c>
      <c r="B557" s="105">
        <v>22</v>
      </c>
      <c r="C557" s="105">
        <v>9</v>
      </c>
      <c r="D557" s="2" t="s">
        <v>300</v>
      </c>
      <c r="E557" s="105"/>
      <c r="F557" s="18">
        <v>1962.07</v>
      </c>
      <c r="G557" s="18">
        <v>313.82</v>
      </c>
      <c r="H557" s="18">
        <v>3240</v>
      </c>
      <c r="I557" s="18">
        <v>777.87</v>
      </c>
      <c r="J557" s="18">
        <v>1575</v>
      </c>
      <c r="K557" s="18"/>
      <c r="L557" s="88">
        <f>SUM(F557:K557)</f>
        <v>7868.7599999999993</v>
      </c>
      <c r="M557" s="8"/>
    </row>
    <row r="558" spans="1:13" s="3" customFormat="1" ht="12" customHeight="1">
      <c r="A558" s="22" t="s">
        <v>439</v>
      </c>
      <c r="B558" s="105">
        <v>22</v>
      </c>
      <c r="C558" s="105">
        <v>10</v>
      </c>
      <c r="D558" s="2" t="s">
        <v>300</v>
      </c>
      <c r="E558" s="105"/>
      <c r="F558" s="18">
        <v>1860</v>
      </c>
      <c r="G558" s="18">
        <v>274.63</v>
      </c>
      <c r="H558" s="18">
        <v>11608.88</v>
      </c>
      <c r="I558" s="18">
        <v>3016.07</v>
      </c>
      <c r="J558" s="18">
        <v>2458.39</v>
      </c>
      <c r="K558" s="18"/>
      <c r="L558" s="88">
        <f>SUM(F558:K558)</f>
        <v>19217.969999999998</v>
      </c>
      <c r="M558" s="8"/>
    </row>
    <row r="559" spans="1:13" s="3" customFormat="1" ht="12" customHeight="1" thickBot="1">
      <c r="A559" s="22" t="s">
        <v>440</v>
      </c>
      <c r="B559" s="105">
        <v>22</v>
      </c>
      <c r="C559" s="105">
        <v>11</v>
      </c>
      <c r="D559" s="2" t="s">
        <v>300</v>
      </c>
      <c r="E559" s="105"/>
      <c r="F559" s="18">
        <v>6822</v>
      </c>
      <c r="G559" s="18">
        <v>1214.21</v>
      </c>
      <c r="H559" s="18">
        <v>20539.75</v>
      </c>
      <c r="I559" s="18">
        <v>14603.32</v>
      </c>
      <c r="J559" s="18">
        <v>6265</v>
      </c>
      <c r="K559" s="18">
        <v>150.22999999999999</v>
      </c>
      <c r="L559" s="88">
        <f>SUM(F559:K559)</f>
        <v>49594.51</v>
      </c>
      <c r="M559" s="8"/>
    </row>
    <row r="560" spans="1:13" s="3" customFormat="1" ht="12" customHeight="1" thickTop="1" thickBot="1">
      <c r="A560" s="130" t="s">
        <v>445</v>
      </c>
      <c r="B560" s="190">
        <v>22</v>
      </c>
      <c r="C560" s="190">
        <v>12</v>
      </c>
      <c r="D560" s="196" t="s">
        <v>300</v>
      </c>
      <c r="E560" s="190"/>
      <c r="F560" s="192">
        <f>SUM(F557:F559)</f>
        <v>10644.07</v>
      </c>
      <c r="G560" s="192">
        <f t="shared" ref="G560:L560" si="44">SUM(G557:G559)</f>
        <v>1802.66</v>
      </c>
      <c r="H560" s="192">
        <f t="shared" si="44"/>
        <v>35388.629999999997</v>
      </c>
      <c r="I560" s="192">
        <f t="shared" si="44"/>
        <v>18397.259999999998</v>
      </c>
      <c r="J560" s="192">
        <f t="shared" si="44"/>
        <v>10298.39</v>
      </c>
      <c r="K560" s="192">
        <f t="shared" si="44"/>
        <v>150.22999999999999</v>
      </c>
      <c r="L560" s="192">
        <f t="shared" si="44"/>
        <v>76681.239999999991</v>
      </c>
      <c r="M560" s="8"/>
    </row>
    <row r="561" spans="1:13" s="3" customFormat="1" ht="12" customHeight="1" thickTop="1">
      <c r="A561" s="98" t="s">
        <v>469</v>
      </c>
      <c r="B561" s="107">
        <v>22</v>
      </c>
      <c r="C561" s="107">
        <v>13</v>
      </c>
      <c r="D561" s="157" t="s">
        <v>300</v>
      </c>
      <c r="E561" s="107"/>
      <c r="F561" s="89">
        <f>F550+F555+F560</f>
        <v>826802.07</v>
      </c>
      <c r="G561" s="89">
        <f t="shared" ref="G561:L561" si="45">G550+G555+G560</f>
        <v>194912.63</v>
      </c>
      <c r="H561" s="89">
        <f t="shared" si="45"/>
        <v>244222.63</v>
      </c>
      <c r="I561" s="89">
        <f t="shared" si="45"/>
        <v>86752.39</v>
      </c>
      <c r="J561" s="89">
        <f t="shared" si="45"/>
        <v>29170.41</v>
      </c>
      <c r="K561" s="89">
        <f t="shared" si="45"/>
        <v>245.23999999999998</v>
      </c>
      <c r="L561" s="89">
        <f t="shared" si="45"/>
        <v>1382105.3699999999</v>
      </c>
      <c r="M561" s="8"/>
    </row>
    <row r="562" spans="1:13" s="3" customFormat="1" ht="12" customHeight="1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>
      <c r="A563" s="97" t="s">
        <v>470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>
      <c r="A564" s="97" t="s">
        <v>471</v>
      </c>
      <c r="B564" s="75"/>
      <c r="C564" s="75"/>
      <c r="D564" s="75"/>
      <c r="E564" s="75" t="s">
        <v>472</v>
      </c>
      <c r="F564" s="101" t="s">
        <v>473</v>
      </c>
      <c r="G564" s="101" t="s">
        <v>474</v>
      </c>
      <c r="H564" s="101" t="s">
        <v>475</v>
      </c>
      <c r="I564" s="101" t="s">
        <v>476</v>
      </c>
      <c r="J564" s="24" t="s">
        <v>32</v>
      </c>
      <c r="K564" s="24" t="s">
        <v>32</v>
      </c>
      <c r="L564" s="24" t="s">
        <v>32</v>
      </c>
      <c r="M564" s="8"/>
    </row>
    <row r="565" spans="1:13" s="3" customFormat="1" ht="12" customHeight="1">
      <c r="A565" s="99" t="s">
        <v>477</v>
      </c>
      <c r="B565" s="75">
        <v>22</v>
      </c>
      <c r="C565" s="75">
        <v>14</v>
      </c>
      <c r="D565" s="2" t="s">
        <v>300</v>
      </c>
      <c r="E565" s="75">
        <v>561</v>
      </c>
      <c r="F565" s="18"/>
      <c r="G565" s="18">
        <v>18607.5</v>
      </c>
      <c r="H565" s="18"/>
      <c r="I565" s="87">
        <f>SUM(F565:H565)</f>
        <v>18607.5</v>
      </c>
      <c r="J565" s="24" t="s">
        <v>32</v>
      </c>
      <c r="K565" s="24" t="s">
        <v>32</v>
      </c>
      <c r="L565" s="24" t="s">
        <v>32</v>
      </c>
      <c r="M565" s="8"/>
    </row>
    <row r="566" spans="1:13" s="3" customFormat="1" ht="12" customHeight="1">
      <c r="A566" s="99" t="s">
        <v>478</v>
      </c>
      <c r="B566" s="75">
        <v>22</v>
      </c>
      <c r="C566" s="75">
        <v>15</v>
      </c>
      <c r="D566" s="2" t="s">
        <v>300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32</v>
      </c>
      <c r="K566" s="24" t="s">
        <v>32</v>
      </c>
      <c r="L566" s="24" t="s">
        <v>32</v>
      </c>
      <c r="M566" s="8"/>
    </row>
    <row r="567" spans="1:13" s="3" customFormat="1" ht="12" customHeight="1">
      <c r="A567" s="99" t="s">
        <v>479</v>
      </c>
      <c r="B567" s="75">
        <v>22</v>
      </c>
      <c r="C567" s="75">
        <v>16</v>
      </c>
      <c r="D567" s="2" t="s">
        <v>300</v>
      </c>
      <c r="E567" s="75">
        <v>563</v>
      </c>
      <c r="F567" s="24" t="s">
        <v>32</v>
      </c>
      <c r="G567" s="24" t="s">
        <v>32</v>
      </c>
      <c r="H567" s="18"/>
      <c r="I567" s="87">
        <f t="shared" si="46"/>
        <v>0</v>
      </c>
      <c r="J567" s="24" t="s">
        <v>32</v>
      </c>
      <c r="K567" s="24" t="s">
        <v>32</v>
      </c>
      <c r="L567" s="24" t="s">
        <v>32</v>
      </c>
      <c r="M567" s="8"/>
    </row>
    <row r="568" spans="1:13" s="3" customFormat="1" ht="12" customHeight="1">
      <c r="A568" s="99" t="s">
        <v>480</v>
      </c>
      <c r="B568" s="75">
        <v>22</v>
      </c>
      <c r="C568" s="75">
        <v>17</v>
      </c>
      <c r="D568" s="2" t="s">
        <v>300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32</v>
      </c>
      <c r="K568" s="24" t="s">
        <v>32</v>
      </c>
      <c r="L568" s="24" t="s">
        <v>32</v>
      </c>
      <c r="M568" s="8"/>
    </row>
    <row r="569" spans="1:13" s="3" customFormat="1" ht="12" customHeight="1">
      <c r="A569" s="99" t="s">
        <v>481</v>
      </c>
      <c r="B569" s="75">
        <v>22</v>
      </c>
      <c r="C569" s="75">
        <v>18</v>
      </c>
      <c r="D569" s="2" t="s">
        <v>300</v>
      </c>
      <c r="E569" s="75">
        <v>561</v>
      </c>
      <c r="F569" s="18"/>
      <c r="G569" s="18"/>
      <c r="H569" s="18"/>
      <c r="I569" s="87">
        <f t="shared" si="46"/>
        <v>0</v>
      </c>
      <c r="J569" s="24" t="s">
        <v>32</v>
      </c>
      <c r="K569" s="24" t="s">
        <v>32</v>
      </c>
      <c r="L569" s="24" t="s">
        <v>32</v>
      </c>
      <c r="M569" s="8"/>
    </row>
    <row r="570" spans="1:13" s="3" customFormat="1" ht="12" customHeight="1">
      <c r="A570" s="99" t="s">
        <v>482</v>
      </c>
      <c r="B570" s="75">
        <v>22</v>
      </c>
      <c r="C570" s="75">
        <v>19</v>
      </c>
      <c r="D570" s="2" t="s">
        <v>300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32</v>
      </c>
      <c r="K570" s="24" t="s">
        <v>32</v>
      </c>
      <c r="L570" s="24" t="s">
        <v>32</v>
      </c>
      <c r="M570" s="8"/>
    </row>
    <row r="571" spans="1:13" s="3" customFormat="1" ht="12" customHeight="1">
      <c r="A571" s="145" t="s">
        <v>483</v>
      </c>
      <c r="B571" s="75">
        <v>22</v>
      </c>
      <c r="C571" s="75">
        <v>20</v>
      </c>
      <c r="D571" s="2" t="s">
        <v>300</v>
      </c>
      <c r="E571" s="75">
        <v>563</v>
      </c>
      <c r="F571" s="24" t="s">
        <v>32</v>
      </c>
      <c r="G571" s="24" t="s">
        <v>32</v>
      </c>
      <c r="H571" s="18"/>
      <c r="I571" s="87">
        <f t="shared" si="46"/>
        <v>0</v>
      </c>
      <c r="J571" s="24" t="s">
        <v>32</v>
      </c>
      <c r="K571" s="24" t="s">
        <v>32</v>
      </c>
      <c r="L571" s="24" t="s">
        <v>32</v>
      </c>
      <c r="M571" s="8"/>
    </row>
    <row r="572" spans="1:13" s="3" customFormat="1" ht="12" customHeight="1">
      <c r="A572" s="145" t="s">
        <v>484</v>
      </c>
      <c r="B572" s="75">
        <v>22</v>
      </c>
      <c r="C572" s="75">
        <v>21</v>
      </c>
      <c r="D572" s="2" t="s">
        <v>300</v>
      </c>
      <c r="E572" s="75">
        <v>564</v>
      </c>
      <c r="F572" s="18"/>
      <c r="G572" s="18"/>
      <c r="H572" s="18"/>
      <c r="I572" s="87">
        <f t="shared" si="46"/>
        <v>0</v>
      </c>
      <c r="J572" s="24" t="s">
        <v>32</v>
      </c>
      <c r="K572" s="24" t="s">
        <v>32</v>
      </c>
      <c r="L572" s="24" t="s">
        <v>32</v>
      </c>
      <c r="M572" s="8"/>
    </row>
    <row r="573" spans="1:13" s="3" customFormat="1" ht="12" customHeight="1">
      <c r="A573" s="145" t="s">
        <v>485</v>
      </c>
      <c r="B573" s="75">
        <v>22</v>
      </c>
      <c r="C573" s="75">
        <v>22</v>
      </c>
      <c r="D573" s="2" t="s">
        <v>300</v>
      </c>
      <c r="E573" s="75">
        <v>569</v>
      </c>
      <c r="F573" s="18">
        <v>80566.070000000007</v>
      </c>
      <c r="G573" s="18">
        <v>63883.74</v>
      </c>
      <c r="H573" s="18">
        <v>751205.53</v>
      </c>
      <c r="I573" s="87">
        <f t="shared" si="46"/>
        <v>895655.34000000008</v>
      </c>
      <c r="J573" s="24" t="s">
        <v>32</v>
      </c>
      <c r="K573" s="24" t="s">
        <v>32</v>
      </c>
      <c r="L573" s="24" t="s">
        <v>32</v>
      </c>
      <c r="M573" s="8"/>
    </row>
    <row r="574" spans="1:13" s="3" customFormat="1" ht="12" customHeight="1">
      <c r="A574" s="22" t="s">
        <v>486</v>
      </c>
      <c r="B574" s="75">
        <v>22</v>
      </c>
      <c r="C574" s="75">
        <v>23</v>
      </c>
      <c r="D574" s="2" t="s">
        <v>300</v>
      </c>
      <c r="E574" s="75">
        <v>561</v>
      </c>
      <c r="F574" s="18"/>
      <c r="G574" s="18"/>
      <c r="H574" s="18"/>
      <c r="I574" s="87">
        <f t="shared" si="46"/>
        <v>0</v>
      </c>
      <c r="J574" s="24" t="s">
        <v>32</v>
      </c>
      <c r="K574" s="24" t="s">
        <v>32</v>
      </c>
      <c r="L574" s="24" t="s">
        <v>32</v>
      </c>
      <c r="M574" s="8"/>
    </row>
    <row r="575" spans="1:13" s="3" customFormat="1" ht="12" customHeight="1">
      <c r="A575" s="22" t="s">
        <v>487</v>
      </c>
      <c r="B575" s="75">
        <v>22</v>
      </c>
      <c r="C575" s="75">
        <v>24</v>
      </c>
      <c r="D575" s="2" t="s">
        <v>300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32</v>
      </c>
      <c r="K575" s="24" t="s">
        <v>32</v>
      </c>
      <c r="L575" s="24" t="s">
        <v>32</v>
      </c>
      <c r="M575" s="8"/>
    </row>
    <row r="576" spans="1:13" s="3" customFormat="1" ht="12" customHeight="1">
      <c r="A576" s="22" t="s">
        <v>488</v>
      </c>
      <c r="B576" s="75">
        <v>22</v>
      </c>
      <c r="C576" s="75">
        <v>25</v>
      </c>
      <c r="D576" s="2" t="s">
        <v>300</v>
      </c>
      <c r="E576" s="75">
        <v>563</v>
      </c>
      <c r="F576" s="24" t="s">
        <v>32</v>
      </c>
      <c r="G576" s="24" t="s">
        <v>32</v>
      </c>
      <c r="H576" s="18"/>
      <c r="I576" s="87">
        <f t="shared" si="46"/>
        <v>0</v>
      </c>
      <c r="J576" s="24" t="s">
        <v>32</v>
      </c>
      <c r="K576" s="24" t="s">
        <v>32</v>
      </c>
      <c r="L576" s="24" t="s">
        <v>32</v>
      </c>
      <c r="M576" s="8"/>
    </row>
    <row r="577" spans="1:13" s="3" customFormat="1" ht="12" customHeight="1">
      <c r="A577" s="22" t="s">
        <v>489</v>
      </c>
      <c r="B577" s="75">
        <v>22</v>
      </c>
      <c r="C577" s="75">
        <v>26</v>
      </c>
      <c r="D577" s="2" t="s">
        <v>300</v>
      </c>
      <c r="E577" s="75">
        <v>564</v>
      </c>
      <c r="F577" s="18"/>
      <c r="G577" s="18"/>
      <c r="H577" s="18">
        <v>5032</v>
      </c>
      <c r="I577" s="87">
        <f t="shared" si="46"/>
        <v>5032</v>
      </c>
      <c r="J577" s="24" t="s">
        <v>32</v>
      </c>
      <c r="K577" s="24" t="s">
        <v>32</v>
      </c>
      <c r="L577" s="24" t="s">
        <v>32</v>
      </c>
      <c r="M577" s="8"/>
    </row>
    <row r="578" spans="1:13" s="3" customFormat="1" ht="12" customHeight="1">
      <c r="A578" s="172" t="s">
        <v>490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>
      <c r="A579" s="146" t="s">
        <v>491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>
      <c r="A580" s="96" t="s">
        <v>471</v>
      </c>
      <c r="B580" s="105"/>
      <c r="C580" s="105"/>
      <c r="D580" s="105"/>
      <c r="E580" s="105"/>
      <c r="F580" s="103" t="s">
        <v>492</v>
      </c>
      <c r="G580" s="103" t="s">
        <v>472</v>
      </c>
      <c r="H580" s="103" t="s">
        <v>493</v>
      </c>
      <c r="I580" s="103" t="s">
        <v>494</v>
      </c>
      <c r="J580" s="103" t="s">
        <v>495</v>
      </c>
      <c r="K580" s="103" t="s">
        <v>210</v>
      </c>
      <c r="L580" s="103"/>
      <c r="M580" s="8"/>
    </row>
    <row r="581" spans="1:13" s="3" customFormat="1" ht="12" customHeight="1">
      <c r="A581" s="3" t="s">
        <v>496</v>
      </c>
      <c r="B581" s="75">
        <v>23</v>
      </c>
      <c r="C581" s="75">
        <v>1</v>
      </c>
      <c r="D581" s="2" t="s">
        <v>300</v>
      </c>
      <c r="E581" s="75"/>
      <c r="F581" s="102">
        <v>2721</v>
      </c>
      <c r="G581" s="103" t="s">
        <v>497</v>
      </c>
      <c r="H581" s="18">
        <v>215681.3</v>
      </c>
      <c r="I581" s="18">
        <v>100253.87</v>
      </c>
      <c r="J581" s="18">
        <v>225977.84</v>
      </c>
      <c r="K581" s="104">
        <f t="shared" ref="K581:K587" si="47">SUM(H581:J581)</f>
        <v>541913.01</v>
      </c>
      <c r="L581" s="24" t="s">
        <v>32</v>
      </c>
      <c r="M581" s="8"/>
    </row>
    <row r="582" spans="1:13" s="3" customFormat="1" ht="12" customHeight="1">
      <c r="A582" s="3" t="s">
        <v>498</v>
      </c>
      <c r="B582" s="75">
        <v>23</v>
      </c>
      <c r="C582" s="75">
        <v>2</v>
      </c>
      <c r="D582" s="2" t="s">
        <v>300</v>
      </c>
      <c r="E582" s="75"/>
      <c r="F582" s="102">
        <v>2722</v>
      </c>
      <c r="G582" s="103" t="s">
        <v>497</v>
      </c>
      <c r="H582" s="18">
        <v>56735.95</v>
      </c>
      <c r="I582" s="18">
        <v>26159</v>
      </c>
      <c r="J582" s="18">
        <v>152555.88</v>
      </c>
      <c r="K582" s="104">
        <f t="shared" si="47"/>
        <v>235450.83000000002</v>
      </c>
      <c r="L582" s="24" t="s">
        <v>32</v>
      </c>
      <c r="M582" s="8"/>
    </row>
    <row r="583" spans="1:13" s="3" customFormat="1" ht="12" customHeight="1">
      <c r="A583" s="3" t="s">
        <v>499</v>
      </c>
      <c r="B583" s="75">
        <v>23</v>
      </c>
      <c r="C583" s="75">
        <v>3</v>
      </c>
      <c r="D583" s="2" t="s">
        <v>300</v>
      </c>
      <c r="E583" s="75"/>
      <c r="F583" s="102">
        <v>2723</v>
      </c>
      <c r="G583" s="103" t="s">
        <v>497</v>
      </c>
      <c r="H583" s="18"/>
      <c r="I583" s="18"/>
      <c r="J583" s="18"/>
      <c r="K583" s="104">
        <f t="shared" si="47"/>
        <v>0</v>
      </c>
      <c r="L583" s="24" t="s">
        <v>32</v>
      </c>
      <c r="M583" s="8"/>
    </row>
    <row r="584" spans="1:13" s="3" customFormat="1" ht="12" customHeight="1">
      <c r="A584" s="22" t="s">
        <v>500</v>
      </c>
      <c r="B584" s="75">
        <v>23</v>
      </c>
      <c r="C584" s="75">
        <v>4</v>
      </c>
      <c r="D584" s="2" t="s">
        <v>300</v>
      </c>
      <c r="E584" s="75"/>
      <c r="F584" s="102">
        <v>2724</v>
      </c>
      <c r="G584" s="103" t="s">
        <v>497</v>
      </c>
      <c r="H584" s="18">
        <v>1530.01</v>
      </c>
      <c r="I584" s="18">
        <v>10492.6</v>
      </c>
      <c r="J584" s="18">
        <v>55362.87</v>
      </c>
      <c r="K584" s="104">
        <f t="shared" si="47"/>
        <v>67385.48000000001</v>
      </c>
      <c r="L584" s="24" t="s">
        <v>32</v>
      </c>
      <c r="M584" s="8"/>
    </row>
    <row r="585" spans="1:13" s="3" customFormat="1" ht="12" customHeight="1">
      <c r="A585" s="170" t="s">
        <v>501</v>
      </c>
      <c r="B585" s="75">
        <v>23</v>
      </c>
      <c r="C585" s="75">
        <v>5</v>
      </c>
      <c r="D585" s="2" t="s">
        <v>300</v>
      </c>
      <c r="E585" s="75"/>
      <c r="F585" s="102">
        <v>2725</v>
      </c>
      <c r="G585" s="103" t="s">
        <v>497</v>
      </c>
      <c r="H585" s="18">
        <v>20411.349999999999</v>
      </c>
      <c r="I585" s="18">
        <v>18240.11</v>
      </c>
      <c r="J585" s="18">
        <v>14179.46</v>
      </c>
      <c r="K585" s="104">
        <f t="shared" si="47"/>
        <v>52830.92</v>
      </c>
      <c r="L585" s="24" t="s">
        <v>32</v>
      </c>
      <c r="M585" s="8"/>
    </row>
    <row r="586" spans="1:13" s="3" customFormat="1" ht="12" customHeight="1">
      <c r="A586" s="22" t="s">
        <v>502</v>
      </c>
      <c r="B586" s="75">
        <v>23</v>
      </c>
      <c r="C586" s="75">
        <v>6</v>
      </c>
      <c r="D586" s="2" t="s">
        <v>300</v>
      </c>
      <c r="E586" s="75"/>
      <c r="F586" s="102">
        <v>2726</v>
      </c>
      <c r="G586" s="103" t="s">
        <v>497</v>
      </c>
      <c r="H586" s="18"/>
      <c r="I586" s="18"/>
      <c r="J586" s="18"/>
      <c r="K586" s="104">
        <f t="shared" si="47"/>
        <v>0</v>
      </c>
      <c r="L586" s="24" t="s">
        <v>32</v>
      </c>
      <c r="M586" s="8"/>
    </row>
    <row r="587" spans="1:13" s="3" customFormat="1" ht="12" customHeight="1" thickBot="1">
      <c r="A587" s="3" t="s">
        <v>503</v>
      </c>
      <c r="B587" s="75">
        <v>23</v>
      </c>
      <c r="C587" s="75">
        <v>7</v>
      </c>
      <c r="D587" s="2" t="s">
        <v>300</v>
      </c>
      <c r="E587" s="75"/>
      <c r="F587" s="102">
        <v>2729</v>
      </c>
      <c r="G587" s="103" t="s">
        <v>497</v>
      </c>
      <c r="H587" s="18"/>
      <c r="I587" s="18"/>
      <c r="J587" s="18"/>
      <c r="K587" s="104">
        <f t="shared" si="47"/>
        <v>0</v>
      </c>
      <c r="L587" s="24" t="s">
        <v>32</v>
      </c>
      <c r="M587" s="8"/>
    </row>
    <row r="588" spans="1:13" s="3" customFormat="1" ht="12" customHeight="1" thickTop="1">
      <c r="A588" s="98" t="s">
        <v>298</v>
      </c>
      <c r="B588" s="44">
        <v>23</v>
      </c>
      <c r="C588" s="44">
        <v>8</v>
      </c>
      <c r="D588" s="39" t="s">
        <v>300</v>
      </c>
      <c r="E588" s="44"/>
      <c r="F588" s="147">
        <v>2700</v>
      </c>
      <c r="G588" s="148" t="s">
        <v>497</v>
      </c>
      <c r="H588" s="108">
        <f>SUM(H581:H587)</f>
        <v>294358.61</v>
      </c>
      <c r="I588" s="108">
        <f>SUM(I581:I587)</f>
        <v>155145.58000000002</v>
      </c>
      <c r="J588" s="108">
        <f>SUM(J581:J587)</f>
        <v>448076.05</v>
      </c>
      <c r="K588" s="108">
        <f>SUM(K581:K587)</f>
        <v>897580.24000000011</v>
      </c>
      <c r="L588" s="24" t="s">
        <v>32</v>
      </c>
      <c r="M588" s="8"/>
    </row>
    <row r="589" spans="1:13" s="3" customFormat="1" ht="12" customHeight="1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>
      <c r="A590" s="96" t="s">
        <v>504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>
      <c r="A591" s="96" t="s">
        <v>471</v>
      </c>
      <c r="B591" s="105"/>
      <c r="C591" s="105"/>
      <c r="D591" s="105"/>
      <c r="E591" s="105"/>
      <c r="F591" s="103" t="s">
        <v>492</v>
      </c>
      <c r="G591" s="103" t="s">
        <v>472</v>
      </c>
      <c r="H591" s="103" t="s">
        <v>493</v>
      </c>
      <c r="I591" s="103" t="s">
        <v>494</v>
      </c>
      <c r="J591" s="103" t="s">
        <v>495</v>
      </c>
      <c r="K591" s="103" t="s">
        <v>210</v>
      </c>
      <c r="L591" s="103"/>
      <c r="M591" s="8"/>
    </row>
    <row r="592" spans="1:13" s="3" customFormat="1" ht="12" customHeight="1">
      <c r="A592" s="22" t="s">
        <v>505</v>
      </c>
      <c r="B592" s="105">
        <v>23</v>
      </c>
      <c r="C592" s="105">
        <v>9</v>
      </c>
      <c r="D592" s="2" t="s">
        <v>300</v>
      </c>
      <c r="E592" s="105"/>
      <c r="F592" s="103" t="s">
        <v>506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32</v>
      </c>
      <c r="M592" s="8"/>
    </row>
    <row r="593" spans="1:13" s="3" customFormat="1" ht="12" customHeight="1">
      <c r="A593" s="22" t="s">
        <v>507</v>
      </c>
      <c r="B593" s="105">
        <v>23</v>
      </c>
      <c r="C593" s="105">
        <v>10</v>
      </c>
      <c r="D593" s="2" t="s">
        <v>300</v>
      </c>
      <c r="E593" s="105"/>
      <c r="F593" s="103" t="s">
        <v>506</v>
      </c>
      <c r="G593" s="102">
        <v>720</v>
      </c>
      <c r="H593" s="18">
        <v>44520.12</v>
      </c>
      <c r="I593" s="18">
        <v>6106.37</v>
      </c>
      <c r="J593" s="18">
        <v>70740.19</v>
      </c>
      <c r="K593" s="104">
        <f>SUM(H593:J593)</f>
        <v>121366.68000000001</v>
      </c>
      <c r="L593" s="24" t="s">
        <v>32</v>
      </c>
      <c r="M593" s="8"/>
    </row>
    <row r="594" spans="1:13" s="3" customFormat="1" ht="12" customHeight="1" thickBot="1">
      <c r="A594" s="22" t="s">
        <v>508</v>
      </c>
      <c r="B594" s="105">
        <v>23</v>
      </c>
      <c r="C594" s="105">
        <v>11</v>
      </c>
      <c r="D594" s="2" t="s">
        <v>300</v>
      </c>
      <c r="E594" s="105"/>
      <c r="F594" s="103" t="s">
        <v>506</v>
      </c>
      <c r="G594" s="102">
        <v>730</v>
      </c>
      <c r="H594" s="18">
        <v>109214.5</v>
      </c>
      <c r="I594" s="18">
        <v>46667.69</v>
      </c>
      <c r="J594" s="18">
        <v>133854.60999999999</v>
      </c>
      <c r="K594" s="104">
        <f>SUM(H594:J594)</f>
        <v>289736.8</v>
      </c>
      <c r="L594" s="24" t="s">
        <v>32</v>
      </c>
      <c r="M594" s="8"/>
    </row>
    <row r="595" spans="1:13" s="3" customFormat="1" ht="12" customHeight="1" thickTop="1">
      <c r="A595" s="98" t="s">
        <v>298</v>
      </c>
      <c r="B595" s="44">
        <v>23</v>
      </c>
      <c r="C595" s="44">
        <v>12</v>
      </c>
      <c r="D595" s="39" t="s">
        <v>300</v>
      </c>
      <c r="E595" s="44"/>
      <c r="F595" s="148" t="s">
        <v>506</v>
      </c>
      <c r="G595" s="147">
        <v>700</v>
      </c>
      <c r="H595" s="108">
        <f>SUM(H592:H594)</f>
        <v>153734.62</v>
      </c>
      <c r="I595" s="108">
        <f>SUM(I592:I594)</f>
        <v>52774.060000000005</v>
      </c>
      <c r="J595" s="108">
        <f>SUM(J592:J594)</f>
        <v>204594.8</v>
      </c>
      <c r="K595" s="108">
        <f>SUM(K592:K594)</f>
        <v>411103.48</v>
      </c>
      <c r="L595" s="24" t="s">
        <v>32</v>
      </c>
      <c r="M595" s="8"/>
    </row>
    <row r="596" spans="1:13" s="3" customFormat="1" ht="12" customHeight="1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>
      <c r="A598" s="96" t="s">
        <v>509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>
      <c r="B599" s="105"/>
      <c r="C599" s="105"/>
      <c r="D599" s="105"/>
      <c r="E599" s="105"/>
      <c r="F599" s="176" t="s">
        <v>197</v>
      </c>
      <c r="G599" s="176" t="s">
        <v>198</v>
      </c>
      <c r="H599" s="176" t="s">
        <v>199</v>
      </c>
      <c r="I599" s="176" t="s">
        <v>200</v>
      </c>
      <c r="J599" s="176" t="s">
        <v>201</v>
      </c>
      <c r="K599" s="176" t="s">
        <v>202</v>
      </c>
      <c r="L599" s="88"/>
      <c r="M599" s="8"/>
    </row>
    <row r="600" spans="1:13" s="3" customFormat="1" ht="12" customHeight="1">
      <c r="A600" s="96" t="s">
        <v>471</v>
      </c>
      <c r="B600" s="105"/>
      <c r="C600" s="105"/>
      <c r="D600" s="105"/>
      <c r="E600" s="105"/>
      <c r="F600" s="103" t="s">
        <v>204</v>
      </c>
      <c r="G600" s="103" t="s">
        <v>205</v>
      </c>
      <c r="H600" s="103" t="s">
        <v>206</v>
      </c>
      <c r="I600" s="103" t="s">
        <v>207</v>
      </c>
      <c r="J600" s="103" t="s">
        <v>208</v>
      </c>
      <c r="K600" s="103" t="s">
        <v>209</v>
      </c>
      <c r="L600" s="106" t="s">
        <v>210</v>
      </c>
      <c r="M600" s="8"/>
    </row>
    <row r="601" spans="1:13" s="3" customFormat="1" ht="12" customHeight="1">
      <c r="A601" s="22" t="s">
        <v>438</v>
      </c>
      <c r="B601" s="75">
        <v>23</v>
      </c>
      <c r="C601" s="75">
        <v>13</v>
      </c>
      <c r="D601" s="2" t="s">
        <v>300</v>
      </c>
      <c r="E601" s="75"/>
      <c r="F601" s="18"/>
      <c r="G601" s="18"/>
      <c r="H601" s="18"/>
      <c r="I601" s="18"/>
      <c r="J601" s="18"/>
      <c r="K601" s="18"/>
      <c r="L601" s="88">
        <f>SUM(F601:K601)</f>
        <v>0</v>
      </c>
      <c r="M601" s="8"/>
    </row>
    <row r="602" spans="1:13" s="3" customFormat="1" ht="12" customHeight="1">
      <c r="A602" s="22" t="s">
        <v>439</v>
      </c>
      <c r="B602" s="75">
        <v>23</v>
      </c>
      <c r="C602" s="75">
        <v>14</v>
      </c>
      <c r="D602" s="2" t="s">
        <v>300</v>
      </c>
      <c r="E602" s="75"/>
      <c r="F602" s="18">
        <v>3400</v>
      </c>
      <c r="G602" s="18">
        <v>533.71</v>
      </c>
      <c r="H602" s="18"/>
      <c r="I602" s="18"/>
      <c r="J602" s="18"/>
      <c r="K602" s="18"/>
      <c r="L602" s="88">
        <f>SUM(F602:K602)</f>
        <v>3933.71</v>
      </c>
      <c r="M602" s="8"/>
    </row>
    <row r="603" spans="1:13" s="3" customFormat="1" ht="12" customHeight="1" thickBot="1">
      <c r="A603" s="22" t="s">
        <v>510</v>
      </c>
      <c r="B603" s="75">
        <v>23</v>
      </c>
      <c r="C603" s="75">
        <v>15</v>
      </c>
      <c r="D603" s="2" t="s">
        <v>300</v>
      </c>
      <c r="E603" s="75"/>
      <c r="F603" s="18">
        <v>14800</v>
      </c>
      <c r="G603" s="18">
        <v>2149.6799999999998</v>
      </c>
      <c r="H603" s="18"/>
      <c r="I603" s="18"/>
      <c r="J603" s="18"/>
      <c r="K603" s="18"/>
      <c r="L603" s="88">
        <f>SUM(F603:K603)</f>
        <v>16949.68</v>
      </c>
      <c r="M603" s="8"/>
    </row>
    <row r="604" spans="1:13" s="3" customFormat="1" ht="12" customHeight="1" thickTop="1">
      <c r="A604" s="98" t="s">
        <v>298</v>
      </c>
      <c r="B604" s="107">
        <v>23</v>
      </c>
      <c r="C604" s="107">
        <v>16</v>
      </c>
      <c r="D604" s="39" t="s">
        <v>300</v>
      </c>
      <c r="E604" s="107"/>
      <c r="F604" s="108">
        <f t="shared" ref="F604:L604" si="48">SUM(F601:F603)</f>
        <v>18200</v>
      </c>
      <c r="G604" s="108">
        <f t="shared" si="48"/>
        <v>2683.39</v>
      </c>
      <c r="H604" s="108">
        <f t="shared" si="48"/>
        <v>0</v>
      </c>
      <c r="I604" s="108">
        <f t="shared" si="48"/>
        <v>0</v>
      </c>
      <c r="J604" s="108">
        <f t="shared" si="48"/>
        <v>0</v>
      </c>
      <c r="K604" s="108">
        <f t="shared" si="48"/>
        <v>0</v>
      </c>
      <c r="L604" s="89">
        <f t="shared" si="48"/>
        <v>20883.39</v>
      </c>
      <c r="M604" s="8"/>
    </row>
    <row r="605" spans="1:13" s="3" customFormat="1" ht="12" customHeight="1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>
      <c r="A606" s="97"/>
      <c r="B606" s="105"/>
      <c r="C606" s="105"/>
      <c r="D606" s="105"/>
      <c r="E606" s="105"/>
      <c r="F606" s="149" t="s">
        <v>511</v>
      </c>
      <c r="G606" s="150"/>
      <c r="H606" s="150"/>
      <c r="I606" s="149" t="s">
        <v>511</v>
      </c>
      <c r="J606" s="109"/>
      <c r="K606" s="109"/>
      <c r="L606" s="109"/>
      <c r="M606" s="8"/>
    </row>
    <row r="607" spans="1:13" s="3" customFormat="1" ht="12" customHeight="1">
      <c r="A607" s="97" t="s">
        <v>512</v>
      </c>
      <c r="B607" s="105"/>
      <c r="C607" s="105"/>
      <c r="D607" s="105"/>
      <c r="E607" s="105"/>
      <c r="F607" s="121" t="s">
        <v>513</v>
      </c>
      <c r="G607" s="109">
        <f>SUM(F19)</f>
        <v>0</v>
      </c>
      <c r="H607" s="109">
        <f>SUM(F44)</f>
        <v>0</v>
      </c>
      <c r="I607" s="121" t="s">
        <v>514</v>
      </c>
      <c r="J607" s="109">
        <f>G607-H607</f>
        <v>0</v>
      </c>
      <c r="K607" s="109"/>
      <c r="L607" s="109"/>
      <c r="M607" s="8"/>
    </row>
    <row r="608" spans="1:13" s="3" customFormat="1" ht="12" customHeight="1">
      <c r="A608" s="97" t="s">
        <v>515</v>
      </c>
      <c r="B608" s="105"/>
      <c r="C608" s="105"/>
      <c r="D608" s="105"/>
      <c r="E608" s="105"/>
      <c r="F608" s="121" t="s">
        <v>516</v>
      </c>
      <c r="G608" s="109">
        <f>SUM(G19)</f>
        <v>80184.909999999989</v>
      </c>
      <c r="H608" s="109">
        <f>SUM(G44)</f>
        <v>80184.91</v>
      </c>
      <c r="I608" s="121" t="s">
        <v>517</v>
      </c>
      <c r="J608" s="109">
        <f>G608-H608</f>
        <v>0</v>
      </c>
      <c r="K608" s="109"/>
      <c r="L608" s="109"/>
      <c r="M608" s="8"/>
    </row>
    <row r="609" spans="1:13" s="3" customFormat="1" ht="12" customHeight="1">
      <c r="A609" s="97"/>
      <c r="B609" s="105"/>
      <c r="C609" s="105"/>
      <c r="D609" s="105"/>
      <c r="E609" s="105"/>
      <c r="F609" s="121" t="s">
        <v>518</v>
      </c>
      <c r="G609" s="109">
        <f>SUM(H19)</f>
        <v>672255.5</v>
      </c>
      <c r="H609" s="109">
        <f>SUM(H44)</f>
        <v>672255.5</v>
      </c>
      <c r="I609" s="121" t="s">
        <v>519</v>
      </c>
      <c r="J609" s="109">
        <f>G609-H609</f>
        <v>0</v>
      </c>
      <c r="K609" s="109"/>
      <c r="L609" s="109"/>
      <c r="M609" s="8"/>
    </row>
    <row r="610" spans="1:13" s="3" customFormat="1" ht="12" customHeight="1">
      <c r="A610" s="97"/>
      <c r="B610" s="105"/>
      <c r="C610" s="105"/>
      <c r="D610" s="105"/>
      <c r="E610" s="105"/>
      <c r="F610" s="121" t="s">
        <v>520</v>
      </c>
      <c r="G610" s="109">
        <f>SUM(I19)</f>
        <v>0</v>
      </c>
      <c r="H610" s="109">
        <f>SUM(I44)</f>
        <v>0</v>
      </c>
      <c r="I610" s="121" t="s">
        <v>521</v>
      </c>
      <c r="J610" s="109">
        <f>G610-H610</f>
        <v>0</v>
      </c>
      <c r="K610" s="109"/>
      <c r="L610" s="109"/>
      <c r="M610" s="8"/>
    </row>
    <row r="611" spans="1:13" s="3" customFormat="1" ht="12" customHeight="1">
      <c r="A611" s="97"/>
      <c r="B611" s="105"/>
      <c r="C611" s="105"/>
      <c r="D611" s="105"/>
      <c r="E611" s="105"/>
      <c r="F611" s="121" t="s">
        <v>522</v>
      </c>
      <c r="G611" s="109">
        <f>SUM(J19)</f>
        <v>4968133.58</v>
      </c>
      <c r="H611" s="109">
        <f>SUM(J44)</f>
        <v>4968133.58</v>
      </c>
      <c r="I611" s="121" t="s">
        <v>523</v>
      </c>
      <c r="J611" s="109">
        <f>G611-H611</f>
        <v>0</v>
      </c>
      <c r="K611" s="109"/>
      <c r="L611" s="109"/>
      <c r="M611" s="8"/>
    </row>
    <row r="612" spans="1:13" s="3" customFormat="1" ht="12" customHeight="1">
      <c r="A612" s="97"/>
      <c r="B612" s="105"/>
      <c r="C612" s="105"/>
      <c r="D612" s="105"/>
      <c r="E612" s="105"/>
      <c r="F612" s="121" t="s">
        <v>524</v>
      </c>
      <c r="G612" s="109">
        <f>F43</f>
        <v>0</v>
      </c>
      <c r="H612" s="109">
        <f>F466</f>
        <v>0</v>
      </c>
      <c r="I612" s="121" t="s">
        <v>525</v>
      </c>
      <c r="J612" s="109">
        <f t="shared" ref="J612:J645" si="49">G612-H612</f>
        <v>0</v>
      </c>
      <c r="K612" s="109"/>
      <c r="L612" s="109"/>
      <c r="M612" s="8"/>
    </row>
    <row r="613" spans="1:13" s="3" customFormat="1" ht="12" customHeight="1">
      <c r="A613" s="97"/>
      <c r="B613" s="105"/>
      <c r="C613" s="119"/>
      <c r="D613" s="119"/>
      <c r="E613" s="119"/>
      <c r="F613" s="119" t="s">
        <v>526</v>
      </c>
      <c r="G613" s="109">
        <f>G43</f>
        <v>60305.279999999999</v>
      </c>
      <c r="H613" s="109">
        <f>G466</f>
        <v>60305.280000000028</v>
      </c>
      <c r="I613" s="121" t="s">
        <v>527</v>
      </c>
      <c r="J613" s="109">
        <f t="shared" si="49"/>
        <v>0</v>
      </c>
      <c r="K613" s="109"/>
      <c r="L613" s="109"/>
      <c r="M613" s="8"/>
    </row>
    <row r="614" spans="1:13" s="3" customFormat="1" ht="12" customHeight="1">
      <c r="A614" s="97"/>
      <c r="B614" s="105"/>
      <c r="C614" s="105"/>
      <c r="D614" s="105"/>
      <c r="E614" s="105"/>
      <c r="F614" s="120" t="s">
        <v>528</v>
      </c>
      <c r="G614" s="109">
        <f>H43</f>
        <v>339344.09</v>
      </c>
      <c r="H614" s="109">
        <f>H466</f>
        <v>339344.09000000078</v>
      </c>
      <c r="I614" s="121" t="s">
        <v>529</v>
      </c>
      <c r="J614" s="109">
        <f t="shared" si="49"/>
        <v>-7.5669959187507629E-10</v>
      </c>
      <c r="K614" s="109"/>
      <c r="L614" s="109"/>
      <c r="M614" s="8"/>
    </row>
    <row r="615" spans="1:13" s="3" customFormat="1" ht="12" customHeight="1">
      <c r="A615" s="97"/>
      <c r="B615" s="105"/>
      <c r="C615" s="105"/>
      <c r="D615" s="105"/>
      <c r="E615" s="105"/>
      <c r="F615" s="120" t="s">
        <v>530</v>
      </c>
      <c r="G615" s="109">
        <f>I43</f>
        <v>0</v>
      </c>
      <c r="H615" s="109">
        <f>I466</f>
        <v>0</v>
      </c>
      <c r="I615" s="121" t="s">
        <v>531</v>
      </c>
      <c r="J615" s="109">
        <f t="shared" si="49"/>
        <v>0</v>
      </c>
      <c r="K615" s="109"/>
      <c r="L615" s="109"/>
      <c r="M615" s="8"/>
    </row>
    <row r="616" spans="1:13" s="3" customFormat="1" ht="12" customHeight="1">
      <c r="A616" s="22"/>
      <c r="B616" s="105"/>
      <c r="C616" s="105"/>
      <c r="D616" s="105"/>
      <c r="E616" s="105"/>
      <c r="F616" s="120" t="s">
        <v>532</v>
      </c>
      <c r="G616" s="109">
        <f>J43</f>
        <v>4968133.58</v>
      </c>
      <c r="H616" s="109">
        <f>J466</f>
        <v>4968133.58</v>
      </c>
      <c r="I616" s="139" t="s">
        <v>533</v>
      </c>
      <c r="J616" s="109">
        <f t="shared" si="49"/>
        <v>0</v>
      </c>
      <c r="K616" s="85"/>
      <c r="L616" s="88"/>
      <c r="M616" s="8"/>
    </row>
    <row r="617" spans="1:13" s="3" customFormat="1" ht="12" customHeight="1">
      <c r="A617" s="22"/>
      <c r="B617" s="105"/>
      <c r="C617" s="105"/>
      <c r="D617" s="105"/>
      <c r="E617" s="105"/>
      <c r="F617" s="120" t="s">
        <v>534</v>
      </c>
      <c r="G617" s="109">
        <f>F185</f>
        <v>36903940.399999999</v>
      </c>
      <c r="H617" s="104">
        <f>SUM(F458)</f>
        <v>36903940.399999999</v>
      </c>
      <c r="I617" s="139" t="s">
        <v>535</v>
      </c>
      <c r="J617" s="109">
        <f>G617-H617</f>
        <v>0</v>
      </c>
      <c r="K617" s="85"/>
      <c r="L617" s="88"/>
      <c r="M617" s="8"/>
    </row>
    <row r="618" spans="1:13" s="3" customFormat="1" ht="12" customHeight="1">
      <c r="A618" s="22"/>
      <c r="B618" s="105"/>
      <c r="C618" s="105"/>
      <c r="D618" s="105"/>
      <c r="E618" s="105"/>
      <c r="F618" s="120" t="s">
        <v>536</v>
      </c>
      <c r="G618" s="109">
        <f>G185</f>
        <v>833129.05999999994</v>
      </c>
      <c r="H618" s="104">
        <f>SUM(G458)</f>
        <v>833129.06</v>
      </c>
      <c r="I618" s="139" t="s">
        <v>537</v>
      </c>
      <c r="J618" s="109">
        <f>G618-H618</f>
        <v>0</v>
      </c>
      <c r="K618" s="85"/>
      <c r="L618" s="88"/>
      <c r="M618" s="8"/>
    </row>
    <row r="619" spans="1:13" s="3" customFormat="1" ht="12" customHeight="1">
      <c r="A619" s="22"/>
      <c r="B619" s="105"/>
      <c r="C619" s="105"/>
      <c r="D619" s="105"/>
      <c r="E619" s="105"/>
      <c r="F619" s="120" t="s">
        <v>538</v>
      </c>
      <c r="G619" s="109">
        <f>H185</f>
        <v>4395435.6900000004</v>
      </c>
      <c r="H619" s="104">
        <f>SUM(H458)</f>
        <v>4395435.6900000004</v>
      </c>
      <c r="I619" s="139" t="s">
        <v>539</v>
      </c>
      <c r="J619" s="109">
        <f>G619-H619</f>
        <v>0</v>
      </c>
      <c r="K619" s="85"/>
      <c r="L619" s="88"/>
      <c r="M619" s="8"/>
    </row>
    <row r="620" spans="1:13" s="3" customFormat="1" ht="12" customHeight="1">
      <c r="A620" s="22"/>
      <c r="B620" s="105"/>
      <c r="C620" s="105"/>
      <c r="D620" s="105"/>
      <c r="E620" s="105"/>
      <c r="F620" s="120" t="s">
        <v>540</v>
      </c>
      <c r="G620" s="109">
        <f>I185</f>
        <v>0</v>
      </c>
      <c r="H620" s="104">
        <f>SUM(I458)</f>
        <v>0</v>
      </c>
      <c r="I620" s="139" t="s">
        <v>541</v>
      </c>
      <c r="J620" s="109">
        <f>G620-H620</f>
        <v>0</v>
      </c>
      <c r="K620" s="85"/>
      <c r="L620" s="88"/>
      <c r="M620" s="8"/>
    </row>
    <row r="621" spans="1:13" s="3" customFormat="1" ht="12" customHeight="1">
      <c r="A621" s="22"/>
      <c r="B621" s="105"/>
      <c r="C621" s="105"/>
      <c r="D621" s="105"/>
      <c r="E621" s="105"/>
      <c r="F621" s="120" t="s">
        <v>542</v>
      </c>
      <c r="G621" s="109">
        <f>J185</f>
        <v>312058.18</v>
      </c>
      <c r="H621" s="104">
        <f>SUM(J458)</f>
        <v>312058.18</v>
      </c>
      <c r="I621" s="139" t="s">
        <v>543</v>
      </c>
      <c r="J621" s="109">
        <f>G621-H621</f>
        <v>0</v>
      </c>
      <c r="K621" s="85"/>
      <c r="L621" s="88"/>
      <c r="M621" s="8"/>
    </row>
    <row r="622" spans="1:13" s="3" customFormat="1" ht="12" customHeight="1">
      <c r="A622" s="22"/>
      <c r="B622" s="105"/>
      <c r="C622" s="105"/>
      <c r="D622" s="105"/>
      <c r="E622" s="105"/>
      <c r="F622" s="120" t="s">
        <v>544</v>
      </c>
      <c r="G622" s="109">
        <f>SUM(L263)</f>
        <v>36903940.399999999</v>
      </c>
      <c r="H622" s="104">
        <f>SUM(F462)</f>
        <v>36903940.399999999</v>
      </c>
      <c r="I622" s="139" t="s">
        <v>545</v>
      </c>
      <c r="J622" s="109">
        <f t="shared" si="49"/>
        <v>0</v>
      </c>
      <c r="K622" s="85"/>
      <c r="L622" s="88"/>
      <c r="M622" s="8"/>
    </row>
    <row r="623" spans="1:13" s="3" customFormat="1" ht="12" customHeight="1">
      <c r="A623" s="22"/>
      <c r="B623" s="105"/>
      <c r="C623" s="105"/>
      <c r="D623" s="105"/>
      <c r="E623" s="105"/>
      <c r="F623" s="120" t="s">
        <v>546</v>
      </c>
      <c r="G623" s="109">
        <f>SUM(L344)</f>
        <v>4504972.0100000007</v>
      </c>
      <c r="H623" s="104">
        <f>SUM(H462)</f>
        <v>4504972.01</v>
      </c>
      <c r="I623" s="139" t="s">
        <v>547</v>
      </c>
      <c r="J623" s="109">
        <f>G623-H623</f>
        <v>0</v>
      </c>
      <c r="K623" s="85"/>
      <c r="L623" s="88"/>
      <c r="M623" s="8"/>
    </row>
    <row r="624" spans="1:13" s="3" customFormat="1" ht="12" customHeight="1">
      <c r="A624" s="22"/>
      <c r="B624" s="105"/>
      <c r="C624" s="105"/>
      <c r="D624" s="105"/>
      <c r="E624" s="105"/>
      <c r="F624" s="141" t="s">
        <v>548</v>
      </c>
      <c r="G624" s="109">
        <f>I354</f>
        <v>354721.72</v>
      </c>
      <c r="H624" s="104">
        <f>I361</f>
        <v>354721.72000000003</v>
      </c>
      <c r="I624" s="142" t="s">
        <v>549</v>
      </c>
      <c r="J624" s="109">
        <f>G624-H624</f>
        <v>0</v>
      </c>
      <c r="K624" s="85"/>
      <c r="L624" s="88"/>
      <c r="M624" s="8"/>
    </row>
    <row r="625" spans="1:13" s="3" customFormat="1" ht="12" customHeight="1">
      <c r="A625" s="22"/>
      <c r="B625" s="105"/>
      <c r="C625" s="105"/>
      <c r="D625" s="105"/>
      <c r="E625" s="105"/>
      <c r="F625" s="120" t="s">
        <v>550</v>
      </c>
      <c r="G625" s="109">
        <f>SUM(L354)</f>
        <v>788590.02</v>
      </c>
      <c r="H625" s="104">
        <f>SUM(G462)</f>
        <v>788590.02</v>
      </c>
      <c r="I625" s="139" t="s">
        <v>551</v>
      </c>
      <c r="J625" s="109">
        <f t="shared" si="49"/>
        <v>0</v>
      </c>
      <c r="K625" s="85"/>
      <c r="L625" s="88"/>
      <c r="M625" s="8"/>
    </row>
    <row r="626" spans="1:13" s="3" customFormat="1" ht="12" customHeight="1">
      <c r="A626" s="22"/>
      <c r="B626" s="105"/>
      <c r="C626" s="105"/>
      <c r="D626" s="105"/>
      <c r="E626" s="105"/>
      <c r="F626" s="120" t="s">
        <v>552</v>
      </c>
      <c r="G626" s="109">
        <f>SUM(L374)</f>
        <v>0</v>
      </c>
      <c r="H626" s="104">
        <f>SUM(I462)</f>
        <v>0</v>
      </c>
      <c r="I626" s="139" t="s">
        <v>553</v>
      </c>
      <c r="J626" s="109">
        <f t="shared" si="49"/>
        <v>0</v>
      </c>
      <c r="K626" s="85"/>
      <c r="L626" s="88"/>
      <c r="M626" s="8"/>
    </row>
    <row r="627" spans="1:13" s="168" customFormat="1" ht="12" customHeight="1">
      <c r="A627" s="160"/>
      <c r="B627" s="161"/>
      <c r="C627" s="161"/>
      <c r="D627" s="161"/>
      <c r="E627" s="161"/>
      <c r="F627" s="162" t="s">
        <v>554</v>
      </c>
      <c r="G627" s="150">
        <f>SUM(L400)</f>
        <v>312058.18</v>
      </c>
      <c r="H627" s="163">
        <f>SUM(J458)</f>
        <v>312058.18</v>
      </c>
      <c r="I627" s="164" t="s">
        <v>543</v>
      </c>
      <c r="J627" s="150">
        <f t="shared" si="49"/>
        <v>0</v>
      </c>
      <c r="K627" s="165"/>
      <c r="L627" s="166"/>
      <c r="M627" s="167"/>
    </row>
    <row r="628" spans="1:13" s="168" customFormat="1" ht="12" customHeight="1">
      <c r="A628" s="160"/>
      <c r="B628" s="161"/>
      <c r="C628" s="161"/>
      <c r="D628" s="161"/>
      <c r="E628" s="161"/>
      <c r="F628" s="162" t="s">
        <v>555</v>
      </c>
      <c r="G628" s="150">
        <f>SUM(L426)</f>
        <v>143717.09</v>
      </c>
      <c r="H628" s="163">
        <f>SUM(J462)</f>
        <v>143717.09</v>
      </c>
      <c r="I628" s="164" t="s">
        <v>556</v>
      </c>
      <c r="J628" s="150">
        <f t="shared" si="49"/>
        <v>0</v>
      </c>
      <c r="K628" s="165"/>
      <c r="L628" s="166"/>
      <c r="M628" s="167"/>
    </row>
    <row r="629" spans="1:13" s="3" customFormat="1" ht="12" customHeight="1">
      <c r="A629" s="22"/>
      <c r="B629" s="105"/>
      <c r="C629" s="105"/>
      <c r="D629" s="105"/>
      <c r="E629" s="105"/>
      <c r="F629" s="120" t="s">
        <v>557</v>
      </c>
      <c r="G629" s="109">
        <f>SUM(F438)</f>
        <v>0</v>
      </c>
      <c r="H629" s="104">
        <f>SUM(F451)</f>
        <v>0</v>
      </c>
      <c r="I629" s="139" t="s">
        <v>558</v>
      </c>
      <c r="J629" s="109">
        <f t="shared" si="49"/>
        <v>0</v>
      </c>
      <c r="K629" s="85"/>
      <c r="L629" s="88"/>
      <c r="M629" s="8"/>
    </row>
    <row r="630" spans="1:13" s="3" customFormat="1" ht="12" customHeight="1">
      <c r="A630" s="22"/>
      <c r="B630" s="105"/>
      <c r="C630" s="105"/>
      <c r="D630" s="105"/>
      <c r="E630" s="105"/>
      <c r="F630" s="120" t="s">
        <v>559</v>
      </c>
      <c r="G630" s="109">
        <f>SUM(G438)</f>
        <v>0</v>
      </c>
      <c r="H630" s="104">
        <f>SUM(G451)</f>
        <v>0</v>
      </c>
      <c r="I630" s="139" t="s">
        <v>560</v>
      </c>
      <c r="J630" s="109">
        <f t="shared" si="49"/>
        <v>0</v>
      </c>
      <c r="K630" s="85"/>
      <c r="L630" s="88"/>
      <c r="M630" s="8"/>
    </row>
    <row r="631" spans="1:13" s="3" customFormat="1" ht="12" customHeight="1">
      <c r="A631" s="22"/>
      <c r="B631" s="105"/>
      <c r="C631" s="105"/>
      <c r="D631" s="105"/>
      <c r="E631" s="105"/>
      <c r="F631" s="120" t="s">
        <v>561</v>
      </c>
      <c r="G631" s="109">
        <f>SUM(H438)</f>
        <v>4968133.58</v>
      </c>
      <c r="H631" s="104">
        <f>SUM(H451)</f>
        <v>4968133.58</v>
      </c>
      <c r="I631" s="139" t="s">
        <v>562</v>
      </c>
      <c r="J631" s="109">
        <f t="shared" si="49"/>
        <v>0</v>
      </c>
      <c r="K631" s="85"/>
      <c r="L631" s="88"/>
      <c r="M631" s="8"/>
    </row>
    <row r="632" spans="1:13" s="3" customFormat="1" ht="12" customHeight="1">
      <c r="A632" s="22"/>
      <c r="B632" s="105"/>
      <c r="C632" s="105"/>
      <c r="D632" s="105"/>
      <c r="E632" s="105"/>
      <c r="F632" s="120" t="s">
        <v>563</v>
      </c>
      <c r="G632" s="109">
        <f>SUM(I438)</f>
        <v>4968133.58</v>
      </c>
      <c r="H632" s="104">
        <f>SUM(I451)</f>
        <v>4968133.58</v>
      </c>
      <c r="I632" s="139" t="s">
        <v>564</v>
      </c>
      <c r="J632" s="109">
        <f t="shared" si="49"/>
        <v>0</v>
      </c>
      <c r="K632" s="85"/>
      <c r="L632" s="88"/>
      <c r="M632" s="8"/>
    </row>
    <row r="633" spans="1:13" s="3" customFormat="1" ht="12" customHeight="1">
      <c r="A633" s="22"/>
      <c r="B633" s="105"/>
      <c r="C633" s="105"/>
      <c r="D633" s="105"/>
      <c r="E633" s="105"/>
      <c r="F633" s="120" t="s">
        <v>565</v>
      </c>
      <c r="G633" s="109">
        <f>J49</f>
        <v>0</v>
      </c>
      <c r="H633" s="104">
        <f>F400</f>
        <v>0</v>
      </c>
      <c r="I633" s="139" t="s">
        <v>566</v>
      </c>
      <c r="J633" s="109">
        <f t="shared" si="49"/>
        <v>0</v>
      </c>
      <c r="K633" s="85"/>
      <c r="L633" s="88"/>
      <c r="M633" s="8"/>
    </row>
    <row r="634" spans="1:13" s="3" customFormat="1" ht="12" customHeight="1">
      <c r="A634" s="22"/>
      <c r="B634" s="105"/>
      <c r="C634" s="105"/>
      <c r="D634" s="105"/>
      <c r="E634" s="105"/>
      <c r="F634" s="120" t="s">
        <v>567</v>
      </c>
      <c r="G634" s="109">
        <f>J88</f>
        <v>-62955.57</v>
      </c>
      <c r="H634" s="104">
        <f>H400</f>
        <v>-62955.57</v>
      </c>
      <c r="I634" s="139" t="s">
        <v>568</v>
      </c>
      <c r="J634" s="109">
        <f t="shared" si="49"/>
        <v>0</v>
      </c>
      <c r="K634" s="85"/>
      <c r="L634" s="88"/>
      <c r="M634" s="8"/>
    </row>
    <row r="635" spans="1:13" s="3" customFormat="1" ht="12" customHeight="1">
      <c r="A635" s="22"/>
      <c r="B635" s="105"/>
      <c r="C635" s="105"/>
      <c r="D635" s="105"/>
      <c r="E635" s="105"/>
      <c r="F635" s="120" t="s">
        <v>569</v>
      </c>
      <c r="G635" s="109">
        <f>J175</f>
        <v>0</v>
      </c>
      <c r="H635" s="104">
        <f>G400</f>
        <v>0</v>
      </c>
      <c r="I635" s="139" t="s">
        <v>570</v>
      </c>
      <c r="J635" s="109">
        <f t="shared" si="49"/>
        <v>0</v>
      </c>
      <c r="K635" s="85"/>
      <c r="L635" s="88"/>
      <c r="M635" s="8"/>
    </row>
    <row r="636" spans="1:13" s="3" customFormat="1" ht="12" customHeight="1">
      <c r="A636" s="22"/>
      <c r="B636" s="105"/>
      <c r="C636" s="105"/>
      <c r="D636" s="105"/>
      <c r="E636" s="105"/>
      <c r="F636" s="120" t="s">
        <v>542</v>
      </c>
      <c r="G636" s="109">
        <f>J185</f>
        <v>312058.18</v>
      </c>
      <c r="H636" s="104">
        <f>L400</f>
        <v>312058.18</v>
      </c>
      <c r="I636" s="139" t="s">
        <v>554</v>
      </c>
      <c r="J636" s="109">
        <f t="shared" si="49"/>
        <v>0</v>
      </c>
      <c r="K636" s="85"/>
      <c r="L636" s="88"/>
      <c r="M636" s="8"/>
    </row>
    <row r="637" spans="1:13" s="3" customFormat="1" ht="12" customHeight="1">
      <c r="A637" s="22"/>
      <c r="B637" s="105"/>
      <c r="C637" s="105"/>
      <c r="D637" s="105"/>
      <c r="E637" s="105"/>
      <c r="F637" s="120" t="s">
        <v>571</v>
      </c>
      <c r="G637" s="109">
        <f>K588</f>
        <v>897580.24000000011</v>
      </c>
      <c r="H637" s="104">
        <f>L200+L218+L236</f>
        <v>897580.24</v>
      </c>
      <c r="I637" s="139" t="s">
        <v>572</v>
      </c>
      <c r="J637" s="109">
        <f t="shared" si="49"/>
        <v>0</v>
      </c>
      <c r="K637" s="85"/>
      <c r="L637" s="88"/>
      <c r="M637" s="8"/>
    </row>
    <row r="638" spans="1:13" s="3" customFormat="1" ht="12" customHeight="1">
      <c r="A638" s="22"/>
      <c r="B638" s="105"/>
      <c r="C638" s="105"/>
      <c r="D638" s="105"/>
      <c r="E638" s="105"/>
      <c r="F638" s="120" t="s">
        <v>573</v>
      </c>
      <c r="G638" s="109">
        <f>K595</f>
        <v>411103.48</v>
      </c>
      <c r="H638" s="104">
        <f>(J249+J330)-(J247+J328)</f>
        <v>411103.48</v>
      </c>
      <c r="I638" s="139" t="s">
        <v>574</v>
      </c>
      <c r="J638" s="109">
        <f t="shared" si="49"/>
        <v>0</v>
      </c>
      <c r="K638" s="85"/>
      <c r="L638" s="88"/>
      <c r="M638" s="8"/>
    </row>
    <row r="639" spans="1:13" s="3" customFormat="1" ht="12" customHeight="1">
      <c r="A639" s="22"/>
      <c r="B639" s="105"/>
      <c r="C639" s="105"/>
      <c r="D639" s="105"/>
      <c r="E639" s="105"/>
      <c r="F639" s="120" t="s">
        <v>575</v>
      </c>
      <c r="G639" s="109">
        <f>L200</f>
        <v>294358.61</v>
      </c>
      <c r="H639" s="104">
        <f>H588</f>
        <v>294358.61</v>
      </c>
      <c r="I639" s="139" t="s">
        <v>576</v>
      </c>
      <c r="J639" s="109">
        <f t="shared" si="49"/>
        <v>0</v>
      </c>
      <c r="K639" s="85"/>
      <c r="L639" s="88"/>
      <c r="M639" s="8"/>
    </row>
    <row r="640" spans="1:13" s="3" customFormat="1" ht="12" customHeight="1">
      <c r="A640" s="22"/>
      <c r="B640" s="105"/>
      <c r="C640" s="105"/>
      <c r="D640" s="105"/>
      <c r="E640" s="105"/>
      <c r="F640" s="120" t="s">
        <v>577</v>
      </c>
      <c r="G640" s="109">
        <f>L218</f>
        <v>155145.57999999999</v>
      </c>
      <c r="H640" s="104">
        <f>I588</f>
        <v>155145.58000000002</v>
      </c>
      <c r="I640" s="139" t="s">
        <v>578</v>
      </c>
      <c r="J640" s="109">
        <f t="shared" si="49"/>
        <v>0</v>
      </c>
      <c r="K640" s="85"/>
      <c r="L640" s="88"/>
      <c r="M640" s="8"/>
    </row>
    <row r="641" spans="1:13" s="3" customFormat="1" ht="12" customHeight="1">
      <c r="A641" s="22"/>
      <c r="B641" s="105"/>
      <c r="C641" s="105"/>
      <c r="D641" s="105"/>
      <c r="E641" s="105"/>
      <c r="F641" s="120" t="s">
        <v>579</v>
      </c>
      <c r="G641" s="109">
        <f>L236</f>
        <v>448076.05</v>
      </c>
      <c r="H641" s="104">
        <f>J588</f>
        <v>448076.05</v>
      </c>
      <c r="I641" s="139" t="s">
        <v>580</v>
      </c>
      <c r="J641" s="109">
        <f t="shared" si="49"/>
        <v>0</v>
      </c>
      <c r="K641" s="85"/>
      <c r="L641" s="88"/>
      <c r="M641" s="8"/>
    </row>
    <row r="642" spans="1:13" s="3" customFormat="1" ht="12" customHeight="1">
      <c r="A642" s="22"/>
      <c r="B642" s="105"/>
      <c r="C642" s="105"/>
      <c r="D642" s="105"/>
      <c r="E642" s="105"/>
      <c r="F642" s="120" t="s">
        <v>581</v>
      </c>
      <c r="G642" s="109">
        <f>G171</f>
        <v>0</v>
      </c>
      <c r="H642" s="104">
        <f>K255+K337</f>
        <v>0</v>
      </c>
      <c r="I642" s="139" t="s">
        <v>582</v>
      </c>
      <c r="J642" s="109">
        <f t="shared" si="49"/>
        <v>0</v>
      </c>
      <c r="K642" s="85"/>
      <c r="L642" s="88"/>
      <c r="M642" s="8"/>
    </row>
    <row r="643" spans="1:13" s="3" customFormat="1" ht="12" customHeight="1">
      <c r="A643" s="22"/>
      <c r="B643" s="105"/>
      <c r="C643" s="105"/>
      <c r="D643" s="105"/>
      <c r="E643" s="105"/>
      <c r="F643" s="120" t="s">
        <v>583</v>
      </c>
      <c r="G643" s="109">
        <f>H171</f>
        <v>656136</v>
      </c>
      <c r="H643" s="104">
        <f>K256</f>
        <v>656136</v>
      </c>
      <c r="I643" s="139" t="s">
        <v>584</v>
      </c>
      <c r="J643" s="109">
        <f t="shared" si="49"/>
        <v>0</v>
      </c>
      <c r="K643" s="85"/>
      <c r="L643" s="88"/>
      <c r="M643" s="8"/>
    </row>
    <row r="644" spans="1:13" s="3" customFormat="1" ht="12" customHeight="1">
      <c r="A644" s="22"/>
      <c r="B644" s="105"/>
      <c r="C644" s="105"/>
      <c r="D644" s="105"/>
      <c r="E644" s="105"/>
      <c r="F644" s="120" t="s">
        <v>585</v>
      </c>
      <c r="G644" s="109">
        <f>I171</f>
        <v>0</v>
      </c>
      <c r="H644" s="104">
        <f>K257+K338</f>
        <v>0</v>
      </c>
      <c r="I644" s="139" t="s">
        <v>586</v>
      </c>
      <c r="J644" s="109">
        <f t="shared" si="49"/>
        <v>0</v>
      </c>
      <c r="K644" s="85"/>
      <c r="L644" s="88"/>
      <c r="M644" s="8"/>
    </row>
    <row r="645" spans="1:13" s="3" customFormat="1" ht="12" customHeight="1">
      <c r="A645" s="22"/>
      <c r="B645" s="105"/>
      <c r="C645" s="105"/>
      <c r="D645" s="105"/>
      <c r="E645" s="105"/>
      <c r="F645" s="120" t="s">
        <v>587</v>
      </c>
      <c r="G645" s="109">
        <f>J171</f>
        <v>0</v>
      </c>
      <c r="H645" s="104">
        <f>K258+K339</f>
        <v>0</v>
      </c>
      <c r="I645" s="139" t="s">
        <v>588</v>
      </c>
      <c r="J645" s="109">
        <f t="shared" si="49"/>
        <v>0</v>
      </c>
      <c r="K645" s="85"/>
      <c r="L645" s="88"/>
      <c r="M645" s="8"/>
    </row>
    <row r="646" spans="1:13" s="3" customFormat="1" ht="12" customHeight="1">
      <c r="A646" s="127"/>
      <c r="B646" s="127"/>
      <c r="C646" s="127"/>
      <c r="D646" s="127"/>
      <c r="E646" s="127"/>
      <c r="F646" s="26" t="s">
        <v>589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>
      <c r="A648" s="29" t="s">
        <v>590</v>
      </c>
      <c r="F648" s="25" t="s">
        <v>591</v>
      </c>
      <c r="G648" s="25" t="s">
        <v>592</v>
      </c>
      <c r="H648" s="25" t="s">
        <v>297</v>
      </c>
      <c r="I648" s="25" t="s">
        <v>298</v>
      </c>
      <c r="J648" s="13"/>
      <c r="K648" s="13"/>
      <c r="L648" s="13"/>
      <c r="M648" s="9"/>
    </row>
    <row r="649" spans="1:13" s="3" customFormat="1" ht="12" customHeight="1">
      <c r="F649" s="14" t="s">
        <v>62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>
      <c r="A650" s="1" t="s">
        <v>593</v>
      </c>
      <c r="F650" s="19">
        <f>(L203+L282+L350)</f>
        <v>16147864.280000001</v>
      </c>
      <c r="G650" s="19">
        <f>(L221+L301+L351)</f>
        <v>7714601.370000001</v>
      </c>
      <c r="H650" s="19">
        <f>(L239+L320+L352)</f>
        <v>17621918.710000005</v>
      </c>
      <c r="I650" s="19">
        <f>SUM(F650:H650)</f>
        <v>41484384.360000007</v>
      </c>
      <c r="J650" s="13"/>
      <c r="K650" s="13"/>
      <c r="L650" s="13"/>
      <c r="M650" s="9"/>
    </row>
    <row r="651" spans="1:13" s="3" customFormat="1" ht="12" customHeight="1">
      <c r="A651" s="1" t="s">
        <v>594</v>
      </c>
      <c r="F651" s="19">
        <f>(L350/IF(SUM(L350:L352)=0,1,SUM(L350:L352))*(SUM(G89:G102)))</f>
        <v>216171.03403758569</v>
      </c>
      <c r="G651" s="19">
        <f>(L351/IF(SUM(L350:L352)=0,1,SUM(L350:L352))*(SUM(G89:G102)))</f>
        <v>105180.0711699689</v>
      </c>
      <c r="H651" s="19">
        <f>(L352/IF(SUM(L350:L352)=0,1,SUM(L350:L352))*(SUM(G89:G102)))</f>
        <v>169978.61479244538</v>
      </c>
      <c r="I651" s="19">
        <f>SUM(F651:H651)</f>
        <v>491329.72</v>
      </c>
      <c r="J651"/>
      <c r="K651" s="13"/>
      <c r="L651" s="13"/>
      <c r="M651" s="9"/>
    </row>
    <row r="652" spans="1:13" s="3" customFormat="1" ht="12" customHeight="1">
      <c r="A652" s="1" t="s">
        <v>595</v>
      </c>
      <c r="F652" s="19">
        <f>(L200+L279)-(J200+J279)</f>
        <v>303423.84999999998</v>
      </c>
      <c r="G652" s="19">
        <f>(L218+L298)-(J218+J298)</f>
        <v>159359.31999999998</v>
      </c>
      <c r="H652" s="19">
        <f>(L236+L317)-(J236+J317)</f>
        <v>461458.25</v>
      </c>
      <c r="I652" s="19">
        <f>SUM(F652:H652)</f>
        <v>924241.41999999993</v>
      </c>
      <c r="J652"/>
      <c r="K652" s="13"/>
      <c r="L652" s="13"/>
      <c r="M652" s="9"/>
    </row>
    <row r="653" spans="1:13" s="3" customFormat="1" ht="12" customHeight="1">
      <c r="A653" s="197" t="s">
        <v>596</v>
      </c>
      <c r="B653" s="168"/>
      <c r="C653" s="168"/>
      <c r="D653" s="168"/>
      <c r="E653" s="168"/>
      <c r="F653" s="198">
        <f>SUM(F565:F577)+SUM(H592:H594)+SUM(L601)</f>
        <v>234300.69</v>
      </c>
      <c r="G653" s="198">
        <f>SUM(G565:G577)+SUM(I592:I594)+L602</f>
        <v>139199.00999999998</v>
      </c>
      <c r="H653" s="198">
        <f>SUM(H565:H577)+SUM(J592:J594)+L603</f>
        <v>977782.01000000013</v>
      </c>
      <c r="I653" s="19">
        <f>SUM(F653:H653)</f>
        <v>1351281.71</v>
      </c>
      <c r="J653" s="13"/>
      <c r="K653" s="13"/>
      <c r="L653" s="13"/>
      <c r="M653" s="9"/>
    </row>
    <row r="654" spans="1:13" s="3" customFormat="1" ht="12" customHeight="1">
      <c r="A654" s="1" t="s">
        <v>597</v>
      </c>
      <c r="F654" s="19">
        <f>F650-SUM(F651:F653)</f>
        <v>15393968.705962416</v>
      </c>
      <c r="G654" s="19">
        <f>G650-SUM(G651:G653)</f>
        <v>7310862.9688300323</v>
      </c>
      <c r="H654" s="19">
        <f>H650-SUM(H651:H653)</f>
        <v>16012699.835207559</v>
      </c>
      <c r="I654" s="19">
        <f>I650-SUM(I651:I653)</f>
        <v>38717531.510000005</v>
      </c>
      <c r="J654" s="13"/>
      <c r="K654" s="13"/>
      <c r="L654" s="13"/>
      <c r="M654" s="8"/>
    </row>
    <row r="655" spans="1:13" s="3" customFormat="1" ht="12" customHeight="1">
      <c r="A655" s="1" t="s">
        <v>598</v>
      </c>
      <c r="F655" s="242">
        <v>1049.45</v>
      </c>
      <c r="G655" s="243">
        <v>486.24</v>
      </c>
      <c r="H655" s="243">
        <v>1099.48</v>
      </c>
      <c r="I655" s="19">
        <f>SUM(F655:H655)</f>
        <v>2635.17</v>
      </c>
      <c r="J655" s="13"/>
      <c r="K655" s="13"/>
      <c r="L655" s="13"/>
      <c r="M655" s="9"/>
    </row>
    <row r="656" spans="1:13" s="3" customFormat="1" ht="12" customHeight="1">
      <c r="A656" s="1" t="s">
        <v>599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>
      <c r="A657" s="29" t="s">
        <v>600</v>
      </c>
      <c r="F657" s="19">
        <f>ROUND(F654/F655,2)</f>
        <v>14668.61</v>
      </c>
      <c r="G657" s="19">
        <f>ROUND(G654/G655,2)</f>
        <v>15035.5</v>
      </c>
      <c r="H657" s="19">
        <f>ROUND(H654/H655,2)</f>
        <v>14563.88</v>
      </c>
      <c r="I657" s="19">
        <f>ROUND(I654/I655,2)</f>
        <v>14692.61</v>
      </c>
      <c r="J657" s="13"/>
      <c r="K657" s="13"/>
      <c r="L657" s="13"/>
      <c r="M657" s="8"/>
    </row>
    <row r="658" spans="1:13" s="3" customFormat="1" ht="12" customHeight="1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>
      <c r="A659" s="1" t="s">
        <v>601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>
      <c r="A660" s="1" t="s">
        <v>602</v>
      </c>
      <c r="F660" s="18"/>
      <c r="G660" s="18"/>
      <c r="H660" s="18">
        <v>-0.8</v>
      </c>
      <c r="I660" s="19">
        <f>SUM(F660:H660)</f>
        <v>-0.8</v>
      </c>
      <c r="J660" s="13"/>
      <c r="K660" s="13"/>
      <c r="L660" s="13"/>
      <c r="M660" s="9"/>
    </row>
    <row r="661" spans="1:13" s="3" customFormat="1" ht="12" customHeight="1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>
      <c r="A662" s="1" t="s">
        <v>603</v>
      </c>
      <c r="B662" s="2" t="s">
        <v>604</v>
      </c>
      <c r="C662" s="2" t="s">
        <v>214</v>
      </c>
      <c r="D662" s="2"/>
      <c r="E662" s="2"/>
      <c r="F662" s="19">
        <f>ROUND((F654+F659)/(F655+F660),2)</f>
        <v>14668.61</v>
      </c>
      <c r="G662" s="19">
        <f>ROUND((G654+G659)/(G655+G660),2)</f>
        <v>15035.5</v>
      </c>
      <c r="H662" s="19">
        <f>ROUND((H654+H659)/(H655+H660),2)</f>
        <v>14574.49</v>
      </c>
      <c r="I662" s="19">
        <f>ROUND((I654+I659)/(I655+I660),2)</f>
        <v>14697.07</v>
      </c>
      <c r="J662" s="13"/>
      <c r="K662" s="13"/>
      <c r="L662" s="13"/>
      <c r="M662" s="9"/>
    </row>
    <row r="663" spans="1:13" s="3" customFormat="1" ht="12" customHeight="1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8ADE-913D-4FB5-9E5B-622ABA13DBC9}">
  <sheetPr>
    <tabColor indexed="20"/>
  </sheetPr>
  <dimension ref="A1:C52"/>
  <sheetViews>
    <sheetView workbookViewId="0">
      <selection activeCell="C21" sqref="C21"/>
    </sheetView>
  </sheetViews>
  <sheetFormatPr defaultRowHeight="11.25"/>
  <cols>
    <col min="1" max="1" width="26.6640625" customWidth="1"/>
    <col min="2" max="2" width="33.83203125" customWidth="1"/>
    <col min="3" max="3" width="29.5" customWidth="1"/>
  </cols>
  <sheetData>
    <row r="1" spans="1:3">
      <c r="A1" s="229" t="s">
        <v>605</v>
      </c>
      <c r="B1" s="228" t="str">
        <f>'DOE25'!A2</f>
        <v>Portsmouth</v>
      </c>
      <c r="C1" s="233" t="s">
        <v>606</v>
      </c>
    </row>
    <row r="2" spans="1:3">
      <c r="A2" s="229"/>
      <c r="B2" s="228"/>
    </row>
    <row r="3" spans="1:3">
      <c r="A3" s="274" t="s">
        <v>607</v>
      </c>
      <c r="B3" s="274"/>
      <c r="C3" s="274"/>
    </row>
    <row r="4" spans="1:3">
      <c r="A4" s="263"/>
      <c r="B4" s="232" t="str">
        <f>'DOE25'!H1</f>
        <v>DOE 25  2010-2011</v>
      </c>
      <c r="C4" s="263"/>
    </row>
    <row r="5" spans="1:3">
      <c r="A5" s="229"/>
      <c r="B5" s="228"/>
    </row>
    <row r="6" spans="1:3">
      <c r="A6" s="223"/>
      <c r="B6" s="273" t="s">
        <v>608</v>
      </c>
      <c r="C6" s="273"/>
    </row>
    <row r="7" spans="1:3">
      <c r="A7" s="234" t="s">
        <v>609</v>
      </c>
      <c r="B7" s="271" t="s">
        <v>610</v>
      </c>
      <c r="C7" s="272"/>
    </row>
    <row r="8" spans="1:3">
      <c r="B8" s="224" t="s">
        <v>204</v>
      </c>
      <c r="C8" s="224" t="s">
        <v>611</v>
      </c>
    </row>
    <row r="9" spans="1:3">
      <c r="A9" s="33" t="s">
        <v>612</v>
      </c>
      <c r="B9" s="225">
        <f>'DOE25'!F189+'DOE25'!F207+'DOE25'!F225+'DOE25'!F268+'DOE25'!F287+'DOE25'!F306</f>
        <v>10868211.019999998</v>
      </c>
      <c r="C9" s="225">
        <f>'DOE25'!G189+'DOE25'!G207+'DOE25'!G225+'DOE25'!G268+'DOE25'!G287+'DOE25'!G306</f>
        <v>5390486.2999999989</v>
      </c>
    </row>
    <row r="10" spans="1:3">
      <c r="A10" t="s">
        <v>613</v>
      </c>
      <c r="B10" s="235">
        <v>10250774.869999999</v>
      </c>
      <c r="C10" s="235">
        <v>5196093.91</v>
      </c>
    </row>
    <row r="11" spans="1:3">
      <c r="A11" t="s">
        <v>614</v>
      </c>
      <c r="B11" s="235">
        <v>359141.2</v>
      </c>
      <c r="C11" s="235">
        <v>174632.83</v>
      </c>
    </row>
    <row r="12" spans="1:3">
      <c r="A12" t="s">
        <v>615</v>
      </c>
      <c r="B12" s="235">
        <v>258294.95</v>
      </c>
      <c r="C12" s="235">
        <v>19759.560000000001</v>
      </c>
    </row>
    <row r="13" spans="1:3">
      <c r="A13" t="str">
        <f>IF(B9=B13,IF(C9=C13,"Check Total OK","Check Total Error"),"Check Total Error")</f>
        <v>Check Total OK</v>
      </c>
      <c r="B13" s="227">
        <f>SUM(B10:B12)</f>
        <v>10868211.019999998</v>
      </c>
      <c r="C13" s="227">
        <f>SUM(C10:C12)</f>
        <v>5390486.2999999998</v>
      </c>
    </row>
    <row r="14" spans="1:3">
      <c r="B14" s="226"/>
      <c r="C14" s="226"/>
    </row>
    <row r="15" spans="1:3">
      <c r="B15" s="273" t="s">
        <v>608</v>
      </c>
      <c r="C15" s="273"/>
    </row>
    <row r="16" spans="1:3">
      <c r="A16" s="234" t="s">
        <v>616</v>
      </c>
      <c r="B16" s="271" t="s">
        <v>617</v>
      </c>
      <c r="C16" s="272"/>
    </row>
    <row r="17" spans="1:3">
      <c r="B17" s="224" t="s">
        <v>204</v>
      </c>
      <c r="C17" s="224" t="s">
        <v>611</v>
      </c>
    </row>
    <row r="18" spans="1:3">
      <c r="A18" s="33" t="s">
        <v>612</v>
      </c>
      <c r="B18" s="225">
        <f>'DOE25'!F190+'DOE25'!F208+'DOE25'!F226+'DOE25'!F269+'DOE25'!F288+'DOE25'!F307</f>
        <v>4839059.59</v>
      </c>
      <c r="C18" s="225">
        <f>'DOE25'!G190+'DOE25'!G208+'DOE25'!G226+'DOE25'!G269+'DOE25'!G288+'DOE25'!G307</f>
        <v>1580498.92</v>
      </c>
    </row>
    <row r="19" spans="1:3">
      <c r="A19" t="s">
        <v>613</v>
      </c>
      <c r="B19" s="235">
        <v>3372130.91</v>
      </c>
      <c r="C19" s="235">
        <v>1274686.77</v>
      </c>
    </row>
    <row r="20" spans="1:3">
      <c r="A20" t="s">
        <v>614</v>
      </c>
      <c r="B20" s="235">
        <v>1421220.2</v>
      </c>
      <c r="C20" s="235">
        <v>302315.45</v>
      </c>
    </row>
    <row r="21" spans="1:3">
      <c r="A21" t="s">
        <v>615</v>
      </c>
      <c r="B21" s="235">
        <v>45708.480000000003</v>
      </c>
      <c r="C21" s="235">
        <v>3496.7</v>
      </c>
    </row>
    <row r="22" spans="1:3">
      <c r="A22" t="str">
        <f>IF(B18=B22,IF(C18=C22,"Check Total OK","Check Total Error"),"Check Total Error")</f>
        <v>Check Total OK</v>
      </c>
      <c r="B22" s="227">
        <f>SUM(B19:B21)</f>
        <v>4839059.5900000008</v>
      </c>
      <c r="C22" s="227">
        <f>SUM(C19:C21)</f>
        <v>1580498.92</v>
      </c>
    </row>
    <row r="23" spans="1:3">
      <c r="B23" s="226"/>
      <c r="C23" s="226"/>
    </row>
    <row r="24" spans="1:3">
      <c r="B24" s="273" t="s">
        <v>608</v>
      </c>
      <c r="C24" s="273"/>
    </row>
    <row r="25" spans="1:3">
      <c r="A25" s="234" t="s">
        <v>618</v>
      </c>
      <c r="B25" s="271" t="s">
        <v>619</v>
      </c>
      <c r="C25" s="272"/>
    </row>
    <row r="26" spans="1:3">
      <c r="B26" s="224" t="s">
        <v>204</v>
      </c>
      <c r="C26" s="224" t="s">
        <v>611</v>
      </c>
    </row>
    <row r="27" spans="1:3">
      <c r="A27" s="33" t="s">
        <v>612</v>
      </c>
      <c r="B27" s="230">
        <f>'DOE25'!F191+'DOE25'!F209+'DOE25'!F227+'DOE25'!F270+'DOE25'!F289+'DOE25'!F308</f>
        <v>747907.15999999992</v>
      </c>
      <c r="C27" s="230">
        <f>'DOE25'!G191+'DOE25'!G209+'DOE25'!G227+'DOE25'!G270+'DOE25'!G289+'DOE25'!G308</f>
        <v>361743.08999999997</v>
      </c>
    </row>
    <row r="28" spans="1:3">
      <c r="A28" t="s">
        <v>613</v>
      </c>
      <c r="B28" s="235">
        <v>720331.44</v>
      </c>
      <c r="C28" s="235">
        <v>354831.66</v>
      </c>
    </row>
    <row r="29" spans="1:3">
      <c r="A29" t="s">
        <v>614</v>
      </c>
      <c r="B29" s="235"/>
      <c r="C29" s="235"/>
    </row>
    <row r="30" spans="1:3">
      <c r="A30" t="s">
        <v>615</v>
      </c>
      <c r="B30" s="235">
        <v>27575.72</v>
      </c>
      <c r="C30" s="235">
        <v>6911.43</v>
      </c>
    </row>
    <row r="31" spans="1:3">
      <c r="A31" t="str">
        <f>IF(B27=B31,IF(C27=C31,"Check Total OK","Check Total Error"),"Check Total Error")</f>
        <v>Check Total OK</v>
      </c>
      <c r="B31" s="227">
        <f>SUM(B28:B30)</f>
        <v>747907.15999999992</v>
      </c>
      <c r="C31" s="227">
        <f>SUM(C28:C30)</f>
        <v>361743.08999999997</v>
      </c>
    </row>
    <row r="33" spans="1:3">
      <c r="B33" s="273" t="s">
        <v>608</v>
      </c>
      <c r="C33" s="273"/>
    </row>
    <row r="34" spans="1:3">
      <c r="A34" s="234" t="s">
        <v>620</v>
      </c>
      <c r="B34" s="271" t="s">
        <v>621</v>
      </c>
      <c r="C34" s="272"/>
    </row>
    <row r="35" spans="1:3">
      <c r="B35" s="224" t="s">
        <v>204</v>
      </c>
      <c r="C35" s="224" t="s">
        <v>611</v>
      </c>
    </row>
    <row r="36" spans="1:3">
      <c r="A36" s="33" t="s">
        <v>612</v>
      </c>
      <c r="B36" s="231">
        <f>'DOE25'!F192+'DOE25'!F210+'DOE25'!F228+'DOE25'!F271+'DOE25'!F290+'DOE25'!F309</f>
        <v>384727.83</v>
      </c>
      <c r="C36" s="231">
        <f>'DOE25'!G192+'DOE25'!G210+'DOE25'!G228+'DOE25'!G271+'DOE25'!G290+'DOE25'!G309</f>
        <v>168387.36</v>
      </c>
    </row>
    <row r="37" spans="1:3">
      <c r="A37" t="s">
        <v>613</v>
      </c>
      <c r="B37" s="235">
        <v>357775.83</v>
      </c>
      <c r="C37" s="235">
        <v>165197.13</v>
      </c>
    </row>
    <row r="38" spans="1:3">
      <c r="A38" t="s">
        <v>614</v>
      </c>
      <c r="B38" s="235">
        <v>24552</v>
      </c>
      <c r="C38" s="235">
        <v>3006.63</v>
      </c>
    </row>
    <row r="39" spans="1:3">
      <c r="A39" t="s">
        <v>615</v>
      </c>
      <c r="B39" s="235">
        <v>2400</v>
      </c>
      <c r="C39" s="235">
        <v>183.6</v>
      </c>
    </row>
    <row r="40" spans="1:3">
      <c r="A40" t="str">
        <f>IF(B36=B40,IF(C36=C40,"Check Total OK","Check Total Error"),"Check Total Error")</f>
        <v>Check Total OK</v>
      </c>
      <c r="B40" s="227">
        <f>SUM(B37:B39)</f>
        <v>384727.83</v>
      </c>
      <c r="C40" s="227">
        <f>SUM(C37:C39)</f>
        <v>168387.36000000002</v>
      </c>
    </row>
    <row r="41" spans="1:3">
      <c r="B41" s="226"/>
      <c r="C41" s="226"/>
    </row>
    <row r="42" spans="1:3">
      <c r="A42" s="33" t="s">
        <v>622</v>
      </c>
      <c r="B42" s="226"/>
      <c r="C42" s="226"/>
    </row>
    <row r="43" spans="1:3">
      <c r="A43" t="s">
        <v>623</v>
      </c>
      <c r="B43" s="226"/>
      <c r="C43" s="226"/>
    </row>
    <row r="44" spans="1:3">
      <c r="A44" t="s">
        <v>624</v>
      </c>
    </row>
    <row r="45" spans="1:3">
      <c r="A45" t="s">
        <v>625</v>
      </c>
    </row>
    <row r="48" spans="1:3">
      <c r="A48" s="256" t="s">
        <v>626</v>
      </c>
    </row>
    <row r="49" spans="1:1">
      <c r="A49" s="260" t="s">
        <v>627</v>
      </c>
    </row>
    <row r="50" spans="1:1">
      <c r="A50" s="260" t="s">
        <v>628</v>
      </c>
    </row>
    <row r="51" spans="1:1">
      <c r="A51" s="260" t="s">
        <v>629</v>
      </c>
    </row>
    <row r="52" spans="1:1">
      <c r="A52" s="261" t="s">
        <v>630</v>
      </c>
    </row>
  </sheetData>
  <sheetProtection password="B30A" sheet="1" objects="1" scenarios="1"/>
  <mergeCells count="9">
    <mergeCell ref="A3:C3"/>
    <mergeCell ref="B6:C6"/>
    <mergeCell ref="B7:C7"/>
    <mergeCell ref="B15:C15"/>
    <mergeCell ref="B16:C16"/>
    <mergeCell ref="B33:C33"/>
    <mergeCell ref="B34:C34"/>
    <mergeCell ref="B24:C24"/>
    <mergeCell ref="B25:C25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FCD-F32B-4399-BD1A-E2B32E9896B9}">
  <sheetPr>
    <tabColor indexed="11"/>
  </sheetPr>
  <dimension ref="A1:I51"/>
  <sheetViews>
    <sheetView workbookViewId="0">
      <pane ySplit="4" topLeftCell="A5" activePane="bottomLeft" state="frozen"/>
      <selection pane="bottomLeft" activeCell="D12" sqref="D12"/>
    </sheetView>
  </sheetViews>
  <sheetFormatPr defaultRowHeight="11.25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>
      <c r="A1" s="273" t="s">
        <v>631</v>
      </c>
      <c r="B1" s="278"/>
      <c r="C1" s="278"/>
      <c r="D1" s="278"/>
      <c r="E1" s="278"/>
      <c r="F1" s="278"/>
      <c r="G1" s="278"/>
      <c r="H1" s="278"/>
      <c r="I1" s="262"/>
    </row>
    <row r="2" spans="1:9">
      <c r="A2" s="33" t="s">
        <v>632</v>
      </c>
      <c r="B2" s="257" t="str">
        <f>'DOE25'!A2</f>
        <v>Portsmouth</v>
      </c>
      <c r="C2" s="262"/>
      <c r="D2" s="262" t="s">
        <v>633</v>
      </c>
      <c r="E2" s="262" t="s">
        <v>634</v>
      </c>
      <c r="F2" s="275" t="s">
        <v>635</v>
      </c>
      <c r="G2" s="276"/>
      <c r="H2" s="277"/>
      <c r="I2" s="262"/>
    </row>
    <row r="3" spans="1:9">
      <c r="A3" s="262" t="s">
        <v>492</v>
      </c>
      <c r="B3" s="224" t="s">
        <v>370</v>
      </c>
      <c r="C3" s="262" t="s">
        <v>210</v>
      </c>
      <c r="D3" s="262" t="s">
        <v>636</v>
      </c>
      <c r="E3" s="262" t="s">
        <v>637</v>
      </c>
      <c r="F3" s="236" t="s">
        <v>638</v>
      </c>
      <c r="G3" s="270" t="s">
        <v>209</v>
      </c>
      <c r="H3" s="237" t="s">
        <v>639</v>
      </c>
    </row>
    <row r="4" spans="1:9">
      <c r="A4" s="265" t="s">
        <v>640</v>
      </c>
      <c r="B4" s="265" t="s">
        <v>641</v>
      </c>
      <c r="C4" s="265" t="s">
        <v>642</v>
      </c>
      <c r="D4" s="265" t="s">
        <v>643</v>
      </c>
      <c r="E4" s="265" t="s">
        <v>643</v>
      </c>
      <c r="F4" s="264" t="s">
        <v>644</v>
      </c>
      <c r="G4" s="265" t="s">
        <v>645</v>
      </c>
      <c r="H4" s="266" t="s">
        <v>646</v>
      </c>
    </row>
    <row r="5" spans="1:9">
      <c r="A5" s="32">
        <v>1000</v>
      </c>
      <c r="B5" t="s">
        <v>247</v>
      </c>
      <c r="C5" s="240">
        <f t="shared" ref="C5:C19" si="0">SUM(D5:H5)</f>
        <v>22918382.439999998</v>
      </c>
      <c r="D5" s="20">
        <f>SUM('DOE25'!L189:L192)+SUM('DOE25'!L207:L210)+SUM('DOE25'!L225:L228)-F5-G5</f>
        <v>22867006.349999998</v>
      </c>
      <c r="E5" s="238"/>
      <c r="F5" s="247">
        <f>SUM('DOE25'!J189:J192)+SUM('DOE25'!J207:J210)+SUM('DOE25'!J225:J228)</f>
        <v>48451.090000000004</v>
      </c>
      <c r="G5" s="53">
        <f>SUM('DOE25'!K189:K192)+SUM('DOE25'!K207:K210)+SUM('DOE25'!K225:K228)</f>
        <v>2925</v>
      </c>
      <c r="H5" s="251"/>
    </row>
    <row r="6" spans="1:9">
      <c r="A6" s="32">
        <v>2100</v>
      </c>
      <c r="B6" t="s">
        <v>647</v>
      </c>
      <c r="C6" s="240">
        <f t="shared" si="0"/>
        <v>3892244.29</v>
      </c>
      <c r="D6" s="20">
        <f>'DOE25'!L194+'DOE25'!L212+'DOE25'!L230-F6-G6</f>
        <v>3874789.9800000004</v>
      </c>
      <c r="E6" s="238"/>
      <c r="F6" s="247">
        <f>'DOE25'!J194+'DOE25'!J212+'DOE25'!J230</f>
        <v>1387.3</v>
      </c>
      <c r="G6" s="53">
        <f>'DOE25'!K194+'DOE25'!K212+'DOE25'!K230</f>
        <v>16067.01</v>
      </c>
      <c r="H6" s="251"/>
    </row>
    <row r="7" spans="1:9">
      <c r="A7" s="32">
        <v>2200</v>
      </c>
      <c r="B7" t="s">
        <v>648</v>
      </c>
      <c r="C7" s="240">
        <f t="shared" si="0"/>
        <v>616310.52999999991</v>
      </c>
      <c r="D7" s="20">
        <f>'DOE25'!L195+'DOE25'!L213+'DOE25'!L231-F7-G7</f>
        <v>498678.14999999991</v>
      </c>
      <c r="E7" s="238"/>
      <c r="F7" s="247">
        <f>'DOE25'!J195+'DOE25'!J213+'DOE25'!J231</f>
        <v>117632.38</v>
      </c>
      <c r="G7" s="53">
        <f>'DOE25'!K195+'DOE25'!K213+'DOE25'!K231</f>
        <v>0</v>
      </c>
      <c r="H7" s="251"/>
    </row>
    <row r="8" spans="1:9">
      <c r="A8" s="32">
        <v>2300</v>
      </c>
      <c r="B8" t="s">
        <v>649</v>
      </c>
      <c r="C8" s="240">
        <f t="shared" si="0"/>
        <v>899062.48999999987</v>
      </c>
      <c r="D8" s="238"/>
      <c r="E8" s="20">
        <f>'DOE25'!L196+'DOE25'!L214+'DOE25'!L232-F8-G8-D9-D11</f>
        <v>850562.40999999992</v>
      </c>
      <c r="F8" s="247">
        <f>'DOE25'!J196+'DOE25'!J214+'DOE25'!J232</f>
        <v>0</v>
      </c>
      <c r="G8" s="53">
        <f>'DOE25'!K196+'DOE25'!K214+'DOE25'!K232</f>
        <v>48500.08</v>
      </c>
      <c r="H8" s="251"/>
    </row>
    <row r="9" spans="1:9">
      <c r="A9" s="32">
        <v>2310</v>
      </c>
      <c r="B9" t="s">
        <v>650</v>
      </c>
      <c r="C9" s="240">
        <f t="shared" si="0"/>
        <v>25216.29</v>
      </c>
      <c r="D9" s="239">
        <v>25216.29</v>
      </c>
      <c r="E9" s="238"/>
      <c r="F9" s="250"/>
      <c r="G9" s="248"/>
      <c r="H9" s="251"/>
    </row>
    <row r="10" spans="1:9">
      <c r="A10" s="32">
        <v>2317</v>
      </c>
      <c r="B10" t="s">
        <v>651</v>
      </c>
      <c r="C10" s="240">
        <f t="shared" si="0"/>
        <v>0</v>
      </c>
      <c r="D10" s="238"/>
      <c r="E10" s="239">
        <v>0</v>
      </c>
      <c r="F10" s="250"/>
      <c r="G10" s="248"/>
      <c r="H10" s="251"/>
    </row>
    <row r="11" spans="1:9">
      <c r="A11" s="32">
        <v>2321</v>
      </c>
      <c r="B11" t="s">
        <v>652</v>
      </c>
      <c r="C11" s="240">
        <f t="shared" si="0"/>
        <v>439113.72</v>
      </c>
      <c r="D11" s="239">
        <v>439113.72</v>
      </c>
      <c r="E11" s="238"/>
      <c r="F11" s="250"/>
      <c r="G11" s="248"/>
      <c r="H11" s="251"/>
    </row>
    <row r="12" spans="1:9">
      <c r="A12" s="32">
        <v>2400</v>
      </c>
      <c r="B12" t="s">
        <v>653</v>
      </c>
      <c r="C12" s="240">
        <f t="shared" si="0"/>
        <v>1770559.1100000003</v>
      </c>
      <c r="D12" s="20">
        <f>'DOE25'!L197+'DOE25'!L215+'DOE25'!L233-F12-G12</f>
        <v>1770085.1100000003</v>
      </c>
      <c r="E12" s="238"/>
      <c r="F12" s="247">
        <f>'DOE25'!J197+'DOE25'!J215+'DOE25'!J233</f>
        <v>0</v>
      </c>
      <c r="G12" s="53">
        <f>'DOE25'!K197+'DOE25'!K215+'DOE25'!K233</f>
        <v>474</v>
      </c>
      <c r="H12" s="251"/>
    </row>
    <row r="13" spans="1:9">
      <c r="A13" s="32">
        <v>2500</v>
      </c>
      <c r="B13" t="s">
        <v>654</v>
      </c>
      <c r="C13" s="240">
        <f t="shared" si="0"/>
        <v>513129.41000000003</v>
      </c>
      <c r="D13" s="238"/>
      <c r="E13" s="20">
        <f>'DOE25'!L198+'DOE25'!L216+'DOE25'!L234-F13-G13</f>
        <v>512199.89</v>
      </c>
      <c r="F13" s="247">
        <f>'DOE25'!J198+'DOE25'!J216+'DOE25'!J234</f>
        <v>0</v>
      </c>
      <c r="G13" s="53">
        <f>'DOE25'!K198+'DOE25'!K216+'DOE25'!K234</f>
        <v>929.52</v>
      </c>
      <c r="H13" s="251"/>
    </row>
    <row r="14" spans="1:9">
      <c r="A14" s="32">
        <v>2600</v>
      </c>
      <c r="B14" t="s">
        <v>655</v>
      </c>
      <c r="C14" s="240">
        <f t="shared" si="0"/>
        <v>3540722.15</v>
      </c>
      <c r="D14" s="20">
        <f>'DOE25'!L199+'DOE25'!L217+'DOE25'!L235-F14-G14</f>
        <v>3388587.4699999997</v>
      </c>
      <c r="E14" s="238"/>
      <c r="F14" s="247">
        <f>'DOE25'!J199+'DOE25'!J217+'DOE25'!J235</f>
        <v>152134.68</v>
      </c>
      <c r="G14" s="53">
        <f>'DOE25'!K199+'DOE25'!K217+'DOE25'!K235</f>
        <v>0</v>
      </c>
      <c r="H14" s="251"/>
    </row>
    <row r="15" spans="1:9">
      <c r="A15" s="32">
        <v>2700</v>
      </c>
      <c r="B15" t="s">
        <v>656</v>
      </c>
      <c r="C15" s="240">
        <f t="shared" si="0"/>
        <v>897580.24</v>
      </c>
      <c r="D15" s="20">
        <f>'DOE25'!L200+'DOE25'!L218+'DOE25'!L236-F15-G15</f>
        <v>897580.24</v>
      </c>
      <c r="E15" s="238"/>
      <c r="F15" s="247">
        <f>'DOE25'!J200+'DOE25'!J218+'DOE25'!J236</f>
        <v>0</v>
      </c>
      <c r="G15" s="53">
        <f>'DOE25'!K200+'DOE25'!K218+'DOE25'!K236</f>
        <v>0</v>
      </c>
      <c r="H15" s="251"/>
    </row>
    <row r="16" spans="1:9">
      <c r="A16" s="32">
        <v>2800</v>
      </c>
      <c r="B16" t="s">
        <v>657</v>
      </c>
      <c r="C16" s="240">
        <f t="shared" si="0"/>
        <v>733303.3</v>
      </c>
      <c r="D16" s="238"/>
      <c r="E16" s="20">
        <f>'DOE25'!L201+'DOE25'!L219+'DOE25'!L237-F16-G16</f>
        <v>695441.79</v>
      </c>
      <c r="F16" s="247">
        <f>'DOE25'!J201+'DOE25'!J219+'DOE25'!J237</f>
        <v>20904.2</v>
      </c>
      <c r="G16" s="53">
        <f>'DOE25'!K201+'DOE25'!K219+'DOE25'!K237</f>
        <v>16957.310000000001</v>
      </c>
      <c r="H16" s="251"/>
    </row>
    <row r="17" spans="1:8">
      <c r="A17" s="32">
        <v>1600</v>
      </c>
      <c r="B17" t="s">
        <v>658</v>
      </c>
      <c r="C17" s="240">
        <f t="shared" si="0"/>
        <v>2180.4299999999998</v>
      </c>
      <c r="D17" s="20">
        <f>'DOE25'!L243-F17-G17</f>
        <v>2180.4299999999998</v>
      </c>
      <c r="E17" s="238"/>
      <c r="F17" s="247">
        <f>'DOE25'!J243</f>
        <v>0</v>
      </c>
      <c r="G17" s="53">
        <f>'DOE25'!K243</f>
        <v>0</v>
      </c>
      <c r="H17" s="251"/>
    </row>
    <row r="18" spans="1:8">
      <c r="A18" s="32">
        <v>1700</v>
      </c>
      <c r="B18" t="s">
        <v>659</v>
      </c>
      <c r="C18" s="240">
        <f t="shared" si="0"/>
        <v>0</v>
      </c>
      <c r="D18" s="20">
        <f>'DOE25'!L244-F18-G18</f>
        <v>0</v>
      </c>
      <c r="E18" s="238"/>
      <c r="F18" s="247">
        <f>'DOE25'!J244</f>
        <v>0</v>
      </c>
      <c r="G18" s="53">
        <f>'DOE25'!K244</f>
        <v>0</v>
      </c>
      <c r="H18" s="251"/>
    </row>
    <row r="19" spans="1:8">
      <c r="A19" s="32">
        <v>1800</v>
      </c>
      <c r="B19" t="s">
        <v>660</v>
      </c>
      <c r="C19" s="240">
        <f t="shared" si="0"/>
        <v>0</v>
      </c>
      <c r="D19" s="20">
        <f>'DOE25'!L245-F19-G19</f>
        <v>0</v>
      </c>
      <c r="E19" s="238"/>
      <c r="F19" s="247">
        <f>'DOE25'!J245</f>
        <v>0</v>
      </c>
      <c r="G19" s="53">
        <f>'DOE25'!K245</f>
        <v>0</v>
      </c>
      <c r="H19" s="251"/>
    </row>
    <row r="20" spans="1:8">
      <c r="F20" s="252"/>
      <c r="G20" s="52"/>
      <c r="H20" s="253"/>
    </row>
    <row r="21" spans="1:8">
      <c r="B21" s="33" t="s">
        <v>661</v>
      </c>
      <c r="F21" s="252"/>
      <c r="G21" s="52"/>
      <c r="H21" s="253"/>
    </row>
    <row r="22" spans="1:8">
      <c r="A22" s="32">
        <v>4000</v>
      </c>
      <c r="B22" t="s">
        <v>662</v>
      </c>
      <c r="C22" s="240">
        <f>SUM(D22:H22)</f>
        <v>0</v>
      </c>
      <c r="D22" s="238"/>
      <c r="E22" s="238"/>
      <c r="F22" s="247">
        <f>'DOE25'!L247+'DOE25'!L328</f>
        <v>0</v>
      </c>
      <c r="G22" s="248"/>
      <c r="H22" s="251"/>
    </row>
    <row r="23" spans="1:8">
      <c r="A23" s="32"/>
      <c r="F23" s="252"/>
      <c r="G23" s="52"/>
      <c r="H23" s="253"/>
    </row>
    <row r="24" spans="1:8">
      <c r="A24" s="32"/>
      <c r="B24" s="33" t="s">
        <v>262</v>
      </c>
      <c r="F24" s="252"/>
      <c r="G24" s="52"/>
      <c r="H24" s="253"/>
    </row>
    <row r="25" spans="1:8">
      <c r="A25" s="32" t="s">
        <v>663</v>
      </c>
      <c r="B25" t="s">
        <v>664</v>
      </c>
      <c r="C25" s="240">
        <f>SUM(D25:H25)</f>
        <v>0</v>
      </c>
      <c r="D25" s="238"/>
      <c r="E25" s="238"/>
      <c r="F25" s="250"/>
      <c r="G25" s="248"/>
      <c r="H25" s="249">
        <f>'DOE25'!L252+'DOE25'!L253+'DOE25'!L333+'DOE25'!L334</f>
        <v>0</v>
      </c>
    </row>
    <row r="26" spans="1:8">
      <c r="A26" s="32"/>
      <c r="F26" s="252"/>
      <c r="G26" s="52"/>
      <c r="H26" s="253"/>
    </row>
    <row r="27" spans="1:8">
      <c r="A27" s="32"/>
      <c r="B27" s="33" t="s">
        <v>665</v>
      </c>
      <c r="F27" s="252"/>
      <c r="G27" s="52"/>
      <c r="H27" s="253"/>
    </row>
    <row r="28" spans="1:8">
      <c r="A28" s="32">
        <v>3100</v>
      </c>
      <c r="B28" t="s">
        <v>666</v>
      </c>
      <c r="F28" s="252"/>
      <c r="G28" s="52"/>
      <c r="H28" s="253"/>
    </row>
    <row r="29" spans="1:8">
      <c r="A29" s="32"/>
      <c r="B29" t="s">
        <v>667</v>
      </c>
      <c r="C29" s="240">
        <f>SUM(D29:H29)</f>
        <v>462143.33999999997</v>
      </c>
      <c r="D29" s="20">
        <f>'DOE25'!L350+'DOE25'!L351+'DOE25'!L352-'DOE25'!I359-F29-G29</f>
        <v>455617.18999999994</v>
      </c>
      <c r="E29" s="238"/>
      <c r="F29" s="247">
        <f>'DOE25'!J350+'DOE25'!J351+'DOE25'!J352</f>
        <v>6526.15</v>
      </c>
      <c r="G29" s="53">
        <f>'DOE25'!K350+'DOE25'!K351+'DOE25'!K352</f>
        <v>0</v>
      </c>
      <c r="H29" s="251"/>
    </row>
    <row r="30" spans="1:8">
      <c r="A30" s="32"/>
      <c r="D30" s="20"/>
      <c r="E30" s="238"/>
      <c r="F30" s="247"/>
      <c r="G30" s="53"/>
      <c r="H30" s="251"/>
    </row>
    <row r="31" spans="1:8">
      <c r="A31" s="32" t="s">
        <v>668</v>
      </c>
      <c r="B31" t="s">
        <v>669</v>
      </c>
      <c r="C31" s="240">
        <f>SUM(D31:H31)</f>
        <v>4504972.0100000007</v>
      </c>
      <c r="D31" s="20">
        <f>'DOE25'!L282+'DOE25'!L301+'DOE25'!L320+'DOE25'!L325+'DOE25'!L326+'DOE25'!L327-F31-G31</f>
        <v>4429924.870000001</v>
      </c>
      <c r="E31" s="238"/>
      <c r="F31" s="247">
        <f>'DOE25'!J282+'DOE25'!J301+'DOE25'!J320+'DOE25'!J325+'DOE25'!J326+'DOE25'!J327</f>
        <v>70593.83</v>
      </c>
      <c r="G31" s="53">
        <f>'DOE25'!K282+'DOE25'!K301+'DOE25'!K320+'DOE25'!K325+'DOE25'!K326+'DOE25'!K327</f>
        <v>4453.3100000000004</v>
      </c>
      <c r="H31" s="251"/>
    </row>
    <row r="32" spans="1:8" ht="12" thickBot="1">
      <c r="F32" s="254"/>
      <c r="G32" s="245"/>
      <c r="H32" s="255"/>
    </row>
    <row r="33" spans="2:8" ht="12" thickTop="1">
      <c r="B33" t="s">
        <v>670</v>
      </c>
      <c r="D33" s="241">
        <f>SUM(D5:D31)</f>
        <v>38648779.799999997</v>
      </c>
      <c r="E33" s="241">
        <f>SUM(E5:E31)</f>
        <v>2058204.0899999999</v>
      </c>
      <c r="F33" s="241">
        <f>SUM(F5:F31)</f>
        <v>417629.63000000006</v>
      </c>
      <c r="G33" s="241">
        <f>SUM(G5:G31)</f>
        <v>90306.23</v>
      </c>
      <c r="H33" s="241">
        <f>SUM(H5:H31)</f>
        <v>0</v>
      </c>
    </row>
    <row r="35" spans="2:8" ht="12" thickBot="1">
      <c r="B35" s="245" t="s">
        <v>671</v>
      </c>
      <c r="D35" s="246">
        <f>E33</f>
        <v>2058204.0899999999</v>
      </c>
      <c r="E35" s="244"/>
    </row>
    <row r="36" spans="2:8" ht="12" thickTop="1">
      <c r="B36" t="s">
        <v>672</v>
      </c>
      <c r="D36" s="20">
        <f>D33</f>
        <v>38648779.799999997</v>
      </c>
    </row>
    <row r="38" spans="2:8">
      <c r="B38" s="185" t="s">
        <v>673</v>
      </c>
      <c r="C38" s="258"/>
      <c r="D38" s="259"/>
    </row>
    <row r="39" spans="2:8">
      <c r="B39" t="s">
        <v>674</v>
      </c>
      <c r="D39" s="262" t="str">
        <f>IF(E10&gt;0,"Y","N")</f>
        <v>N</v>
      </c>
    </row>
    <row r="41" spans="2:8">
      <c r="B41" s="256" t="s">
        <v>675</v>
      </c>
    </row>
    <row r="42" spans="2:8">
      <c r="B42" t="s">
        <v>676</v>
      </c>
    </row>
    <row r="43" spans="2:8">
      <c r="B43" t="s">
        <v>677</v>
      </c>
    </row>
    <row r="45" spans="2:8">
      <c r="B45" t="s">
        <v>678</v>
      </c>
    </row>
    <row r="47" spans="2:8">
      <c r="B47" t="s">
        <v>679</v>
      </c>
    </row>
    <row r="48" spans="2:8">
      <c r="B48" t="s">
        <v>680</v>
      </c>
    </row>
    <row r="49" spans="2:2">
      <c r="B49" t="s">
        <v>681</v>
      </c>
    </row>
    <row r="50" spans="2:2">
      <c r="B50" t="s">
        <v>682</v>
      </c>
    </row>
    <row r="51" spans="2:2">
      <c r="B51" t="s">
        <v>683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DAF-F137-486C-B073-11062EBE4E5A}">
  <sheetPr transitionEvaluation="1" codeName="Sheet2">
    <tabColor indexed="10"/>
  </sheetPr>
  <dimension ref="A1:I156"/>
  <sheetViews>
    <sheetView workbookViewId="0">
      <pane ySplit="2" topLeftCell="A3" activePane="bottomLeft" state="frozen"/>
      <selection pane="bottomLeft" activeCell="A60" sqref="A60"/>
    </sheetView>
  </sheetViews>
  <sheetFormatPr defaultRowHeight="11.25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>
      <c r="A1" s="132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>
      <c r="A2" s="133" t="str">
        <f>'DOE25'!A2</f>
        <v>Portsmouth</v>
      </c>
      <c r="B2" s="126"/>
      <c r="C2" s="15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25"/>
      <c r="I2" s="125"/>
    </row>
    <row r="3" spans="1:9">
      <c r="A3" s="5" t="s">
        <v>13</v>
      </c>
      <c r="B3" s="6" t="s">
        <v>684</v>
      </c>
      <c r="C3" s="23" t="s">
        <v>19</v>
      </c>
      <c r="D3" s="23" t="s">
        <v>20</v>
      </c>
      <c r="E3" s="23" t="s">
        <v>21</v>
      </c>
      <c r="F3" s="23" t="s">
        <v>22</v>
      </c>
      <c r="G3" s="23" t="s">
        <v>23</v>
      </c>
      <c r="H3" s="4"/>
      <c r="I3" s="4"/>
    </row>
    <row r="4" spans="1:9">
      <c r="A4" s="1" t="s">
        <v>17</v>
      </c>
      <c r="B4" s="127"/>
      <c r="C4" s="3"/>
      <c r="D4" s="3"/>
      <c r="E4" s="3"/>
      <c r="F4" s="3"/>
      <c r="G4" s="3"/>
      <c r="H4" s="124"/>
      <c r="I4" s="124"/>
    </row>
    <row r="5" spans="1:9">
      <c r="A5" s="1" t="s">
        <v>18</v>
      </c>
      <c r="B5" s="127"/>
      <c r="C5" s="3"/>
      <c r="D5" s="3"/>
      <c r="E5" s="3"/>
      <c r="F5" s="3"/>
      <c r="G5" s="3"/>
      <c r="H5" s="124"/>
      <c r="I5" s="124"/>
    </row>
    <row r="6" spans="1:9">
      <c r="A6" s="3"/>
      <c r="B6" s="7"/>
      <c r="C6" s="25" t="s">
        <v>24</v>
      </c>
      <c r="D6" s="26" t="s">
        <v>25</v>
      </c>
      <c r="E6" s="25" t="s">
        <v>26</v>
      </c>
      <c r="F6" s="25" t="s">
        <v>27</v>
      </c>
      <c r="G6" s="25" t="s">
        <v>28</v>
      </c>
      <c r="H6" s="124"/>
      <c r="I6" s="124"/>
    </row>
    <row r="7" spans="1:9">
      <c r="A7" s="1" t="s">
        <v>29</v>
      </c>
      <c r="B7" s="7"/>
      <c r="C7" s="14" t="s">
        <v>62</v>
      </c>
      <c r="D7" s="13"/>
      <c r="E7" s="13"/>
      <c r="F7" s="13"/>
      <c r="G7" s="13"/>
      <c r="H7" s="124"/>
      <c r="I7" s="124"/>
    </row>
    <row r="8" spans="1:9">
      <c r="A8" s="29" t="s">
        <v>685</v>
      </c>
      <c r="B8" s="7"/>
      <c r="C8" s="24" t="s">
        <v>32</v>
      </c>
      <c r="D8" s="24" t="s">
        <v>32</v>
      </c>
      <c r="E8" s="24" t="s">
        <v>32</v>
      </c>
      <c r="F8" s="24" t="s">
        <v>32</v>
      </c>
      <c r="G8" s="24" t="s">
        <v>32</v>
      </c>
      <c r="H8" s="124"/>
      <c r="I8" s="124"/>
    </row>
    <row r="9" spans="1:9">
      <c r="A9" s="1" t="s">
        <v>686</v>
      </c>
      <c r="B9" s="6">
        <v>100</v>
      </c>
      <c r="C9" s="95">
        <f>'DOE25'!F9</f>
        <v>0</v>
      </c>
      <c r="D9" s="95">
        <f>'DOE25'!G9</f>
        <v>37355.629999999997</v>
      </c>
      <c r="E9" s="95">
        <f>'DOE25'!H9</f>
        <v>0</v>
      </c>
      <c r="F9" s="95">
        <f>'DOE25'!I9</f>
        <v>0</v>
      </c>
      <c r="G9" s="95">
        <f>'DOE25'!J9</f>
        <v>171398.6</v>
      </c>
      <c r="H9" s="124"/>
      <c r="I9" s="124"/>
    </row>
    <row r="10" spans="1:9">
      <c r="A10" s="1" t="s">
        <v>687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4796734.9800000004</v>
      </c>
      <c r="H10" s="124"/>
      <c r="I10" s="124"/>
    </row>
    <row r="11" spans="1:9">
      <c r="A11" s="1" t="s">
        <v>688</v>
      </c>
      <c r="B11" s="6">
        <v>120</v>
      </c>
      <c r="C11" s="95">
        <f>'DOE25'!F11</f>
        <v>0</v>
      </c>
      <c r="D11" s="24" t="s">
        <v>32</v>
      </c>
      <c r="E11" s="24" t="s">
        <v>32</v>
      </c>
      <c r="F11" s="24" t="s">
        <v>32</v>
      </c>
      <c r="G11" s="24" t="s">
        <v>32</v>
      </c>
      <c r="H11" s="124"/>
      <c r="I11" s="124"/>
    </row>
    <row r="12" spans="1:9">
      <c r="A12" s="1" t="s">
        <v>689</v>
      </c>
      <c r="B12" s="6">
        <v>130</v>
      </c>
      <c r="C12" s="95">
        <f>'DOE25'!F12</f>
        <v>0</v>
      </c>
      <c r="D12" s="95">
        <f>'DOE25'!G12</f>
        <v>0</v>
      </c>
      <c r="E12" s="95">
        <f>'DOE25'!H12</f>
        <v>0</v>
      </c>
      <c r="F12" s="95">
        <f>'DOE25'!I12</f>
        <v>0</v>
      </c>
      <c r="G12" s="95">
        <f>'DOE25'!J12</f>
        <v>0</v>
      </c>
      <c r="H12" s="124"/>
      <c r="I12" s="124"/>
    </row>
    <row r="13" spans="1:9">
      <c r="A13" s="1" t="s">
        <v>690</v>
      </c>
      <c r="B13" s="6">
        <v>140</v>
      </c>
      <c r="C13" s="95">
        <f>'DOE25'!F13</f>
        <v>0</v>
      </c>
      <c r="D13" s="95">
        <f>'DOE25'!G13</f>
        <v>24551.35</v>
      </c>
      <c r="E13" s="95">
        <f>'DOE25'!H13</f>
        <v>672255.5</v>
      </c>
      <c r="F13" s="95">
        <f>'DOE25'!I13</f>
        <v>0</v>
      </c>
      <c r="G13" s="95">
        <f>'DOE25'!J13</f>
        <v>0</v>
      </c>
      <c r="H13" s="124"/>
      <c r="I13" s="124"/>
    </row>
    <row r="14" spans="1:9">
      <c r="A14" s="1" t="s">
        <v>691</v>
      </c>
      <c r="B14" s="6">
        <v>150</v>
      </c>
      <c r="C14" s="95">
        <f>'DOE25'!F14</f>
        <v>0</v>
      </c>
      <c r="D14" s="95">
        <f>'DOE25'!G14</f>
        <v>2345.1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>
      <c r="A15" s="1" t="s">
        <v>692</v>
      </c>
      <c r="B15" s="6">
        <v>160</v>
      </c>
      <c r="C15" s="24" t="s">
        <v>32</v>
      </c>
      <c r="D15" s="24" t="s">
        <v>32</v>
      </c>
      <c r="E15" s="24" t="s">
        <v>32</v>
      </c>
      <c r="F15" s="95">
        <f>'DOE25'!I15</f>
        <v>0</v>
      </c>
      <c r="G15" s="24" t="s">
        <v>32</v>
      </c>
      <c r="H15" s="124"/>
      <c r="I15" s="124"/>
    </row>
    <row r="16" spans="1:9">
      <c r="A16" s="1" t="s">
        <v>693</v>
      </c>
      <c r="B16" s="6">
        <v>170</v>
      </c>
      <c r="C16" s="95">
        <f>'DOE25'!F16</f>
        <v>0</v>
      </c>
      <c r="D16" s="95">
        <f>'DOE25'!G16</f>
        <v>15932.83</v>
      </c>
      <c r="E16" s="95">
        <f>'DOE25'!H16</f>
        <v>0</v>
      </c>
      <c r="F16" s="95">
        <f>'DOE25'!I16</f>
        <v>0</v>
      </c>
      <c r="G16" s="24" t="s">
        <v>32</v>
      </c>
      <c r="H16" s="124"/>
      <c r="I16" s="124"/>
    </row>
    <row r="17" spans="1:9">
      <c r="A17" s="1" t="s">
        <v>694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>
      <c r="A18" s="1" t="s">
        <v>695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>
      <c r="A19" s="38" t="s">
        <v>696</v>
      </c>
      <c r="B19" s="39"/>
      <c r="C19" s="41">
        <f>SUM(C9:C18)</f>
        <v>0</v>
      </c>
      <c r="D19" s="41">
        <f>SUM(D9:D18)</f>
        <v>80184.909999999989</v>
      </c>
      <c r="E19" s="41">
        <f>SUM(E9:E18)</f>
        <v>672255.5</v>
      </c>
      <c r="F19" s="41">
        <f>SUM(F9:F18)</f>
        <v>0</v>
      </c>
      <c r="G19" s="41">
        <f>SUM(G9:G18)</f>
        <v>4968133.58</v>
      </c>
      <c r="H19" s="124"/>
      <c r="I19" s="124"/>
    </row>
    <row r="20" spans="1:9">
      <c r="A20" s="1" t="s">
        <v>697</v>
      </c>
      <c r="B20" s="127"/>
      <c r="C20" s="13"/>
      <c r="D20" s="13"/>
      <c r="E20" s="13"/>
      <c r="F20" s="13"/>
      <c r="G20" s="13"/>
      <c r="H20" s="124"/>
      <c r="I20" s="124"/>
    </row>
    <row r="21" spans="1:9">
      <c r="A21" s="29" t="s">
        <v>698</v>
      </c>
      <c r="B21" s="7"/>
      <c r="C21" s="24" t="s">
        <v>32</v>
      </c>
      <c r="D21" s="24" t="s">
        <v>32</v>
      </c>
      <c r="E21" s="24" t="s">
        <v>32</v>
      </c>
      <c r="F21" s="24" t="s">
        <v>32</v>
      </c>
      <c r="G21" s="24" t="s">
        <v>32</v>
      </c>
      <c r="H21" s="124"/>
      <c r="I21" s="124"/>
    </row>
    <row r="22" spans="1:9">
      <c r="A22" s="1" t="s">
        <v>699</v>
      </c>
      <c r="B22" s="6">
        <v>400</v>
      </c>
      <c r="C22" s="95">
        <f>'DOE25'!F23</f>
        <v>0</v>
      </c>
      <c r="D22" s="95">
        <f>'DOE25'!G23</f>
        <v>0</v>
      </c>
      <c r="E22" s="95">
        <f>'DOE25'!H23</f>
        <v>327887.63</v>
      </c>
      <c r="F22" s="95">
        <f>'DOE25'!I23</f>
        <v>0</v>
      </c>
      <c r="G22" s="95">
        <f>'DOE25'!J23</f>
        <v>0</v>
      </c>
      <c r="H22" s="124"/>
      <c r="I22" s="124"/>
    </row>
    <row r="23" spans="1:9">
      <c r="A23" s="1" t="s">
        <v>700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5023.78</v>
      </c>
      <c r="F23" s="95">
        <f>'DOE25'!I24</f>
        <v>0</v>
      </c>
      <c r="G23" s="95">
        <f>'DOE25'!J24</f>
        <v>0</v>
      </c>
      <c r="H23" s="124"/>
      <c r="I23" s="124"/>
    </row>
    <row r="24" spans="1:9">
      <c r="A24" s="1" t="s">
        <v>701</v>
      </c>
      <c r="B24" s="6">
        <v>420</v>
      </c>
      <c r="C24" s="95">
        <f>'DOE25'!F25</f>
        <v>0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>
      <c r="A25" s="1" t="s">
        <v>702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32</v>
      </c>
      <c r="H25" s="124"/>
      <c r="I25" s="124"/>
    </row>
    <row r="26" spans="1:9">
      <c r="A26" s="1" t="s">
        <v>703</v>
      </c>
      <c r="B26" s="6">
        <v>440</v>
      </c>
      <c r="C26" s="95">
        <f>'DOE25'!F27</f>
        <v>0</v>
      </c>
      <c r="D26" s="24" t="s">
        <v>32</v>
      </c>
      <c r="E26" s="24" t="s">
        <v>32</v>
      </c>
      <c r="F26" s="95">
        <f>'DOE25'!I27</f>
        <v>0</v>
      </c>
      <c r="G26" s="24" t="s">
        <v>32</v>
      </c>
      <c r="H26" s="124"/>
      <c r="I26" s="124"/>
    </row>
    <row r="27" spans="1:9">
      <c r="A27" s="1" t="s">
        <v>704</v>
      </c>
      <c r="B27" s="6">
        <v>450</v>
      </c>
      <c r="C27" s="95">
        <f>'DOE25'!F28</f>
        <v>0</v>
      </c>
      <c r="D27" s="24" t="s">
        <v>32</v>
      </c>
      <c r="E27" s="24" t="s">
        <v>32</v>
      </c>
      <c r="F27" s="95">
        <f>'DOE25'!I28</f>
        <v>0</v>
      </c>
      <c r="G27" s="24" t="s">
        <v>32</v>
      </c>
      <c r="H27" s="124"/>
      <c r="I27" s="124"/>
    </row>
    <row r="28" spans="1:9">
      <c r="A28" s="1" t="s">
        <v>705</v>
      </c>
      <c r="B28" s="6">
        <v>460</v>
      </c>
      <c r="C28" s="95">
        <f>'DOE25'!F29</f>
        <v>0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32</v>
      </c>
      <c r="H28" s="124"/>
      <c r="I28" s="124"/>
    </row>
    <row r="29" spans="1:9">
      <c r="A29" s="1" t="s">
        <v>706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32</v>
      </c>
      <c r="H29" s="124"/>
      <c r="I29" s="124"/>
    </row>
    <row r="30" spans="1:9">
      <c r="A30" s="1" t="s">
        <v>707</v>
      </c>
      <c r="B30" s="6">
        <v>480</v>
      </c>
      <c r="C30" s="95">
        <f>'DOE25'!F31</f>
        <v>0</v>
      </c>
      <c r="D30" s="95">
        <f>'DOE25'!G31</f>
        <v>19879.63</v>
      </c>
      <c r="E30" s="95">
        <f>'DOE25'!H31</f>
        <v>0</v>
      </c>
      <c r="F30" s="95">
        <f>'DOE25'!I31</f>
        <v>0</v>
      </c>
      <c r="G30" s="24" t="s">
        <v>32</v>
      </c>
      <c r="H30" s="124"/>
      <c r="I30" s="124"/>
    </row>
    <row r="31" spans="1:9" ht="12" thickBot="1">
      <c r="A31" s="1" t="s">
        <v>708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>
      <c r="A32" s="38" t="s">
        <v>709</v>
      </c>
      <c r="B32" s="2"/>
      <c r="C32" s="41">
        <f>SUM(C22:C31)</f>
        <v>0</v>
      </c>
      <c r="D32" s="41">
        <f>SUM(D22:D31)</f>
        <v>19879.63</v>
      </c>
      <c r="E32" s="41">
        <f>SUM(E22:E31)</f>
        <v>332911.41000000003</v>
      </c>
      <c r="F32" s="41">
        <f>SUM(F22:F31)</f>
        <v>0</v>
      </c>
      <c r="G32" s="41">
        <f>SUM(G22:G31)</f>
        <v>0</v>
      </c>
      <c r="H32" s="124"/>
      <c r="I32" s="124"/>
    </row>
    <row r="33" spans="1:9">
      <c r="A33" s="29" t="s">
        <v>61</v>
      </c>
      <c r="B33" s="2" t="s">
        <v>62</v>
      </c>
      <c r="C33" s="24" t="s">
        <v>32</v>
      </c>
      <c r="D33" s="24" t="s">
        <v>32</v>
      </c>
      <c r="E33" s="24" t="s">
        <v>32</v>
      </c>
      <c r="F33" s="24" t="s">
        <v>32</v>
      </c>
      <c r="G33" s="24" t="s">
        <v>32</v>
      </c>
      <c r="H33" s="124"/>
      <c r="I33" s="124"/>
    </row>
    <row r="34" spans="1:9">
      <c r="A34" s="1" t="s">
        <v>710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32</v>
      </c>
      <c r="H34" s="124"/>
      <c r="I34" s="124"/>
    </row>
    <row r="35" spans="1:9">
      <c r="A35" s="1" t="s">
        <v>711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32</v>
      </c>
      <c r="H35" s="124"/>
      <c r="I35" s="124"/>
    </row>
    <row r="36" spans="1:9">
      <c r="A36" s="1" t="s">
        <v>712</v>
      </c>
      <c r="B36" s="6">
        <v>753</v>
      </c>
      <c r="C36" s="95">
        <f>'DOE25'!F37</f>
        <v>0</v>
      </c>
      <c r="D36" s="95">
        <f>'DOE25'!G37</f>
        <v>0</v>
      </c>
      <c r="E36" s="95">
        <f>'DOE25'!H37</f>
        <v>0</v>
      </c>
      <c r="F36" s="95">
        <f>'DOE25'!I37</f>
        <v>0</v>
      </c>
      <c r="G36" s="95">
        <f>'DOE25'!J37</f>
        <v>0</v>
      </c>
      <c r="H36" s="124"/>
      <c r="I36" s="124"/>
    </row>
    <row r="37" spans="1:9">
      <c r="A37" s="1" t="s">
        <v>713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>
      <c r="A38" s="1" t="s">
        <v>714</v>
      </c>
      <c r="B38" s="6">
        <v>755</v>
      </c>
      <c r="C38" s="95">
        <f>'DOE25'!F39</f>
        <v>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32</v>
      </c>
      <c r="H38" s="124"/>
      <c r="I38" s="124"/>
    </row>
    <row r="39" spans="1:9">
      <c r="A39" s="1" t="s">
        <v>715</v>
      </c>
      <c r="B39" s="6">
        <v>756</v>
      </c>
      <c r="C39" s="24" t="s">
        <v>32</v>
      </c>
      <c r="D39" s="24" t="s">
        <v>32</v>
      </c>
      <c r="E39" s="24" t="s">
        <v>32</v>
      </c>
      <c r="F39" s="24" t="s">
        <v>32</v>
      </c>
      <c r="G39" s="95">
        <f>'DOE25'!J40</f>
        <v>4968133.58</v>
      </c>
      <c r="H39" s="124"/>
      <c r="I39" s="124"/>
    </row>
    <row r="40" spans="1:9">
      <c r="A40" s="1" t="s">
        <v>716</v>
      </c>
      <c r="B40" s="6">
        <v>760</v>
      </c>
      <c r="C40" s="95">
        <f>'DOE25'!F41</f>
        <v>0</v>
      </c>
      <c r="D40" s="95">
        <f>'DOE25'!G41</f>
        <v>60305.279999999999</v>
      </c>
      <c r="E40" s="95">
        <f>'DOE25'!H41</f>
        <v>339344.09</v>
      </c>
      <c r="F40" s="95">
        <f>'DOE25'!I41</f>
        <v>0</v>
      </c>
      <c r="G40" s="95">
        <f>'DOE25'!J41</f>
        <v>0</v>
      </c>
      <c r="H40" s="124"/>
      <c r="I40" s="124"/>
    </row>
    <row r="41" spans="1:9" ht="12" thickBot="1">
      <c r="A41" s="1" t="s">
        <v>717</v>
      </c>
      <c r="B41" s="71">
        <v>770</v>
      </c>
      <c r="C41" s="95">
        <f>'DOE25'!F42</f>
        <v>0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32</v>
      </c>
      <c r="H41" s="124"/>
      <c r="I41" s="124"/>
    </row>
    <row r="42" spans="1:9" ht="12.75" thickTop="1" thickBot="1">
      <c r="A42" s="38" t="s">
        <v>718</v>
      </c>
      <c r="B42" s="48"/>
      <c r="C42" s="41">
        <f>SUM(C34:C41)</f>
        <v>0</v>
      </c>
      <c r="D42" s="41">
        <f>SUM(D34:D41)</f>
        <v>60305.279999999999</v>
      </c>
      <c r="E42" s="41">
        <f>SUM(E34:E41)</f>
        <v>339344.09</v>
      </c>
      <c r="F42" s="41">
        <f>SUM(F34:F41)</f>
        <v>0</v>
      </c>
      <c r="G42" s="41">
        <f>SUM(G34:G41)</f>
        <v>4968133.58</v>
      </c>
      <c r="H42" s="124"/>
      <c r="I42" s="124"/>
    </row>
    <row r="43" spans="1:9" ht="12" thickTop="1">
      <c r="A43" s="38" t="s">
        <v>719</v>
      </c>
      <c r="B43" s="2"/>
      <c r="C43" s="41">
        <f>C42+C32</f>
        <v>0</v>
      </c>
      <c r="D43" s="41">
        <f>D42+D32</f>
        <v>80184.91</v>
      </c>
      <c r="E43" s="41">
        <f>E42+E32</f>
        <v>672255.5</v>
      </c>
      <c r="F43" s="41">
        <f>F42+F32</f>
        <v>0</v>
      </c>
      <c r="G43" s="41">
        <f>G42+G32</f>
        <v>4968133.58</v>
      </c>
      <c r="H43" s="124"/>
      <c r="I43" s="124"/>
    </row>
    <row r="45" spans="1:9">
      <c r="B45" s="3"/>
      <c r="C45" s="16" t="s">
        <v>24</v>
      </c>
      <c r="D45" s="16" t="s">
        <v>25</v>
      </c>
      <c r="E45" s="16" t="s">
        <v>26</v>
      </c>
      <c r="F45" s="16" t="s">
        <v>27</v>
      </c>
      <c r="G45" s="16" t="s">
        <v>720</v>
      </c>
      <c r="H45" s="20"/>
      <c r="I45" s="20"/>
    </row>
    <row r="46" spans="1:9">
      <c r="A46" s="1" t="s">
        <v>120</v>
      </c>
      <c r="B46" s="127"/>
      <c r="C46" s="24" t="s">
        <v>32</v>
      </c>
      <c r="D46" s="24" t="s">
        <v>32</v>
      </c>
      <c r="E46" s="24" t="s">
        <v>32</v>
      </c>
      <c r="F46" s="24" t="s">
        <v>32</v>
      </c>
      <c r="G46" s="24" t="s">
        <v>32</v>
      </c>
      <c r="H46"/>
      <c r="I46"/>
    </row>
    <row r="47" spans="1:9">
      <c r="A47" s="128" t="s">
        <v>721</v>
      </c>
      <c r="B47" s="127"/>
      <c r="C47" s="24" t="s">
        <v>32</v>
      </c>
      <c r="D47" s="24" t="s">
        <v>32</v>
      </c>
      <c r="E47" s="24" t="s">
        <v>32</v>
      </c>
      <c r="F47" s="24" t="s">
        <v>32</v>
      </c>
      <c r="G47" s="24" t="s">
        <v>32</v>
      </c>
      <c r="H47"/>
      <c r="I47"/>
    </row>
    <row r="48" spans="1:9">
      <c r="A48" s="1" t="s">
        <v>722</v>
      </c>
      <c r="B48" s="6" t="s">
        <v>723</v>
      </c>
      <c r="C48" s="95">
        <f>'DOE25'!F52</f>
        <v>20949703.870000001</v>
      </c>
      <c r="D48" s="95">
        <f>'DOE25'!G52</f>
        <v>0</v>
      </c>
      <c r="E48" s="95">
        <f>'DOE25'!H52</f>
        <v>187436.64</v>
      </c>
      <c r="F48" s="95">
        <f>'DOE25'!I52</f>
        <v>0</v>
      </c>
      <c r="G48" s="95">
        <f>'DOE25'!J52</f>
        <v>0</v>
      </c>
      <c r="H48"/>
      <c r="I48"/>
    </row>
    <row r="49" spans="1:9">
      <c r="A49" s="1" t="s">
        <v>724</v>
      </c>
      <c r="B49" s="6" t="s">
        <v>725</v>
      </c>
      <c r="C49" s="95">
        <f>'DOE25'!F71</f>
        <v>5392583.1800000006</v>
      </c>
      <c r="D49" s="24" t="s">
        <v>32</v>
      </c>
      <c r="E49" s="95">
        <f>'DOE25'!H71</f>
        <v>863427.5</v>
      </c>
      <c r="F49" s="24" t="s">
        <v>32</v>
      </c>
      <c r="G49" s="24" t="s">
        <v>32</v>
      </c>
      <c r="H49"/>
      <c r="I49"/>
    </row>
    <row r="50" spans="1:9">
      <c r="A50" s="1" t="s">
        <v>726</v>
      </c>
      <c r="B50" s="6" t="s">
        <v>727</v>
      </c>
      <c r="C50" s="95">
        <f>'DOE25'!F86</f>
        <v>0</v>
      </c>
      <c r="D50" s="24" t="s">
        <v>32</v>
      </c>
      <c r="E50" s="95">
        <f>'DOE25'!H86</f>
        <v>0</v>
      </c>
      <c r="F50" s="24" t="s">
        <v>32</v>
      </c>
      <c r="G50" s="24" t="s">
        <v>32</v>
      </c>
      <c r="H50"/>
      <c r="I50"/>
    </row>
    <row r="51" spans="1:9">
      <c r="A51" s="69" t="s">
        <v>728</v>
      </c>
      <c r="B51" s="37" t="s">
        <v>729</v>
      </c>
      <c r="C51" s="95">
        <f>'DOE25'!F88</f>
        <v>0</v>
      </c>
      <c r="D51" s="95">
        <f>'DOE25'!G88</f>
        <v>98.1</v>
      </c>
      <c r="E51" s="95">
        <f>'DOE25'!H88</f>
        <v>0</v>
      </c>
      <c r="F51" s="95">
        <f>'DOE25'!I88</f>
        <v>0</v>
      </c>
      <c r="G51" s="95">
        <f>'DOE25'!J88</f>
        <v>-62955.57</v>
      </c>
      <c r="H51"/>
      <c r="I51"/>
    </row>
    <row r="52" spans="1:9">
      <c r="A52" s="1" t="s">
        <v>730</v>
      </c>
      <c r="B52" s="118" t="s">
        <v>731</v>
      </c>
      <c r="C52" s="24" t="s">
        <v>32</v>
      </c>
      <c r="D52" s="95">
        <f>'DOE25'!G89</f>
        <v>491329.72</v>
      </c>
      <c r="E52" s="24" t="s">
        <v>32</v>
      </c>
      <c r="F52" s="24" t="s">
        <v>32</v>
      </c>
      <c r="G52" s="24" t="s">
        <v>32</v>
      </c>
      <c r="H52"/>
      <c r="I52"/>
    </row>
    <row r="53" spans="1:9" ht="12" thickBot="1">
      <c r="A53" s="1" t="s">
        <v>732</v>
      </c>
      <c r="B53" s="118" t="s">
        <v>733</v>
      </c>
      <c r="C53" s="95">
        <f>SUM('DOE25'!F90:F102)</f>
        <v>13932.03</v>
      </c>
      <c r="D53" s="95">
        <f>SUM('DOE25'!G90:G102)</f>
        <v>0</v>
      </c>
      <c r="E53" s="95">
        <f>SUM('DOE25'!H90:H102)</f>
        <v>313430.37</v>
      </c>
      <c r="F53" s="95">
        <f>SUM('DOE25'!I90:I102)</f>
        <v>0</v>
      </c>
      <c r="G53" s="95">
        <f>SUM('DOE25'!J90:J102)</f>
        <v>375013.75</v>
      </c>
      <c r="H53"/>
      <c r="I53"/>
    </row>
    <row r="54" spans="1:9" ht="12.75" thickTop="1" thickBot="1">
      <c r="A54" s="29" t="s">
        <v>734</v>
      </c>
      <c r="B54" s="6"/>
      <c r="C54" s="130">
        <f>SUM(C49:C53)</f>
        <v>5406515.2100000009</v>
      </c>
      <c r="D54" s="130">
        <f>SUM(D49:D53)</f>
        <v>491427.81999999995</v>
      </c>
      <c r="E54" s="130">
        <f>SUM(E49:E53)</f>
        <v>1176857.8700000001</v>
      </c>
      <c r="F54" s="130">
        <f>SUM(F49:F53)</f>
        <v>0</v>
      </c>
      <c r="G54" s="130">
        <f>SUM(G49:G53)</f>
        <v>312058.18</v>
      </c>
      <c r="H54"/>
      <c r="I54"/>
    </row>
    <row r="55" spans="1:9" ht="12" thickTop="1">
      <c r="A55" s="29" t="s">
        <v>735</v>
      </c>
      <c r="B55" s="6"/>
      <c r="C55" s="22">
        <f>C48+C54</f>
        <v>26356219.080000002</v>
      </c>
      <c r="D55" s="22">
        <f>D48+D54</f>
        <v>491427.81999999995</v>
      </c>
      <c r="E55" s="22">
        <f>E48+E54</f>
        <v>1364294.5100000002</v>
      </c>
      <c r="F55" s="22">
        <f>F48+F54</f>
        <v>0</v>
      </c>
      <c r="G55" s="22">
        <f>G48+G54</f>
        <v>312058.18</v>
      </c>
      <c r="H55"/>
      <c r="I55"/>
    </row>
    <row r="56" spans="1:9">
      <c r="A56" s="29" t="s">
        <v>121</v>
      </c>
      <c r="B56" s="6"/>
      <c r="C56" s="24" t="s">
        <v>32</v>
      </c>
      <c r="D56" s="24" t="s">
        <v>32</v>
      </c>
      <c r="E56" s="24" t="s">
        <v>32</v>
      </c>
      <c r="F56" s="24" t="s">
        <v>32</v>
      </c>
      <c r="G56" s="24" t="s">
        <v>32</v>
      </c>
      <c r="H56"/>
      <c r="I56"/>
    </row>
    <row r="57" spans="1:9">
      <c r="A57" s="29" t="s">
        <v>736</v>
      </c>
      <c r="B57" s="6"/>
      <c r="C57" s="24" t="s">
        <v>32</v>
      </c>
      <c r="D57" s="24" t="s">
        <v>32</v>
      </c>
      <c r="E57" s="24" t="s">
        <v>32</v>
      </c>
      <c r="F57" s="24" t="s">
        <v>32</v>
      </c>
      <c r="G57" s="24" t="s">
        <v>32</v>
      </c>
      <c r="H57"/>
      <c r="I57"/>
    </row>
    <row r="58" spans="1:9">
      <c r="A58" s="1" t="s">
        <v>737</v>
      </c>
      <c r="B58" s="6">
        <v>3111</v>
      </c>
      <c r="C58" s="95">
        <f>'DOE25'!F109</f>
        <v>0</v>
      </c>
      <c r="D58" s="24" t="s">
        <v>32</v>
      </c>
      <c r="E58" s="24" t="s">
        <v>32</v>
      </c>
      <c r="F58" s="24" t="s">
        <v>32</v>
      </c>
      <c r="G58" s="24" t="s">
        <v>32</v>
      </c>
      <c r="H58"/>
      <c r="I58"/>
    </row>
    <row r="59" spans="1:9">
      <c r="A59" s="1" t="s">
        <v>738</v>
      </c>
      <c r="B59" s="6">
        <v>3112</v>
      </c>
      <c r="C59" s="95">
        <f>'DOE25'!F110</f>
        <v>9038295</v>
      </c>
      <c r="D59" s="24"/>
      <c r="E59" s="24"/>
      <c r="F59" s="24"/>
      <c r="G59" s="24"/>
      <c r="H59"/>
      <c r="I59"/>
    </row>
    <row r="60" spans="1:9">
      <c r="A60" s="1" t="s">
        <v>739</v>
      </c>
      <c r="B60" s="6">
        <v>3119</v>
      </c>
      <c r="C60" s="95">
        <f>'DOE25'!F111</f>
        <v>0</v>
      </c>
      <c r="D60" s="24" t="s">
        <v>32</v>
      </c>
      <c r="E60" s="24" t="s">
        <v>32</v>
      </c>
      <c r="F60" s="24" t="s">
        <v>32</v>
      </c>
      <c r="G60" s="24" t="s">
        <v>32</v>
      </c>
      <c r="H60"/>
      <c r="I60"/>
    </row>
    <row r="61" spans="1:9" ht="12" thickBot="1">
      <c r="A61" s="1" t="s">
        <v>740</v>
      </c>
      <c r="B61" s="6" t="s">
        <v>741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>
      <c r="A62" s="29" t="s">
        <v>742</v>
      </c>
      <c r="B62" s="2"/>
      <c r="C62" s="138">
        <f>SUM(C58:C61)</f>
        <v>9038295</v>
      </c>
      <c r="D62" s="138">
        <f>D61</f>
        <v>0</v>
      </c>
      <c r="E62" s="138">
        <f>E61</f>
        <v>0</v>
      </c>
      <c r="F62" s="138">
        <f>F61</f>
        <v>0</v>
      </c>
      <c r="G62" s="138">
        <f>G61</f>
        <v>0</v>
      </c>
      <c r="H62"/>
      <c r="I62"/>
    </row>
    <row r="63" spans="1:9">
      <c r="A63" s="29" t="s">
        <v>743</v>
      </c>
      <c r="B63" s="2"/>
      <c r="C63" s="24" t="s">
        <v>32</v>
      </c>
      <c r="D63" s="24" t="s">
        <v>32</v>
      </c>
      <c r="E63" s="24" t="s">
        <v>32</v>
      </c>
      <c r="F63" s="24" t="s">
        <v>32</v>
      </c>
      <c r="G63" s="24" t="s">
        <v>32</v>
      </c>
      <c r="H63"/>
      <c r="I63"/>
    </row>
    <row r="64" spans="1:9">
      <c r="A64" s="1" t="s">
        <v>744</v>
      </c>
      <c r="B64" s="6">
        <v>3210</v>
      </c>
      <c r="C64" s="95">
        <f>'DOE25'!F115</f>
        <v>1319095.74</v>
      </c>
      <c r="D64" s="24" t="s">
        <v>32</v>
      </c>
      <c r="E64" s="24" t="s">
        <v>32</v>
      </c>
      <c r="F64" s="95">
        <f>'DOE25'!I115</f>
        <v>0</v>
      </c>
      <c r="G64" s="24" t="s">
        <v>32</v>
      </c>
      <c r="H64"/>
      <c r="I64"/>
    </row>
    <row r="65" spans="1:9">
      <c r="A65" s="1" t="s">
        <v>745</v>
      </c>
      <c r="B65" s="6">
        <v>3215</v>
      </c>
      <c r="C65" s="95">
        <f>'DOE25'!F116</f>
        <v>0</v>
      </c>
      <c r="D65" s="24" t="s">
        <v>32</v>
      </c>
      <c r="E65" s="24" t="s">
        <v>32</v>
      </c>
      <c r="F65" s="95">
        <f>'DOE25'!I116</f>
        <v>0</v>
      </c>
      <c r="G65" s="24" t="s">
        <v>32</v>
      </c>
      <c r="H65"/>
      <c r="I65"/>
    </row>
    <row r="66" spans="1:9">
      <c r="A66" s="1" t="s">
        <v>746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>
      <c r="A67" s="1" t="s">
        <v>747</v>
      </c>
      <c r="B67" s="6">
        <v>3230</v>
      </c>
      <c r="C67" s="95">
        <f>'DOE25'!F118</f>
        <v>187436.64</v>
      </c>
      <c r="D67" s="24" t="s">
        <v>32</v>
      </c>
      <c r="E67" s="24" t="s">
        <v>32</v>
      </c>
      <c r="F67" s="24" t="s">
        <v>32</v>
      </c>
      <c r="G67" s="24" t="s">
        <v>32</v>
      </c>
      <c r="H67"/>
      <c r="I67"/>
    </row>
    <row r="68" spans="1:9">
      <c r="A68" s="1" t="s">
        <v>748</v>
      </c>
      <c r="B68" s="6" t="s">
        <v>749</v>
      </c>
      <c r="C68" s="95">
        <f>SUM('DOE25'!F119:F122)</f>
        <v>0</v>
      </c>
      <c r="D68" s="24" t="s">
        <v>32</v>
      </c>
      <c r="E68" s="95">
        <f>SUM('DOE25'!H119:H122)</f>
        <v>0</v>
      </c>
      <c r="F68" s="95">
        <f>SUM('DOE25'!I119:I122)</f>
        <v>0</v>
      </c>
      <c r="G68" s="24" t="s">
        <v>32</v>
      </c>
      <c r="H68"/>
      <c r="I68"/>
    </row>
    <row r="69" spans="1:9" ht="12" thickBot="1">
      <c r="A69" s="1" t="s">
        <v>750</v>
      </c>
      <c r="B69" s="6" t="s">
        <v>751</v>
      </c>
      <c r="C69" s="95">
        <f>SUM('DOE25'!F123:F127)</f>
        <v>0</v>
      </c>
      <c r="D69" s="95">
        <f>SUM('DOE25'!G123:G127)</f>
        <v>8257.9699999999993</v>
      </c>
      <c r="E69" s="95">
        <f>SUM('DOE25'!H123:H127)</f>
        <v>14100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>
      <c r="A70" s="29" t="s">
        <v>752</v>
      </c>
      <c r="B70" s="6"/>
      <c r="C70" s="130">
        <f>SUM(C64:C69)</f>
        <v>1506532.38</v>
      </c>
      <c r="D70" s="130">
        <f>SUM(D64:D69)</f>
        <v>8257.9699999999993</v>
      </c>
      <c r="E70" s="130">
        <f>SUM(E64:E69)</f>
        <v>14100</v>
      </c>
      <c r="F70" s="130">
        <f>SUM(F64:F69)</f>
        <v>0</v>
      </c>
      <c r="G70" s="130">
        <f>SUM(G64:G69)</f>
        <v>0</v>
      </c>
      <c r="H70"/>
      <c r="I70"/>
    </row>
    <row r="71" spans="1:9" ht="12" thickTop="1">
      <c r="A71" s="1" t="s">
        <v>753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32</v>
      </c>
      <c r="G71" s="24" t="s">
        <v>32</v>
      </c>
      <c r="H71"/>
      <c r="I71"/>
    </row>
    <row r="72" spans="1:9" ht="12" thickBot="1">
      <c r="A72" s="1" t="s">
        <v>754</v>
      </c>
      <c r="B72" s="6">
        <v>3800</v>
      </c>
      <c r="C72" s="95">
        <f>'DOE25'!F130</f>
        <v>0</v>
      </c>
      <c r="D72" s="24" t="s">
        <v>32</v>
      </c>
      <c r="E72" s="95">
        <f>'DOE25'!H130</f>
        <v>0</v>
      </c>
      <c r="F72" s="24" t="s">
        <v>32</v>
      </c>
      <c r="G72" s="24" t="s">
        <v>32</v>
      </c>
      <c r="H72"/>
      <c r="I72"/>
    </row>
    <row r="73" spans="1:9" ht="12.75" thickTop="1" thickBot="1">
      <c r="A73" s="29" t="s">
        <v>755</v>
      </c>
      <c r="B73" s="2"/>
      <c r="C73" s="130">
        <f>SUM(C71:C72)+C70+C62</f>
        <v>10544827.379999999</v>
      </c>
      <c r="D73" s="130">
        <f>SUM(D71:D72)+D70+D62</f>
        <v>8257.9699999999993</v>
      </c>
      <c r="E73" s="130">
        <f>SUM(E71:E72)+E70+E62</f>
        <v>14100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>
      <c r="B74" s="3"/>
      <c r="C74" s="16" t="s">
        <v>24</v>
      </c>
      <c r="D74" s="16" t="s">
        <v>25</v>
      </c>
      <c r="E74" s="16" t="s">
        <v>26</v>
      </c>
      <c r="F74" s="16" t="s">
        <v>27</v>
      </c>
      <c r="G74" s="16" t="s">
        <v>720</v>
      </c>
      <c r="H74"/>
      <c r="I74"/>
    </row>
    <row r="75" spans="1:9">
      <c r="A75" s="1" t="s">
        <v>120</v>
      </c>
      <c r="B75" s="127"/>
      <c r="C75" s="24" t="s">
        <v>32</v>
      </c>
      <c r="D75" s="24" t="s">
        <v>32</v>
      </c>
      <c r="E75" s="24" t="s">
        <v>32</v>
      </c>
      <c r="F75" s="24" t="s">
        <v>32</v>
      </c>
      <c r="G75" s="24" t="s">
        <v>32</v>
      </c>
      <c r="H75"/>
      <c r="I75"/>
    </row>
    <row r="76" spans="1:9">
      <c r="A76" s="128" t="s">
        <v>756</v>
      </c>
      <c r="B76" s="127"/>
      <c r="C76" s="24" t="s">
        <v>32</v>
      </c>
      <c r="D76" s="24" t="s">
        <v>32</v>
      </c>
      <c r="E76" s="24" t="s">
        <v>32</v>
      </c>
      <c r="F76" s="24" t="s">
        <v>32</v>
      </c>
      <c r="G76" s="24" t="s">
        <v>32</v>
      </c>
      <c r="H76"/>
      <c r="I76"/>
    </row>
    <row r="77" spans="1:9">
      <c r="A77" t="s">
        <v>757</v>
      </c>
      <c r="B77" s="32" t="s">
        <v>758</v>
      </c>
      <c r="C77" s="95">
        <f>'DOE25'!F139</f>
        <v>0</v>
      </c>
      <c r="D77" s="95">
        <f>'DOE25'!G139</f>
        <v>0</v>
      </c>
      <c r="E77" s="95">
        <f>'DOE25'!H139</f>
        <v>0</v>
      </c>
      <c r="F77" s="95">
        <f>'DOE25'!I139</f>
        <v>0</v>
      </c>
      <c r="G77" s="24" t="s">
        <v>32</v>
      </c>
    </row>
    <row r="78" spans="1:9">
      <c r="A78" s="33" t="s">
        <v>743</v>
      </c>
      <c r="B78" s="32"/>
      <c r="C78" s="24" t="s">
        <v>32</v>
      </c>
      <c r="D78" s="24" t="s">
        <v>32</v>
      </c>
      <c r="E78" s="24" t="s">
        <v>32</v>
      </c>
      <c r="F78" s="24" t="s">
        <v>32</v>
      </c>
      <c r="G78" s="24" t="s">
        <v>32</v>
      </c>
    </row>
    <row r="79" spans="1:9">
      <c r="A79" t="s">
        <v>759</v>
      </c>
      <c r="B79" s="32" t="s">
        <v>760</v>
      </c>
      <c r="C79" s="95">
        <f>SUM('DOE25'!F141:F144)</f>
        <v>0</v>
      </c>
      <c r="D79" s="24" t="s">
        <v>32</v>
      </c>
      <c r="E79" s="95">
        <f>SUM('DOE25'!H141:H144)</f>
        <v>0</v>
      </c>
      <c r="F79" s="95">
        <f>SUM('DOE25'!I141:I144)</f>
        <v>0</v>
      </c>
      <c r="G79" s="24" t="s">
        <v>32</v>
      </c>
    </row>
    <row r="80" spans="1:9">
      <c r="A80" t="s">
        <v>761</v>
      </c>
      <c r="B80" s="32" t="s">
        <v>762</v>
      </c>
      <c r="C80" s="95">
        <f>SUM('DOE25'!F145:F153)</f>
        <v>0</v>
      </c>
      <c r="D80" s="95">
        <f>SUM('DOE25'!G145:G153)</f>
        <v>333443.27</v>
      </c>
      <c r="E80" s="95">
        <f>SUM('DOE25'!H145:H153)</f>
        <v>2335474.54</v>
      </c>
      <c r="F80" s="95">
        <f>SUM('DOE25'!I145:I153)</f>
        <v>0</v>
      </c>
      <c r="G80" s="24" t="s">
        <v>32</v>
      </c>
    </row>
    <row r="81" spans="1:7">
      <c r="A81" t="s">
        <v>763</v>
      </c>
      <c r="B81" s="32" t="s">
        <v>764</v>
      </c>
      <c r="C81" s="95">
        <f>'DOE25'!F155+'DOE25'!F158+'DOE25'!F160</f>
        <v>2893.94</v>
      </c>
      <c r="D81" s="95">
        <f>'DOE25'!G155+'DOE25'!G160</f>
        <v>0</v>
      </c>
      <c r="E81" s="95">
        <f>'DOE25'!H155+'DOE25'!H160</f>
        <v>25430.639999999999</v>
      </c>
      <c r="F81" s="95">
        <f>'DOE25'!I155</f>
        <v>0</v>
      </c>
      <c r="G81" s="24" t="s">
        <v>32</v>
      </c>
    </row>
    <row r="82" spans="1:7" ht="12" thickBot="1">
      <c r="A82" t="s">
        <v>765</v>
      </c>
      <c r="B82" s="32">
        <v>4810</v>
      </c>
      <c r="C82" s="95">
        <f>'DOE25'!F157</f>
        <v>0</v>
      </c>
      <c r="D82" s="24" t="s">
        <v>32</v>
      </c>
      <c r="E82" s="24" t="s">
        <v>32</v>
      </c>
      <c r="F82" s="24" t="s">
        <v>32</v>
      </c>
      <c r="G82" s="24" t="s">
        <v>32</v>
      </c>
    </row>
    <row r="83" spans="1:7" ht="12.75" thickTop="1" thickBot="1">
      <c r="A83" s="33" t="s">
        <v>766</v>
      </c>
      <c r="C83" s="131">
        <f>SUM(C77:C82)</f>
        <v>2893.94</v>
      </c>
      <c r="D83" s="131">
        <f>SUM(D77:D82)</f>
        <v>333443.27</v>
      </c>
      <c r="E83" s="131">
        <f>SUM(E77:E82)</f>
        <v>2360905.1800000002</v>
      </c>
      <c r="F83" s="131">
        <f>SUM(F77:F82)</f>
        <v>0</v>
      </c>
      <c r="G83" s="24" t="s">
        <v>32</v>
      </c>
    </row>
    <row r="84" spans="1:7" ht="12" thickTop="1">
      <c r="A84" s="33" t="s">
        <v>767</v>
      </c>
      <c r="C84" s="24" t="s">
        <v>32</v>
      </c>
      <c r="D84" s="24" t="s">
        <v>32</v>
      </c>
      <c r="E84" s="24" t="s">
        <v>32</v>
      </c>
      <c r="F84" s="24" t="s">
        <v>32</v>
      </c>
      <c r="G84" s="24" t="s">
        <v>32</v>
      </c>
    </row>
    <row r="85" spans="1:7">
      <c r="A85" t="s">
        <v>768</v>
      </c>
      <c r="B85" s="32" t="s">
        <v>769</v>
      </c>
      <c r="C85" s="95">
        <f>SUM('DOE25'!F165:F167)</f>
        <v>0</v>
      </c>
      <c r="D85" s="24" t="s">
        <v>32</v>
      </c>
      <c r="E85" s="24" t="s">
        <v>32</v>
      </c>
      <c r="F85" s="95">
        <f>SUM('DOE25'!I165:I167)</f>
        <v>0</v>
      </c>
      <c r="G85" s="24" t="s">
        <v>32</v>
      </c>
    </row>
    <row r="86" spans="1:7">
      <c r="A86" t="s">
        <v>770</v>
      </c>
      <c r="B86" s="32">
        <v>5140</v>
      </c>
      <c r="C86" s="95">
        <f>'DOE25'!F168</f>
        <v>0</v>
      </c>
      <c r="D86" s="24" t="s">
        <v>32</v>
      </c>
      <c r="E86" s="24" t="s">
        <v>32</v>
      </c>
      <c r="F86" s="95">
        <f>'DOE25'!I168</f>
        <v>0</v>
      </c>
      <c r="G86" s="24" t="s">
        <v>32</v>
      </c>
    </row>
    <row r="87" spans="1:7">
      <c r="A87" s="33" t="s">
        <v>180</v>
      </c>
      <c r="B87" s="32"/>
      <c r="C87" s="24" t="s">
        <v>32</v>
      </c>
      <c r="D87" s="24" t="s">
        <v>32</v>
      </c>
      <c r="E87" s="24" t="s">
        <v>32</v>
      </c>
      <c r="F87" s="24" t="s">
        <v>32</v>
      </c>
      <c r="G87" s="24" t="s">
        <v>32</v>
      </c>
    </row>
    <row r="88" spans="1:7">
      <c r="A88" t="s">
        <v>771</v>
      </c>
      <c r="B88" s="32">
        <v>5210</v>
      </c>
      <c r="C88" s="24" t="s">
        <v>32</v>
      </c>
      <c r="D88" s="95">
        <f>'DOE25'!G171</f>
        <v>0</v>
      </c>
      <c r="E88" s="95">
        <f>'DOE25'!H171</f>
        <v>656136</v>
      </c>
      <c r="F88" s="95">
        <f>'DOE25'!I171</f>
        <v>0</v>
      </c>
      <c r="G88" s="95">
        <f>'DOE25'!J171</f>
        <v>0</v>
      </c>
    </row>
    <row r="89" spans="1:7">
      <c r="A89" t="s">
        <v>772</v>
      </c>
      <c r="B89" s="32" t="s">
        <v>773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>
      <c r="A90" t="s">
        <v>774</v>
      </c>
      <c r="B90" s="32" t="s">
        <v>775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32</v>
      </c>
      <c r="G90" s="95">
        <f>'DOE25'!J174</f>
        <v>0</v>
      </c>
    </row>
    <row r="91" spans="1:7">
      <c r="A91" t="s">
        <v>776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32</v>
      </c>
    </row>
    <row r="92" spans="1:7">
      <c r="A92" t="s">
        <v>777</v>
      </c>
      <c r="B92" s="32" t="s">
        <v>778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32</v>
      </c>
    </row>
    <row r="93" spans="1:7">
      <c r="A93" t="s">
        <v>779</v>
      </c>
      <c r="B93" s="32" t="s">
        <v>780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32</v>
      </c>
    </row>
    <row r="94" spans="1:7" ht="12" thickBot="1">
      <c r="A94" t="s">
        <v>781</v>
      </c>
      <c r="B94" s="32" t="s">
        <v>782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32</v>
      </c>
    </row>
    <row r="95" spans="1:7" ht="12.75" thickTop="1" thickBot="1">
      <c r="A95" s="33" t="s">
        <v>783</v>
      </c>
      <c r="C95" s="86">
        <f>SUM(C85:C94)</f>
        <v>0</v>
      </c>
      <c r="D95" s="86">
        <f>SUM(D85:D94)</f>
        <v>0</v>
      </c>
      <c r="E95" s="86">
        <f>SUM(E85:E94)</f>
        <v>656136</v>
      </c>
      <c r="F95" s="86">
        <f>SUM(F85:F94)</f>
        <v>0</v>
      </c>
      <c r="G95" s="86">
        <f>SUM(G85:G94)</f>
        <v>0</v>
      </c>
    </row>
    <row r="96" spans="1:7" ht="12.75" thickTop="1" thickBot="1">
      <c r="A96" s="33" t="s">
        <v>784</v>
      </c>
      <c r="C96" s="86">
        <f>C55+C73+C83+C95</f>
        <v>36903940.399999999</v>
      </c>
      <c r="D96" s="86">
        <f>D55+D73+D83+D95</f>
        <v>833129.05999999994</v>
      </c>
      <c r="E96" s="86">
        <f>E55+E73+E83+E95</f>
        <v>4395435.6900000004</v>
      </c>
      <c r="F96" s="86">
        <f>F55+F73+F83+F95</f>
        <v>0</v>
      </c>
      <c r="G96" s="86">
        <f>G55+G73+G95</f>
        <v>312058.18</v>
      </c>
    </row>
    <row r="97" spans="1:7" ht="12" thickTop="1"/>
    <row r="98" spans="1:7">
      <c r="B98" s="3"/>
      <c r="C98" s="16" t="s">
        <v>24</v>
      </c>
      <c r="D98" s="16" t="s">
        <v>25</v>
      </c>
      <c r="E98" s="16" t="s">
        <v>785</v>
      </c>
      <c r="F98" s="16" t="s">
        <v>27</v>
      </c>
      <c r="G98" s="16" t="s">
        <v>28</v>
      </c>
    </row>
    <row r="99" spans="1:7">
      <c r="A99" s="29" t="s">
        <v>786</v>
      </c>
      <c r="B99" s="127"/>
      <c r="C99" s="24" t="s">
        <v>32</v>
      </c>
      <c r="D99" s="24" t="s">
        <v>32</v>
      </c>
      <c r="E99" s="24" t="s">
        <v>32</v>
      </c>
      <c r="F99" s="24" t="s">
        <v>32</v>
      </c>
      <c r="G99" s="24" t="s">
        <v>32</v>
      </c>
    </row>
    <row r="100" spans="1:7">
      <c r="A100" s="128" t="s">
        <v>247</v>
      </c>
      <c r="B100" s="127"/>
      <c r="C100" s="24" t="s">
        <v>32</v>
      </c>
      <c r="D100" s="24" t="s">
        <v>32</v>
      </c>
      <c r="E100" s="24" t="s">
        <v>32</v>
      </c>
      <c r="F100" s="24" t="s">
        <v>32</v>
      </c>
      <c r="G100" s="24" t="s">
        <v>32</v>
      </c>
    </row>
    <row r="101" spans="1:7">
      <c r="A101" t="s">
        <v>787</v>
      </c>
      <c r="B101" s="32" t="s">
        <v>788</v>
      </c>
      <c r="C101" s="95">
        <f>('DOE25'!L189)+('DOE25'!L207)+('DOE25'!L225)</f>
        <v>16542417.27</v>
      </c>
      <c r="D101" s="24" t="s">
        <v>32</v>
      </c>
      <c r="E101" s="95">
        <f>('DOE25'!L268)+('DOE25'!L287)+('DOE25'!L306)</f>
        <v>210552.68</v>
      </c>
      <c r="F101" s="24" t="s">
        <v>32</v>
      </c>
      <c r="G101" s="24" t="s">
        <v>32</v>
      </c>
    </row>
    <row r="102" spans="1:7">
      <c r="A102" t="s">
        <v>789</v>
      </c>
      <c r="B102" s="32" t="s">
        <v>790</v>
      </c>
      <c r="C102" s="95">
        <f>('DOE25'!L190)+('DOE25'!L208)+('DOE25'!L226)</f>
        <v>4553674.24</v>
      </c>
      <c r="D102" s="24" t="s">
        <v>32</v>
      </c>
      <c r="E102" s="95">
        <f>('DOE25'!L269)+('DOE25'!L288)+('DOE25'!L307)</f>
        <v>3012108.08</v>
      </c>
      <c r="F102" s="24" t="s">
        <v>32</v>
      </c>
      <c r="G102" s="24" t="s">
        <v>32</v>
      </c>
    </row>
    <row r="103" spans="1:7">
      <c r="A103" t="s">
        <v>791</v>
      </c>
      <c r="B103" s="32" t="s">
        <v>725</v>
      </c>
      <c r="C103" s="95">
        <f>('DOE25'!L191)+('DOE25'!L209)+('DOE25'!L227)</f>
        <v>1140816.6499999999</v>
      </c>
      <c r="D103" s="24" t="s">
        <v>32</v>
      </c>
      <c r="E103" s="95">
        <f>('DOE25'!L270)+('DOE25'!L289)+('DOE25'!L308)</f>
        <v>32326.98</v>
      </c>
      <c r="F103" s="24" t="s">
        <v>32</v>
      </c>
      <c r="G103" s="24" t="s">
        <v>32</v>
      </c>
    </row>
    <row r="104" spans="1:7">
      <c r="A104" t="s">
        <v>792</v>
      </c>
      <c r="B104" s="32" t="s">
        <v>727</v>
      </c>
      <c r="C104" s="95">
        <f>('DOE25'!L192)+('DOE25'!L210)+('DOE25'!L228)</f>
        <v>681474.28</v>
      </c>
      <c r="D104" s="24" t="s">
        <v>32</v>
      </c>
      <c r="E104" s="95">
        <f>+('DOE25'!L271)+('DOE25'!L290)+('DOE25'!L309)</f>
        <v>110702.38000000002</v>
      </c>
      <c r="F104" s="24" t="s">
        <v>32</v>
      </c>
      <c r="G104" s="24" t="s">
        <v>32</v>
      </c>
    </row>
    <row r="105" spans="1:7">
      <c r="A105" t="s">
        <v>793</v>
      </c>
      <c r="B105" s="32" t="s">
        <v>729</v>
      </c>
      <c r="C105" s="95">
        <f>'DOE25'!L242</f>
        <v>0</v>
      </c>
      <c r="D105" s="24" t="s">
        <v>32</v>
      </c>
      <c r="E105" s="95">
        <f>+'DOE25'!L324</f>
        <v>0</v>
      </c>
      <c r="F105" s="24" t="s">
        <v>32</v>
      </c>
      <c r="G105" s="24" t="s">
        <v>32</v>
      </c>
    </row>
    <row r="106" spans="1:7" ht="12" thickBot="1">
      <c r="A106" t="s">
        <v>794</v>
      </c>
      <c r="B106" s="32" t="s">
        <v>795</v>
      </c>
      <c r="C106" s="95">
        <f>SUM('DOE25'!L243:L245)</f>
        <v>2180.4299999999998</v>
      </c>
      <c r="D106" s="24" t="s">
        <v>32</v>
      </c>
      <c r="E106" s="95">
        <f>+ SUM('DOE25'!L325:L327)</f>
        <v>54801.64</v>
      </c>
      <c r="F106" s="24" t="s">
        <v>32</v>
      </c>
      <c r="G106" s="24" t="s">
        <v>32</v>
      </c>
    </row>
    <row r="107" spans="1:7" ht="12.75" thickTop="1" thickBot="1">
      <c r="A107" s="33" t="s">
        <v>796</v>
      </c>
      <c r="C107" s="86">
        <f>SUM(C101:C106)</f>
        <v>22920562.869999997</v>
      </c>
      <c r="D107" s="86">
        <f>SUM(D101:D106)</f>
        <v>0</v>
      </c>
      <c r="E107" s="86">
        <f>SUM(E101:E106)</f>
        <v>3420491.7600000002</v>
      </c>
      <c r="F107" s="86">
        <f>SUM(F101:F106)</f>
        <v>0</v>
      </c>
      <c r="G107" s="86">
        <f>SUM(G101:G106)</f>
        <v>0</v>
      </c>
    </row>
    <row r="108" spans="1:7" ht="12" thickTop="1">
      <c r="C108" s="24" t="s">
        <v>32</v>
      </c>
      <c r="D108" s="24" t="s">
        <v>32</v>
      </c>
      <c r="E108" s="24" t="s">
        <v>32</v>
      </c>
      <c r="F108" s="24" t="s">
        <v>32</v>
      </c>
      <c r="G108" s="24" t="s">
        <v>32</v>
      </c>
    </row>
    <row r="109" spans="1:7">
      <c r="A109" s="33" t="s">
        <v>222</v>
      </c>
      <c r="C109" s="24" t="s">
        <v>32</v>
      </c>
      <c r="D109" s="24" t="s">
        <v>32</v>
      </c>
      <c r="E109" s="24" t="s">
        <v>32</v>
      </c>
      <c r="F109" s="24" t="s">
        <v>32</v>
      </c>
      <c r="G109" s="24" t="s">
        <v>32</v>
      </c>
    </row>
    <row r="110" spans="1:7">
      <c r="A110" t="s">
        <v>797</v>
      </c>
      <c r="B110" s="32" t="s">
        <v>798</v>
      </c>
      <c r="C110" s="95">
        <f>('DOE25'!L194)+('DOE25'!L212)+('DOE25'!L230)</f>
        <v>3892244.29</v>
      </c>
      <c r="D110" s="24" t="s">
        <v>32</v>
      </c>
      <c r="E110" s="95">
        <f>+('DOE25'!L273)+('DOE25'!L292)+('DOE25'!L311)</f>
        <v>533460.75</v>
      </c>
      <c r="F110" s="24" t="s">
        <v>32</v>
      </c>
      <c r="G110" s="24" t="s">
        <v>32</v>
      </c>
    </row>
    <row r="111" spans="1:7">
      <c r="A111" t="s">
        <v>799</v>
      </c>
      <c r="B111" s="32" t="s">
        <v>800</v>
      </c>
      <c r="C111" s="95">
        <f>('DOE25'!L195)+('DOE25'!L213)+('DOE25'!L231)</f>
        <v>616310.52999999991</v>
      </c>
      <c r="D111" s="24" t="s">
        <v>32</v>
      </c>
      <c r="E111" s="95">
        <f>+('DOE25'!L274)+('DOE25'!L293)+('DOE25'!L312)</f>
        <v>165476.71</v>
      </c>
      <c r="F111" s="24" t="s">
        <v>32</v>
      </c>
      <c r="G111" s="24" t="s">
        <v>32</v>
      </c>
    </row>
    <row r="112" spans="1:7">
      <c r="A112" t="s">
        <v>801</v>
      </c>
      <c r="B112" s="32" t="s">
        <v>802</v>
      </c>
      <c r="C112" s="95">
        <f>('DOE25'!L196)+('DOE25'!L214)+('DOE25'!L232)</f>
        <v>1363392.5</v>
      </c>
      <c r="D112" s="24" t="s">
        <v>32</v>
      </c>
      <c r="E112" s="95">
        <f>+('DOE25'!L275)+('DOE25'!L294)+('DOE25'!L313)</f>
        <v>197240.68000000002</v>
      </c>
      <c r="F112" s="24" t="s">
        <v>32</v>
      </c>
      <c r="G112" s="24" t="s">
        <v>32</v>
      </c>
    </row>
    <row r="113" spans="1:7">
      <c r="A113" t="s">
        <v>803</v>
      </c>
      <c r="B113" s="32" t="s">
        <v>804</v>
      </c>
      <c r="C113" s="95">
        <f>('DOE25'!L197)+('DOE25'!L215)+('DOE25'!L233)</f>
        <v>1770559.1100000003</v>
      </c>
      <c r="D113" s="24" t="s">
        <v>32</v>
      </c>
      <c r="E113" s="95">
        <f>+('DOE25'!L276)+('DOE25'!L295)+('DOE25'!L314)</f>
        <v>97333.85</v>
      </c>
      <c r="F113" s="24" t="s">
        <v>32</v>
      </c>
      <c r="G113" s="24" t="s">
        <v>32</v>
      </c>
    </row>
    <row r="114" spans="1:7">
      <c r="A114" t="s">
        <v>805</v>
      </c>
      <c r="B114" s="32" t="s">
        <v>806</v>
      </c>
      <c r="C114" s="95">
        <f>('DOE25'!L198)+('DOE25'!L216)+('DOE25'!L234)</f>
        <v>513129.41000000003</v>
      </c>
      <c r="D114" s="24" t="s">
        <v>32</v>
      </c>
      <c r="E114" s="95">
        <f>+('DOE25'!L277)+('DOE25'!L296)+('DOE25'!L315)</f>
        <v>0</v>
      </c>
      <c r="F114" s="24" t="s">
        <v>32</v>
      </c>
      <c r="G114" s="24" t="s">
        <v>32</v>
      </c>
    </row>
    <row r="115" spans="1:7">
      <c r="A115" t="s">
        <v>807</v>
      </c>
      <c r="B115" s="32" t="s">
        <v>808</v>
      </c>
      <c r="C115" s="95">
        <f>('DOE25'!L199)+('DOE25'!L217)+('DOE25'!L235)</f>
        <v>3540722.15</v>
      </c>
      <c r="D115" s="24" t="s">
        <v>32</v>
      </c>
      <c r="E115" s="95">
        <f>+('DOE25'!L278)+('DOE25'!L297)+('DOE25'!L316)</f>
        <v>64307.079999999994</v>
      </c>
      <c r="F115" s="24" t="s">
        <v>32</v>
      </c>
      <c r="G115" s="24" t="s">
        <v>32</v>
      </c>
    </row>
    <row r="116" spans="1:7">
      <c r="A116" t="s">
        <v>809</v>
      </c>
      <c r="B116" s="32" t="s">
        <v>810</v>
      </c>
      <c r="C116" s="95">
        <f>('DOE25'!L200)+('DOE25'!L218)+('DOE25'!L236+'DOE25'!L246)</f>
        <v>897580.24</v>
      </c>
      <c r="D116" s="24" t="s">
        <v>32</v>
      </c>
      <c r="E116" s="95">
        <f>+('DOE25'!L279)+('DOE25'!L298)+('DOE25'!L317)</f>
        <v>26661.18</v>
      </c>
      <c r="F116" s="24" t="s">
        <v>32</v>
      </c>
      <c r="G116" s="24" t="s">
        <v>32</v>
      </c>
    </row>
    <row r="117" spans="1:7">
      <c r="A117" t="s">
        <v>811</v>
      </c>
      <c r="B117" s="32" t="s">
        <v>812</v>
      </c>
      <c r="C117" s="95">
        <f>('DOE25'!L201)+('DOE25'!L219)+('DOE25'!L237)</f>
        <v>733303.3</v>
      </c>
      <c r="D117" s="24" t="s">
        <v>32</v>
      </c>
      <c r="E117" s="95">
        <f>+('DOE25'!L280)+('DOE25'!L299)+('DOE25'!L318)</f>
        <v>0</v>
      </c>
      <c r="F117" s="24" t="s">
        <v>32</v>
      </c>
      <c r="G117" s="24" t="s">
        <v>32</v>
      </c>
    </row>
    <row r="118" spans="1:7">
      <c r="A118" t="s">
        <v>813</v>
      </c>
      <c r="B118" s="32" t="s">
        <v>814</v>
      </c>
      <c r="C118" s="24" t="s">
        <v>32</v>
      </c>
      <c r="D118" s="24" t="s">
        <v>32</v>
      </c>
      <c r="E118" s="24" t="s">
        <v>32</v>
      </c>
      <c r="F118" s="24" t="s">
        <v>32</v>
      </c>
      <c r="G118" s="24" t="s">
        <v>32</v>
      </c>
    </row>
    <row r="119" spans="1:7" ht="12" thickBot="1">
      <c r="A119" t="s">
        <v>815</v>
      </c>
      <c r="B119" s="32" t="s">
        <v>816</v>
      </c>
      <c r="C119" s="24" t="s">
        <v>32</v>
      </c>
      <c r="D119" s="95">
        <f>('DOE25'!L350)+('DOE25'!L351)+('DOE25'!L352)</f>
        <v>788590.02</v>
      </c>
      <c r="E119" s="24" t="s">
        <v>32</v>
      </c>
      <c r="F119" s="24" t="s">
        <v>32</v>
      </c>
      <c r="G119" s="24" t="s">
        <v>32</v>
      </c>
    </row>
    <row r="120" spans="1:7" ht="12.75" thickTop="1" thickBot="1">
      <c r="A120" s="33" t="s">
        <v>817</v>
      </c>
      <c r="C120" s="86">
        <f>SUM(C110:C119)</f>
        <v>13327241.530000001</v>
      </c>
      <c r="D120" s="86">
        <f>SUM(D110:D119)</f>
        <v>788590.02</v>
      </c>
      <c r="E120" s="86">
        <f>SUM(E110:E119)</f>
        <v>1084480.25</v>
      </c>
      <c r="F120" s="86">
        <f>SUM(F110:F119)</f>
        <v>0</v>
      </c>
      <c r="G120" s="86">
        <f>SUM(G110:G119)</f>
        <v>0</v>
      </c>
    </row>
    <row r="121" spans="1:7" ht="12" thickTop="1">
      <c r="A121" s="33" t="s">
        <v>818</v>
      </c>
      <c r="C121" s="24" t="s">
        <v>32</v>
      </c>
      <c r="D121" s="24" t="s">
        <v>32</v>
      </c>
      <c r="E121" s="24" t="s">
        <v>32</v>
      </c>
      <c r="F121" s="24" t="s">
        <v>32</v>
      </c>
      <c r="G121" s="24" t="s">
        <v>32</v>
      </c>
    </row>
    <row r="122" spans="1:7">
      <c r="A122" t="s">
        <v>819</v>
      </c>
      <c r="B122" s="32" t="s">
        <v>820</v>
      </c>
      <c r="C122" s="95">
        <f>'DOE25'!L247</f>
        <v>0</v>
      </c>
      <c r="D122" s="24" t="s">
        <v>32</v>
      </c>
      <c r="E122" s="129">
        <f>'DOE25'!L328</f>
        <v>0</v>
      </c>
      <c r="F122" s="129">
        <f ca="1">SUM('DOE25'!L366:'DOE25'!L372)</f>
        <v>0</v>
      </c>
      <c r="G122" s="24" t="s">
        <v>32</v>
      </c>
    </row>
    <row r="123" spans="1:7">
      <c r="A123" t="s">
        <v>821</v>
      </c>
      <c r="B123" s="32">
        <v>5110</v>
      </c>
      <c r="C123" s="95">
        <f>'DOE25'!L252</f>
        <v>0</v>
      </c>
      <c r="D123" s="24" t="s">
        <v>32</v>
      </c>
      <c r="E123" s="129">
        <f>'DOE25'!L333</f>
        <v>0</v>
      </c>
      <c r="F123" s="24" t="s">
        <v>32</v>
      </c>
      <c r="G123" s="24" t="s">
        <v>32</v>
      </c>
    </row>
    <row r="124" spans="1:7">
      <c r="A124" t="s">
        <v>822</v>
      </c>
      <c r="B124" s="32">
        <v>5120</v>
      </c>
      <c r="C124" s="95">
        <f>'DOE25'!L253</f>
        <v>0</v>
      </c>
      <c r="D124" s="24" t="s">
        <v>32</v>
      </c>
      <c r="E124" s="129">
        <f>'DOE25'!L334</f>
        <v>0</v>
      </c>
      <c r="F124" s="24" t="s">
        <v>32</v>
      </c>
      <c r="G124" s="24" t="s">
        <v>32</v>
      </c>
    </row>
    <row r="125" spans="1:7">
      <c r="A125" s="33" t="s">
        <v>823</v>
      </c>
      <c r="C125" s="24" t="s">
        <v>32</v>
      </c>
      <c r="D125" s="24" t="s">
        <v>32</v>
      </c>
      <c r="E125" s="24" t="s">
        <v>32</v>
      </c>
      <c r="F125" s="24" t="s">
        <v>32</v>
      </c>
      <c r="G125" s="24" t="s">
        <v>32</v>
      </c>
    </row>
    <row r="126" spans="1:7">
      <c r="A126" t="s">
        <v>824</v>
      </c>
      <c r="B126" s="32">
        <v>5210</v>
      </c>
      <c r="C126" s="24" t="s">
        <v>32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143717.09</v>
      </c>
    </row>
    <row r="127" spans="1:7">
      <c r="A127" t="s">
        <v>825</v>
      </c>
      <c r="B127" s="32" t="s">
        <v>826</v>
      </c>
      <c r="C127" s="95">
        <f>'DOE25'!L255</f>
        <v>0</v>
      </c>
      <c r="D127" s="24" t="s">
        <v>32</v>
      </c>
      <c r="E127" s="129">
        <f>'DOE25'!L337</f>
        <v>0</v>
      </c>
      <c r="F127" s="24" t="s">
        <v>32</v>
      </c>
      <c r="G127" s="24" t="s">
        <v>32</v>
      </c>
    </row>
    <row r="128" spans="1:7">
      <c r="A128" t="s">
        <v>827</v>
      </c>
      <c r="B128" s="32" t="s">
        <v>828</v>
      </c>
      <c r="C128" s="95">
        <f>'DOE25'!L256</f>
        <v>656136</v>
      </c>
      <c r="D128" s="24" t="s">
        <v>32</v>
      </c>
      <c r="E128" s="24" t="s">
        <v>32</v>
      </c>
      <c r="F128" s="24" t="s">
        <v>32</v>
      </c>
      <c r="G128" s="24" t="s">
        <v>32</v>
      </c>
    </row>
    <row r="129" spans="1:9">
      <c r="A129" t="s">
        <v>829</v>
      </c>
      <c r="B129" s="32" t="s">
        <v>775</v>
      </c>
      <c r="C129" s="95">
        <f>'DOE25'!L257</f>
        <v>0</v>
      </c>
      <c r="D129" s="24" t="s">
        <v>32</v>
      </c>
      <c r="E129" s="129">
        <f>'DOE25'!L338</f>
        <v>0</v>
      </c>
      <c r="F129" s="24" t="s">
        <v>32</v>
      </c>
      <c r="G129" s="24" t="s">
        <v>32</v>
      </c>
    </row>
    <row r="130" spans="1:9">
      <c r="A130" t="s">
        <v>830</v>
      </c>
      <c r="B130" s="32">
        <v>5251</v>
      </c>
      <c r="C130" s="95">
        <f>'DOE25'!L385</f>
        <v>0</v>
      </c>
      <c r="D130" s="24" t="s">
        <v>32</v>
      </c>
      <c r="E130" s="24" t="s">
        <v>32</v>
      </c>
      <c r="F130" s="24" t="s">
        <v>32</v>
      </c>
      <c r="G130" s="24" t="s">
        <v>32</v>
      </c>
    </row>
    <row r="131" spans="1:9">
      <c r="A131" t="s">
        <v>831</v>
      </c>
      <c r="B131" s="32">
        <v>5252</v>
      </c>
      <c r="C131" s="95">
        <f>'DOE25'!L393</f>
        <v>0</v>
      </c>
      <c r="D131" s="24" t="s">
        <v>32</v>
      </c>
      <c r="E131" s="24" t="s">
        <v>32</v>
      </c>
      <c r="F131" s="24" t="s">
        <v>32</v>
      </c>
      <c r="G131" s="24" t="s">
        <v>32</v>
      </c>
    </row>
    <row r="132" spans="1:9">
      <c r="A132" t="s">
        <v>832</v>
      </c>
      <c r="B132" s="32">
        <v>5253</v>
      </c>
      <c r="C132" s="95">
        <f>'DOE25'!L399</f>
        <v>312058.18</v>
      </c>
      <c r="D132" s="24" t="s">
        <v>32</v>
      </c>
      <c r="E132" s="24" t="s">
        <v>32</v>
      </c>
      <c r="F132" s="24" t="s">
        <v>32</v>
      </c>
      <c r="G132" s="24" t="s">
        <v>32</v>
      </c>
    </row>
    <row r="133" spans="1:9">
      <c r="A133" t="s">
        <v>833</v>
      </c>
      <c r="B133" s="32">
        <v>5254</v>
      </c>
      <c r="C133" s="95">
        <f>('DOE25'!L258+'DOE25'!K339) - (C130+C131+C132)</f>
        <v>-312058.18</v>
      </c>
      <c r="D133" s="24" t="s">
        <v>32</v>
      </c>
      <c r="E133" s="24" t="s">
        <v>32</v>
      </c>
      <c r="F133" s="24" t="s">
        <v>32</v>
      </c>
      <c r="G133" s="24" t="s">
        <v>32</v>
      </c>
    </row>
    <row r="134" spans="1:9">
      <c r="A134" t="s">
        <v>834</v>
      </c>
      <c r="B134" s="32">
        <v>5310</v>
      </c>
      <c r="C134" s="129">
        <f>'DOE25'!L260</f>
        <v>0</v>
      </c>
      <c r="D134" s="24" t="s">
        <v>32</v>
      </c>
      <c r="E134" s="129">
        <f>'DOE25'!L341</f>
        <v>0</v>
      </c>
      <c r="F134" s="24" t="s">
        <v>32</v>
      </c>
      <c r="G134" s="24" t="s">
        <v>32</v>
      </c>
    </row>
    <row r="135" spans="1:9" ht="12" thickBot="1">
      <c r="A135" t="s">
        <v>835</v>
      </c>
      <c r="B135" s="32">
        <v>5390</v>
      </c>
      <c r="C135" s="129">
        <f>'DOE25'!L261</f>
        <v>0</v>
      </c>
      <c r="D135" s="24" t="s">
        <v>32</v>
      </c>
      <c r="E135" s="129">
        <f>'DOE25'!L342</f>
        <v>0</v>
      </c>
      <c r="F135" s="24" t="s">
        <v>32</v>
      </c>
      <c r="G135" s="24" t="s">
        <v>32</v>
      </c>
    </row>
    <row r="136" spans="1:9" ht="12" thickBot="1">
      <c r="A136" s="33" t="s">
        <v>836</v>
      </c>
      <c r="C136" s="140">
        <f>SUM(C122:C135)</f>
        <v>656136</v>
      </c>
      <c r="D136" s="140">
        <f>SUM(D122:D135)</f>
        <v>0</v>
      </c>
      <c r="E136" s="140">
        <f>SUM(E122:E135)</f>
        <v>0</v>
      </c>
      <c r="F136" s="140">
        <f ca="1">SUM(F122:F135)</f>
        <v>0</v>
      </c>
      <c r="G136" s="140">
        <f>SUM(G122:G135)</f>
        <v>143717.09</v>
      </c>
    </row>
    <row r="137" spans="1:9" ht="12.75" thickTop="1" thickBot="1">
      <c r="A137" s="33" t="s">
        <v>837</v>
      </c>
      <c r="C137" s="86">
        <f>(C107+C120+C136)</f>
        <v>36903940.399999999</v>
      </c>
      <c r="D137" s="86">
        <f>(D107+D120+D136)</f>
        <v>788590.02</v>
      </c>
      <c r="E137" s="86">
        <f>(E107+E120+E136)</f>
        <v>4504972.01</v>
      </c>
      <c r="F137" s="86">
        <f ca="1">(F107+F120+F136)</f>
        <v>0</v>
      </c>
      <c r="G137" s="86">
        <f>(G107+G120+G136)</f>
        <v>143717.09</v>
      </c>
    </row>
    <row r="138" spans="1:9" ht="12" thickTop="1">
      <c r="A138" s="33"/>
    </row>
    <row r="140" spans="1:9">
      <c r="A140" s="134" t="s">
        <v>838</v>
      </c>
      <c r="B140" s="267"/>
      <c r="C140" s="115"/>
      <c r="D140" s="116"/>
      <c r="E140" s="116"/>
      <c r="F140" s="116"/>
      <c r="G140" s="116"/>
      <c r="H140" s="116"/>
      <c r="I140" s="116"/>
    </row>
    <row r="141" spans="1:9">
      <c r="A141" s="135" t="s">
        <v>839</v>
      </c>
      <c r="B141" s="32" t="s">
        <v>6</v>
      </c>
      <c r="C141" s="32" t="s">
        <v>7</v>
      </c>
      <c r="D141" s="32" t="s">
        <v>8</v>
      </c>
      <c r="E141" s="32" t="s">
        <v>9</v>
      </c>
      <c r="F141" s="32" t="s">
        <v>10</v>
      </c>
      <c r="G141" s="32" t="s">
        <v>11</v>
      </c>
    </row>
    <row r="142" spans="1:9">
      <c r="A142" s="134" t="s">
        <v>397</v>
      </c>
      <c r="B142" s="32" t="s">
        <v>398</v>
      </c>
      <c r="C142" s="32" t="s">
        <v>399</v>
      </c>
      <c r="D142" s="32" t="s">
        <v>400</v>
      </c>
      <c r="E142" s="32" t="s">
        <v>401</v>
      </c>
      <c r="F142" s="32" t="s">
        <v>402</v>
      </c>
      <c r="G142" s="32" t="s">
        <v>298</v>
      </c>
    </row>
    <row r="143" spans="1:9">
      <c r="A143" s="135" t="s">
        <v>840</v>
      </c>
      <c r="B143" s="152">
        <f>'DOE25'!F480</f>
        <v>0</v>
      </c>
      <c r="C143" s="152">
        <f>'DOE25'!G480</f>
        <v>0</v>
      </c>
      <c r="D143" s="152">
        <f>'DOE25'!H480</f>
        <v>0</v>
      </c>
      <c r="E143" s="152">
        <f>'DOE25'!I480</f>
        <v>0</v>
      </c>
      <c r="F143" s="152">
        <f>'DOE25'!J480</f>
        <v>0</v>
      </c>
      <c r="G143" s="24" t="s">
        <v>32</v>
      </c>
    </row>
    <row r="144" spans="1:9">
      <c r="A144" s="135" t="s">
        <v>841</v>
      </c>
      <c r="B144" s="151">
        <f>'DOE25'!F481</f>
        <v>0</v>
      </c>
      <c r="C144" s="151">
        <f>'DOE25'!G481</f>
        <v>0</v>
      </c>
      <c r="D144" s="151">
        <f>'DOE25'!H481</f>
        <v>0</v>
      </c>
      <c r="E144" s="151">
        <f>'DOE25'!I481</f>
        <v>0</v>
      </c>
      <c r="F144" s="151">
        <f>'DOE25'!J481</f>
        <v>0</v>
      </c>
      <c r="G144" s="24" t="s">
        <v>32</v>
      </c>
    </row>
    <row r="145" spans="1:7">
      <c r="A145" s="135" t="s">
        <v>842</v>
      </c>
      <c r="B145" s="151">
        <f>'DOE25'!F482</f>
        <v>0</v>
      </c>
      <c r="C145" s="151">
        <f>'DOE25'!G482</f>
        <v>0</v>
      </c>
      <c r="D145" s="151">
        <f>'DOE25'!H482</f>
        <v>0</v>
      </c>
      <c r="E145" s="151">
        <f>'DOE25'!I482</f>
        <v>0</v>
      </c>
      <c r="F145" s="151">
        <f>'DOE25'!J482</f>
        <v>0</v>
      </c>
      <c r="G145" s="24" t="s">
        <v>32</v>
      </c>
    </row>
    <row r="146" spans="1:7">
      <c r="A146" s="135" t="s">
        <v>843</v>
      </c>
      <c r="B146" s="136">
        <f>'DOE25'!F483</f>
        <v>0</v>
      </c>
      <c r="C146" s="136">
        <f>'DOE25'!G483</f>
        <v>0</v>
      </c>
      <c r="D146" s="136">
        <f>'DOE25'!H483</f>
        <v>0</v>
      </c>
      <c r="E146" s="136">
        <f>'DOE25'!I483</f>
        <v>0</v>
      </c>
      <c r="F146" s="136">
        <f>'DOE25'!J483</f>
        <v>0</v>
      </c>
      <c r="G146" s="24" t="s">
        <v>32</v>
      </c>
    </row>
    <row r="147" spans="1:7">
      <c r="A147" s="135" t="s">
        <v>844</v>
      </c>
      <c r="B147" s="136">
        <f>'DOE25'!F484</f>
        <v>0</v>
      </c>
      <c r="C147" s="136">
        <f>'DOE25'!G484</f>
        <v>0</v>
      </c>
      <c r="D147" s="136">
        <f>'DOE25'!H484</f>
        <v>0</v>
      </c>
      <c r="E147" s="136">
        <f>'DOE25'!I484</f>
        <v>0</v>
      </c>
      <c r="F147" s="136">
        <f>'DOE25'!J484</f>
        <v>0</v>
      </c>
      <c r="G147" s="24" t="s">
        <v>32</v>
      </c>
    </row>
    <row r="148" spans="1:7">
      <c r="A148" s="22" t="s">
        <v>845</v>
      </c>
      <c r="B148" s="136">
        <f>'DOE25'!F485</f>
        <v>0</v>
      </c>
      <c r="C148" s="136">
        <f>'DOE25'!G485</f>
        <v>0</v>
      </c>
      <c r="D148" s="136">
        <f>'DOE25'!H485</f>
        <v>0</v>
      </c>
      <c r="E148" s="136">
        <f>'DOE25'!I485</f>
        <v>0</v>
      </c>
      <c r="F148" s="136">
        <f>'DOE25'!J485</f>
        <v>0</v>
      </c>
      <c r="G148" s="137">
        <f>SUM(B148:F148)</f>
        <v>0</v>
      </c>
    </row>
    <row r="149" spans="1:7">
      <c r="A149" s="22" t="s">
        <v>846</v>
      </c>
      <c r="B149" s="136">
        <f>'DOE25'!F486</f>
        <v>0</v>
      </c>
      <c r="C149" s="136">
        <f>'DOE25'!G486</f>
        <v>0</v>
      </c>
      <c r="D149" s="136">
        <f>'DOE25'!H486</f>
        <v>0</v>
      </c>
      <c r="E149" s="136">
        <f>'DOE25'!I486</f>
        <v>0</v>
      </c>
      <c r="F149" s="136">
        <f>'DOE25'!J486</f>
        <v>0</v>
      </c>
      <c r="G149" s="137">
        <f t="shared" ref="G149:G156" si="0">SUM(B149:F149)</f>
        <v>0</v>
      </c>
    </row>
    <row r="150" spans="1:7">
      <c r="A150" s="22" t="s">
        <v>847</v>
      </c>
      <c r="B150" s="136">
        <f>'DOE25'!F487</f>
        <v>0</v>
      </c>
      <c r="C150" s="136">
        <f>'DOE25'!G487</f>
        <v>0</v>
      </c>
      <c r="D150" s="136">
        <f>'DOE25'!H487</f>
        <v>0</v>
      </c>
      <c r="E150" s="136">
        <f>'DOE25'!I487</f>
        <v>0</v>
      </c>
      <c r="F150" s="136">
        <f>'DOE25'!J487</f>
        <v>0</v>
      </c>
      <c r="G150" s="137">
        <f t="shared" si="0"/>
        <v>0</v>
      </c>
    </row>
    <row r="151" spans="1:7">
      <c r="A151" s="22" t="s">
        <v>848</v>
      </c>
      <c r="B151" s="136">
        <f>'DOE25'!F488</f>
        <v>0</v>
      </c>
      <c r="C151" s="136">
        <f>'DOE25'!G488</f>
        <v>0</v>
      </c>
      <c r="D151" s="136">
        <f>'DOE25'!H488</f>
        <v>0</v>
      </c>
      <c r="E151" s="136">
        <f>'DOE25'!I488</f>
        <v>0</v>
      </c>
      <c r="F151" s="136">
        <f>'DOE25'!J488</f>
        <v>0</v>
      </c>
      <c r="G151" s="137">
        <f t="shared" si="0"/>
        <v>0</v>
      </c>
    </row>
    <row r="152" spans="1:7">
      <c r="A152" s="22" t="s">
        <v>849</v>
      </c>
      <c r="B152" s="136">
        <f>'DOE25'!F489</f>
        <v>0</v>
      </c>
      <c r="C152" s="136">
        <f>'DOE25'!G489</f>
        <v>0</v>
      </c>
      <c r="D152" s="136">
        <f>'DOE25'!H489</f>
        <v>0</v>
      </c>
      <c r="E152" s="136">
        <f>'DOE25'!I489</f>
        <v>0</v>
      </c>
      <c r="F152" s="136">
        <f>'DOE25'!J489</f>
        <v>0</v>
      </c>
      <c r="G152" s="137">
        <f t="shared" si="0"/>
        <v>0</v>
      </c>
    </row>
    <row r="153" spans="1:7">
      <c r="A153" s="22" t="s">
        <v>850</v>
      </c>
      <c r="B153" s="136">
        <f>'DOE25'!F490</f>
        <v>0</v>
      </c>
      <c r="C153" s="136">
        <f>'DOE25'!G490</f>
        <v>0</v>
      </c>
      <c r="D153" s="136">
        <f>'DOE25'!H490</f>
        <v>0</v>
      </c>
      <c r="E153" s="136">
        <f>'DOE25'!I490</f>
        <v>0</v>
      </c>
      <c r="F153" s="136">
        <f>'DOE25'!J490</f>
        <v>0</v>
      </c>
      <c r="G153" s="137">
        <f t="shared" si="0"/>
        <v>0</v>
      </c>
    </row>
    <row r="154" spans="1:7">
      <c r="A154" s="22" t="s">
        <v>851</v>
      </c>
      <c r="B154" s="136">
        <f>'DOE25'!F491</f>
        <v>0</v>
      </c>
      <c r="C154" s="136">
        <f>'DOE25'!G491</f>
        <v>0</v>
      </c>
      <c r="D154" s="136">
        <f>'DOE25'!H491</f>
        <v>0</v>
      </c>
      <c r="E154" s="136">
        <f>'DOE25'!I491</f>
        <v>0</v>
      </c>
      <c r="F154" s="136">
        <f>'DOE25'!J491</f>
        <v>0</v>
      </c>
      <c r="G154" s="137">
        <f t="shared" si="0"/>
        <v>0</v>
      </c>
    </row>
    <row r="155" spans="1:7">
      <c r="A155" s="22" t="s">
        <v>852</v>
      </c>
      <c r="B155" s="136">
        <f>'DOE25'!F492</f>
        <v>0</v>
      </c>
      <c r="C155" s="136">
        <f>'DOE25'!G492</f>
        <v>0</v>
      </c>
      <c r="D155" s="136">
        <f>'DOE25'!H492</f>
        <v>0</v>
      </c>
      <c r="E155" s="136">
        <f>'DOE25'!I492</f>
        <v>0</v>
      </c>
      <c r="F155" s="136">
        <f>'DOE25'!J492</f>
        <v>0</v>
      </c>
      <c r="G155" s="137">
        <f t="shared" si="0"/>
        <v>0</v>
      </c>
    </row>
    <row r="156" spans="1:7">
      <c r="A156" s="22" t="s">
        <v>853</v>
      </c>
      <c r="B156" s="136">
        <f>'DOE25'!F493</f>
        <v>0</v>
      </c>
      <c r="C156" s="136">
        <f>'DOE25'!G493</f>
        <v>0</v>
      </c>
      <c r="D156" s="136">
        <f>'DOE25'!H493</f>
        <v>0</v>
      </c>
      <c r="E156" s="136">
        <f>'DOE25'!I493</f>
        <v>0</v>
      </c>
      <c r="F156" s="136">
        <f>'DOE25'!J493</f>
        <v>0</v>
      </c>
      <c r="G156" s="137">
        <f t="shared" si="0"/>
        <v>0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8B26-1DC0-4B21-88AE-D4BD7BA6A86E}">
  <sheetPr codeName="Sheet3">
    <tabColor indexed="43"/>
  </sheetPr>
  <dimension ref="A1:D42"/>
  <sheetViews>
    <sheetView workbookViewId="0">
      <selection activeCell="B34" sqref="B34"/>
    </sheetView>
  </sheetViews>
  <sheetFormatPr defaultRowHeight="11.25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>
      <c r="A1" s="279" t="s">
        <v>854</v>
      </c>
      <c r="B1" s="279"/>
      <c r="C1" s="279"/>
      <c r="D1" s="279"/>
    </row>
    <row r="2" spans="1:4">
      <c r="A2" s="185" t="s">
        <v>632</v>
      </c>
      <c r="B2" s="184" t="str">
        <f>'DOE25'!A2</f>
        <v>Portsmouth</v>
      </c>
    </row>
    <row r="3" spans="1:4">
      <c r="B3" s="186" t="s">
        <v>855</v>
      </c>
    </row>
    <row r="4" spans="1:4">
      <c r="B4" t="s">
        <v>493</v>
      </c>
      <c r="C4" s="178">
        <f>IF('DOE25'!F655+'DOE25'!F660=0,0,ROUND('DOE25'!F662,0))</f>
        <v>14669</v>
      </c>
    </row>
    <row r="5" spans="1:4">
      <c r="B5" t="s">
        <v>856</v>
      </c>
      <c r="C5" s="178">
        <f>IF('DOE25'!G655+'DOE25'!G660=0,0,ROUND('DOE25'!G662,0))</f>
        <v>15036</v>
      </c>
    </row>
    <row r="6" spans="1:4">
      <c r="B6" t="s">
        <v>495</v>
      </c>
      <c r="C6" s="178">
        <f>IF('DOE25'!H655+'DOE25'!H660=0,0,ROUND('DOE25'!H662,0))</f>
        <v>14574</v>
      </c>
    </row>
    <row r="7" spans="1:4">
      <c r="B7" t="s">
        <v>857</v>
      </c>
      <c r="C7" s="178">
        <f>IF('DOE25'!I655+'DOE25'!I660=0,0,ROUND('DOE25'!I662,0))</f>
        <v>14697</v>
      </c>
    </row>
    <row r="9" spans="1:4">
      <c r="A9" s="185" t="s">
        <v>492</v>
      </c>
      <c r="B9" s="186" t="s">
        <v>858</v>
      </c>
      <c r="C9" s="262" t="s">
        <v>859</v>
      </c>
      <c r="D9" s="262" t="s">
        <v>860</v>
      </c>
    </row>
    <row r="10" spans="1:4">
      <c r="A10">
        <v>1100</v>
      </c>
      <c r="B10" t="s">
        <v>861</v>
      </c>
      <c r="C10" s="178">
        <f>ROUND('DOE25'!L189+'DOE25'!L207+'DOE25'!L225+'DOE25'!L268+'DOE25'!L287+'DOE25'!L306,0)</f>
        <v>16752970</v>
      </c>
      <c r="D10" s="180">
        <f>ROUND((C10/$C$28)*100,1)</f>
        <v>40.799999999999997</v>
      </c>
    </row>
    <row r="11" spans="1:4">
      <c r="A11">
        <v>1200</v>
      </c>
      <c r="B11" t="s">
        <v>617</v>
      </c>
      <c r="C11" s="178">
        <f>ROUND('DOE25'!L190+'DOE25'!L208+'DOE25'!L226+'DOE25'!L269+'DOE25'!L288+'DOE25'!L307,0)</f>
        <v>7565782</v>
      </c>
      <c r="D11" s="180">
        <f>ROUND((C11/$C$28)*100,1)</f>
        <v>18.399999999999999</v>
      </c>
    </row>
    <row r="12" spans="1:4">
      <c r="A12">
        <v>1300</v>
      </c>
      <c r="B12" t="s">
        <v>619</v>
      </c>
      <c r="C12" s="178">
        <f>ROUND('DOE25'!L191+'DOE25'!L209+'DOE25'!L227+'DOE25'!L270+'DOE25'!L289+'DOE25'!L308,0)</f>
        <v>1173144</v>
      </c>
      <c r="D12" s="180">
        <f>ROUND((C12/$C$28)*100,1)</f>
        <v>2.9</v>
      </c>
    </row>
    <row r="13" spans="1:4">
      <c r="A13">
        <v>1400</v>
      </c>
      <c r="B13" t="s">
        <v>621</v>
      </c>
      <c r="C13" s="178">
        <f>ROUND('DOE25'!L192+'DOE25'!L210+'DOE25'!L228+'DOE25'!L271+'DOE25'!L290+'DOE25'!L309,0)</f>
        <v>792177</v>
      </c>
      <c r="D13" s="180">
        <f>ROUND((C13/$C$28)*100,1)</f>
        <v>1.9</v>
      </c>
    </row>
    <row r="14" spans="1:4">
      <c r="D14" s="180"/>
    </row>
    <row r="15" spans="1:4">
      <c r="A15">
        <v>2100</v>
      </c>
      <c r="B15" t="s">
        <v>862</v>
      </c>
      <c r="C15" s="178">
        <f>ROUND('DOE25'!L194+'DOE25'!L212+'DOE25'!L230+'DOE25'!L273+'DOE25'!L292+'DOE25'!L311,0)</f>
        <v>4425705</v>
      </c>
      <c r="D15" s="180">
        <f t="shared" ref="D15:D27" si="0">ROUND((C15/$C$28)*100,1)</f>
        <v>10.8</v>
      </c>
    </row>
    <row r="16" spans="1:4">
      <c r="A16">
        <v>2200</v>
      </c>
      <c r="B16" t="s">
        <v>863</v>
      </c>
      <c r="C16" s="178">
        <f>ROUND('DOE25'!L195+'DOE25'!L213+'DOE25'!L231+'DOE25'!L274+'DOE25'!L293+'DOE25'!L312,0)</f>
        <v>781787</v>
      </c>
      <c r="D16" s="180">
        <f t="shared" si="0"/>
        <v>1.9</v>
      </c>
    </row>
    <row r="17" spans="1:4">
      <c r="A17" s="181" t="s">
        <v>864</v>
      </c>
      <c r="B17" t="s">
        <v>865</v>
      </c>
      <c r="C17" s="178">
        <f>ROUND('DOE25'!L196+'DOE25'!L201+'DOE25'!L214+'DOE25'!L219+'DOE25'!L232+'DOE25'!L237+'DOE25'!L275+'DOE25'!L280+'DOE25'!L294+'DOE25'!L299+'DOE25'!L313+'DOE25'!L318,0)</f>
        <v>2293936</v>
      </c>
      <c r="D17" s="180">
        <f t="shared" si="0"/>
        <v>5.6</v>
      </c>
    </row>
    <row r="18" spans="1:4">
      <c r="A18">
        <v>2400</v>
      </c>
      <c r="B18" t="s">
        <v>653</v>
      </c>
      <c r="C18" s="178">
        <f>ROUND('DOE25'!L197+'DOE25'!L215+'DOE25'!L233+'DOE25'!L276+'DOE25'!L295+'DOE25'!L314,0)</f>
        <v>1867893</v>
      </c>
      <c r="D18" s="180">
        <f t="shared" si="0"/>
        <v>4.5999999999999996</v>
      </c>
    </row>
    <row r="19" spans="1:4">
      <c r="A19">
        <v>2500</v>
      </c>
      <c r="B19" t="s">
        <v>866</v>
      </c>
      <c r="C19" s="178">
        <f>ROUND('DOE25'!L198+'DOE25'!L216+'DOE25'!L234+'DOE25'!L277+'DOE25'!L296+'DOE25'!L315,0)</f>
        <v>513129</v>
      </c>
      <c r="D19" s="180">
        <f t="shared" si="0"/>
        <v>1.3</v>
      </c>
    </row>
    <row r="20" spans="1:4">
      <c r="A20">
        <v>2600</v>
      </c>
      <c r="B20" t="s">
        <v>867</v>
      </c>
      <c r="C20" s="178">
        <f>ROUND('DOE25'!L199+'DOE25'!L217+'DOE25'!L235+'DOE25'!L278+'DOE25'!L297+'DOE25'!L316,0)</f>
        <v>3605029</v>
      </c>
      <c r="D20" s="180">
        <f t="shared" si="0"/>
        <v>8.8000000000000007</v>
      </c>
    </row>
    <row r="21" spans="1:4">
      <c r="A21">
        <v>2700</v>
      </c>
      <c r="B21" t="s">
        <v>868</v>
      </c>
      <c r="C21" s="178">
        <f>ROUND('DOE25'!L200+'DOE25'!L218+'DOE25'!L236+'DOE25'!L279+'DOE25'!L298+'DOE25'!L317,0)</f>
        <v>924241</v>
      </c>
      <c r="D21" s="180">
        <f t="shared" si="0"/>
        <v>2.2999999999999998</v>
      </c>
    </row>
    <row r="22" spans="1:4">
      <c r="A22">
        <v>2900</v>
      </c>
      <c r="B22" t="s">
        <v>869</v>
      </c>
      <c r="C22" s="178">
        <v>0</v>
      </c>
      <c r="D22" s="180">
        <f t="shared" si="0"/>
        <v>0</v>
      </c>
    </row>
    <row r="23" spans="1:4">
      <c r="A23">
        <v>1500</v>
      </c>
      <c r="B23" t="s">
        <v>870</v>
      </c>
      <c r="C23" s="178">
        <f>ROUND('DOE25'!L242+'DOE25'!L324,0)</f>
        <v>0</v>
      </c>
      <c r="D23" s="180">
        <f t="shared" si="0"/>
        <v>0</v>
      </c>
    </row>
    <row r="24" spans="1:4">
      <c r="A24" s="181" t="s">
        <v>871</v>
      </c>
      <c r="B24" t="s">
        <v>872</v>
      </c>
      <c r="C24" s="178">
        <f>ROUND('DOE25'!L243+'DOE25'!L244+'DOE25'!L245+'DOE25'!L246+'DOE25'!L325+'DOE25'!L326+'DOE25'!L327,0)</f>
        <v>56982</v>
      </c>
      <c r="D24" s="180">
        <f t="shared" si="0"/>
        <v>0.1</v>
      </c>
    </row>
    <row r="25" spans="1:4">
      <c r="A25">
        <v>5120</v>
      </c>
      <c r="B25" t="s">
        <v>873</v>
      </c>
      <c r="C25" s="178">
        <f>ROUND('DOE25'!L253+'DOE25'!L334,0)</f>
        <v>0</v>
      </c>
      <c r="D25" s="180">
        <f t="shared" si="0"/>
        <v>0</v>
      </c>
    </row>
    <row r="26" spans="1:4">
      <c r="A26" s="181" t="s">
        <v>874</v>
      </c>
      <c r="B26" t="s">
        <v>875</v>
      </c>
      <c r="C26" s="178">
        <f>'DOE25'!L260+'DOE25'!L261+'DOE25'!L341+'DOE25'!L342</f>
        <v>0</v>
      </c>
      <c r="D26" s="180">
        <f t="shared" si="0"/>
        <v>0</v>
      </c>
    </row>
    <row r="27" spans="1:4">
      <c r="A27">
        <v>3100</v>
      </c>
      <c r="B27" t="s">
        <v>371</v>
      </c>
      <c r="C27" s="178">
        <f>ROUND('DOE25'!L354-'DOE25'!L353,0)-SUM('DOE25'!G89:G102)</f>
        <v>297260.28000000003</v>
      </c>
      <c r="D27" s="180">
        <f t="shared" si="0"/>
        <v>0.7</v>
      </c>
    </row>
    <row r="28" spans="1:4">
      <c r="B28" s="185" t="s">
        <v>876</v>
      </c>
      <c r="C28" s="179">
        <f>SUM(C10:C27)</f>
        <v>41050035.280000001</v>
      </c>
      <c r="D28" s="182">
        <f>ROUND(SUM(D10:D27),0)</f>
        <v>100</v>
      </c>
    </row>
    <row r="29" spans="1:4">
      <c r="A29">
        <v>4000</v>
      </c>
      <c r="B29" t="s">
        <v>877</v>
      </c>
      <c r="C29" s="178">
        <f>ROUND('DOE25'!L247+'DOE25'!L328+'DOE25'!L366+'DOE25'!L367+'DOE25'!L368+'DOE25'!L369+'DOE25'!L370+'DOE25'!L371+'DOE25'!L372,0)</f>
        <v>0</v>
      </c>
    </row>
    <row r="30" spans="1:4">
      <c r="B30" s="185" t="s">
        <v>878</v>
      </c>
      <c r="C30" s="179">
        <f>SUM(C28:C29)</f>
        <v>41050035.280000001</v>
      </c>
    </row>
    <row r="31" spans="1:4">
      <c r="B31" s="33"/>
      <c r="C31" s="179"/>
    </row>
    <row r="32" spans="1:4">
      <c r="A32">
        <v>5100</v>
      </c>
      <c r="B32" s="33" t="s">
        <v>879</v>
      </c>
      <c r="C32" s="179">
        <f>ROUND('DOE25'!L252+'DOE25'!L333,0)</f>
        <v>0</v>
      </c>
    </row>
    <row r="34" spans="1:4">
      <c r="A34" s="185" t="s">
        <v>492</v>
      </c>
      <c r="B34" s="186" t="s">
        <v>880</v>
      </c>
      <c r="C34" s="262" t="s">
        <v>859</v>
      </c>
      <c r="D34" s="262" t="s">
        <v>860</v>
      </c>
    </row>
    <row r="35" spans="1:4">
      <c r="A35">
        <v>1100</v>
      </c>
      <c r="B35" s="183" t="s">
        <v>881</v>
      </c>
      <c r="C35" s="178">
        <f>ROUND('DOE25'!F52+'DOE25'!G52+'DOE25'!H52+'DOE25'!I52+'DOE25'!J52,0)</f>
        <v>21137141</v>
      </c>
      <c r="D35" s="180">
        <f t="shared" ref="D35:D40" si="1">ROUND((C35/$C$41)*100,1)</f>
        <v>51.2</v>
      </c>
    </row>
    <row r="36" spans="1:4">
      <c r="B36" s="183" t="s">
        <v>882</v>
      </c>
      <c r="C36" s="178">
        <f>SUM('DOE25'!F104:J104)-SUM('DOE25'!G89:G102)+('DOE25'!F166+'DOE25'!F167+'DOE25'!I166+'DOE25'!I167)-C35</f>
        <v>6895528.8700000048</v>
      </c>
      <c r="D36" s="180">
        <f t="shared" si="1"/>
        <v>16.7</v>
      </c>
    </row>
    <row r="37" spans="1:4">
      <c r="A37" s="181" t="s">
        <v>883</v>
      </c>
      <c r="B37" s="183" t="s">
        <v>884</v>
      </c>
      <c r="C37" s="178">
        <f>ROUND('DOE25'!F109+'DOE25'!F110+'DOE25'!F111,0)</f>
        <v>9038295</v>
      </c>
      <c r="D37" s="180">
        <f t="shared" si="1"/>
        <v>21.9</v>
      </c>
    </row>
    <row r="38" spans="1:4">
      <c r="A38" s="181" t="s">
        <v>885</v>
      </c>
      <c r="B38" s="183" t="s">
        <v>886</v>
      </c>
      <c r="C38" s="178">
        <f>ROUND(SUM('DOE25'!F132:J132)-SUM('DOE25'!F109:F111),0)</f>
        <v>1528890</v>
      </c>
      <c r="D38" s="180">
        <f t="shared" si="1"/>
        <v>3.7</v>
      </c>
    </row>
    <row r="39" spans="1:4">
      <c r="A39">
        <v>4000</v>
      </c>
      <c r="B39" s="183" t="s">
        <v>887</v>
      </c>
      <c r="C39" s="178">
        <f>ROUND('DOE25'!F161+'DOE25'!G161+'DOE25'!H161+'DOE25'!I161,0)</f>
        <v>2697242</v>
      </c>
      <c r="D39" s="180">
        <f t="shared" si="1"/>
        <v>6.5</v>
      </c>
    </row>
    <row r="40" spans="1:4">
      <c r="A40" s="181" t="s">
        <v>888</v>
      </c>
      <c r="B40" s="183" t="s">
        <v>889</v>
      </c>
      <c r="C40" s="178">
        <f>ROUND(SUM('DOE25'!F181:F183)+SUM('DOE25'!G181:G183)+SUM('DOE25'!H181:H183)+SUM('DOE25'!I181:I183),0)</f>
        <v>0</v>
      </c>
      <c r="D40" s="180">
        <f t="shared" si="1"/>
        <v>0</v>
      </c>
    </row>
    <row r="41" spans="1:4">
      <c r="B41" s="185" t="s">
        <v>890</v>
      </c>
      <c r="C41" s="179">
        <f>SUM(C35:C40)</f>
        <v>41297096.870000005</v>
      </c>
      <c r="D41" s="182">
        <f>SUM(D35:D40)</f>
        <v>100.00000000000001</v>
      </c>
    </row>
    <row r="42" spans="1:4">
      <c r="A42" s="181" t="s">
        <v>891</v>
      </c>
      <c r="B42" s="183" t="s">
        <v>892</v>
      </c>
      <c r="C42" s="178">
        <f>ROUND('DOE25'!F165+'DOE25'!I165+'DOE25'!F168+'DOE25'!I168,0)</f>
        <v>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F2AE-5CC0-4FD3-9F8B-A200887DAF52}">
  <sheetPr>
    <tabColor indexed="17"/>
  </sheetPr>
  <dimension ref="A1:IV90"/>
  <sheetViews>
    <sheetView workbookViewId="0">
      <pane ySplit="3" topLeftCell="A4" activePane="bottomLeft" state="frozen"/>
      <selection pane="bottomLeft" activeCell="A4" sqref="A4"/>
    </sheetView>
  </sheetViews>
  <sheetFormatPr defaultRowHeight="11.25"/>
  <cols>
    <col min="1" max="1" width="10.33203125" customWidth="1"/>
    <col min="14" max="14" width="6.1640625" customWidth="1"/>
  </cols>
  <sheetData>
    <row r="1" spans="1:26" ht="16.5" thickTop="1">
      <c r="A1" s="288" t="s">
        <v>893</v>
      </c>
      <c r="B1" s="289"/>
      <c r="C1" s="289"/>
      <c r="D1" s="289"/>
      <c r="E1" s="289"/>
      <c r="F1" s="289"/>
      <c r="G1" s="289"/>
      <c r="H1" s="289"/>
      <c r="I1" s="289"/>
      <c r="J1" s="211"/>
      <c r="K1" s="211"/>
      <c r="L1" s="211"/>
      <c r="M1" s="212"/>
    </row>
    <row r="2" spans="1:26" ht="12.75">
      <c r="A2" s="286" t="s">
        <v>894</v>
      </c>
      <c r="B2" s="287"/>
      <c r="C2" s="287"/>
      <c r="D2" s="287"/>
      <c r="E2" s="287"/>
      <c r="F2" s="292" t="str">
        <f>'DOE25'!A2</f>
        <v>Portsmouth</v>
      </c>
      <c r="G2" s="293"/>
      <c r="H2" s="293"/>
      <c r="I2" s="293"/>
      <c r="J2" s="52"/>
      <c r="K2" s="52"/>
      <c r="L2" s="52"/>
      <c r="M2" s="213"/>
    </row>
    <row r="3" spans="1:26">
      <c r="A3" s="214" t="s">
        <v>895</v>
      </c>
      <c r="B3" s="270" t="s">
        <v>896</v>
      </c>
      <c r="C3" s="290" t="s">
        <v>675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>
      <c r="A4" s="215"/>
      <c r="B4" s="216"/>
      <c r="C4" s="280"/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>
      <c r="A5" s="215"/>
      <c r="B5" s="216"/>
      <c r="C5" s="280"/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>
      <c r="A6" s="215"/>
      <c r="B6" s="216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>
      <c r="A7" s="215"/>
      <c r="B7" s="216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>
      <c r="A8" s="215"/>
      <c r="B8" s="216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>
      <c r="A9" s="215"/>
      <c r="B9" s="216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>
      <c r="A10" s="215"/>
      <c r="B10" s="216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>
      <c r="A11" s="215"/>
      <c r="B11" s="216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>
      <c r="A12" s="215"/>
      <c r="B12" s="216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>
      <c r="A13" s="215"/>
      <c r="B13" s="216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>
      <c r="A14" s="215"/>
      <c r="B14" s="216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>
      <c r="A15" s="215"/>
      <c r="B15" s="216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>
      <c r="A16" s="215"/>
      <c r="B16" s="216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>
      <c r="A17" s="215"/>
      <c r="B17" s="216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>
      <c r="A18" s="215"/>
      <c r="B18" s="216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>
      <c r="A19" s="215"/>
      <c r="B19" s="216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>
      <c r="A20" s="215"/>
      <c r="B20" s="216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>
      <c r="A21" s="215"/>
      <c r="B21" s="216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>
      <c r="A22" s="215"/>
      <c r="B22" s="216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>
      <c r="A23" s="215"/>
      <c r="B23" s="216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>
      <c r="A24" s="215"/>
      <c r="B24" s="216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>
      <c r="A25" s="215"/>
      <c r="B25" s="216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>
      <c r="A26" s="215"/>
      <c r="B26" s="216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>
      <c r="A27" s="215"/>
      <c r="B27" s="216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>
      <c r="A28" s="215"/>
      <c r="B28" s="216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>
      <c r="A29" s="215"/>
      <c r="B29" s="216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0"/>
      <c r="O29" s="210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6"/>
      <c r="AB29" s="206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6"/>
      <c r="AO29" s="206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6"/>
      <c r="BB29" s="206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6"/>
      <c r="BO29" s="206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6"/>
      <c r="CB29" s="206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6"/>
      <c r="CO29" s="206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6"/>
      <c r="DB29" s="206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6"/>
      <c r="DO29" s="206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6"/>
      <c r="EB29" s="206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6"/>
      <c r="EO29" s="206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6"/>
      <c r="FB29" s="206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6"/>
      <c r="FO29" s="206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6"/>
      <c r="GB29" s="206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6"/>
      <c r="GO29" s="206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6"/>
      <c r="HB29" s="206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6"/>
      <c r="HO29" s="206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6"/>
      <c r="IB29" s="206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6"/>
      <c r="IO29" s="206"/>
      <c r="IP29" s="295"/>
      <c r="IQ29" s="295"/>
      <c r="IR29" s="295"/>
      <c r="IS29" s="295"/>
      <c r="IT29" s="295"/>
      <c r="IU29" s="295"/>
      <c r="IV29" s="295"/>
    </row>
    <row r="30" spans="1:256">
      <c r="A30" s="215"/>
      <c r="B30" s="216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0"/>
      <c r="O30" s="210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6"/>
      <c r="AB30" s="206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6"/>
      <c r="AO30" s="206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6"/>
      <c r="BB30" s="206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6"/>
      <c r="BO30" s="206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6"/>
      <c r="CB30" s="206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6"/>
      <c r="CO30" s="206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6"/>
      <c r="DB30" s="206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6"/>
      <c r="DO30" s="206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6"/>
      <c r="EB30" s="206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6"/>
      <c r="EO30" s="206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6"/>
      <c r="FB30" s="206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6"/>
      <c r="FO30" s="206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6"/>
      <c r="GB30" s="206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6"/>
      <c r="GO30" s="206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6"/>
      <c r="HB30" s="206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6"/>
      <c r="HO30" s="206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6"/>
      <c r="IB30" s="206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6"/>
      <c r="IO30" s="206"/>
      <c r="IP30" s="295"/>
      <c r="IQ30" s="295"/>
      <c r="IR30" s="295"/>
      <c r="IS30" s="295"/>
      <c r="IT30" s="295"/>
      <c r="IU30" s="295"/>
      <c r="IV30" s="295"/>
    </row>
    <row r="31" spans="1:256">
      <c r="A31" s="215"/>
      <c r="B31" s="216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0"/>
      <c r="O31" s="210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6"/>
      <c r="AB31" s="206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6"/>
      <c r="AO31" s="206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6"/>
      <c r="BB31" s="206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6"/>
      <c r="BO31" s="206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6"/>
      <c r="CB31" s="206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6"/>
      <c r="CO31" s="206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6"/>
      <c r="DB31" s="206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6"/>
      <c r="DO31" s="206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6"/>
      <c r="EB31" s="206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6"/>
      <c r="EO31" s="206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6"/>
      <c r="FB31" s="206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6"/>
      <c r="FO31" s="206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6"/>
      <c r="GB31" s="206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6"/>
      <c r="GO31" s="206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6"/>
      <c r="HB31" s="206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6"/>
      <c r="HO31" s="206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6"/>
      <c r="IB31" s="206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6"/>
      <c r="IO31" s="206"/>
      <c r="IP31" s="295"/>
      <c r="IQ31" s="295"/>
      <c r="IR31" s="295"/>
      <c r="IS31" s="295"/>
      <c r="IT31" s="295"/>
      <c r="IU31" s="295"/>
      <c r="IV31" s="295"/>
    </row>
    <row r="32" spans="1:256">
      <c r="A32" s="215"/>
      <c r="B32" s="216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19"/>
      <c r="O32" s="219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5"/>
      <c r="AB32" s="216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5"/>
      <c r="AO32" s="216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5"/>
      <c r="BB32" s="216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5"/>
      <c r="BO32" s="216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5"/>
      <c r="CB32" s="216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5"/>
      <c r="CO32" s="216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5"/>
      <c r="DB32" s="216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5"/>
      <c r="DO32" s="216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5"/>
      <c r="EB32" s="216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5"/>
      <c r="EO32" s="216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5"/>
      <c r="FB32" s="216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5"/>
      <c r="FO32" s="216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5"/>
      <c r="GB32" s="216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5"/>
      <c r="GO32" s="216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5"/>
      <c r="HB32" s="216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5"/>
      <c r="HO32" s="216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5"/>
      <c r="IB32" s="216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5"/>
      <c r="IO32" s="216"/>
      <c r="IP32" s="280"/>
      <c r="IQ32" s="280"/>
      <c r="IR32" s="280"/>
      <c r="IS32" s="280"/>
      <c r="IT32" s="280"/>
      <c r="IU32" s="280"/>
      <c r="IV32" s="280"/>
    </row>
    <row r="33" spans="1:256">
      <c r="A33" s="215"/>
      <c r="B33" s="216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0"/>
      <c r="O33" s="210"/>
      <c r="P33" s="269"/>
      <c r="Q33" s="269"/>
      <c r="R33" s="269"/>
      <c r="S33" s="269"/>
      <c r="T33" s="269"/>
      <c r="U33" s="269"/>
      <c r="V33" s="269"/>
      <c r="W33" s="269"/>
      <c r="X33" s="269"/>
      <c r="Y33" s="269"/>
      <c r="Z33" s="269"/>
      <c r="AA33" s="206"/>
      <c r="AB33" s="206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68"/>
      <c r="AN33" s="206"/>
      <c r="AO33" s="206"/>
      <c r="AP33" s="268"/>
      <c r="AQ33" s="268"/>
      <c r="AR33" s="268"/>
      <c r="AS33" s="268"/>
      <c r="AT33" s="268"/>
      <c r="AU33" s="268"/>
      <c r="AV33" s="268"/>
      <c r="AW33" s="268"/>
      <c r="AX33" s="268"/>
      <c r="AY33" s="268"/>
      <c r="AZ33" s="268"/>
      <c r="BA33" s="206"/>
      <c r="BB33" s="206"/>
      <c r="BC33" s="268"/>
      <c r="BD33" s="268"/>
      <c r="BE33" s="268"/>
      <c r="BF33" s="268"/>
      <c r="BG33" s="268"/>
      <c r="BH33" s="268"/>
      <c r="BI33" s="268"/>
      <c r="BJ33" s="268"/>
      <c r="BK33" s="268"/>
      <c r="BL33" s="268"/>
      <c r="BM33" s="268"/>
      <c r="BN33" s="206"/>
      <c r="BO33" s="206"/>
      <c r="BP33" s="268"/>
      <c r="BQ33" s="268"/>
      <c r="BR33" s="268"/>
      <c r="BS33" s="268"/>
      <c r="BT33" s="268"/>
      <c r="BU33" s="268"/>
      <c r="BV33" s="268"/>
      <c r="BW33" s="268"/>
      <c r="BX33" s="268"/>
      <c r="BY33" s="268"/>
      <c r="BZ33" s="268"/>
      <c r="CA33" s="206"/>
      <c r="CB33" s="206"/>
      <c r="CC33" s="268"/>
      <c r="CD33" s="268"/>
      <c r="CE33" s="268"/>
      <c r="CF33" s="268"/>
      <c r="CG33" s="268"/>
      <c r="CH33" s="268"/>
      <c r="CI33" s="268"/>
      <c r="CJ33" s="268"/>
      <c r="CK33" s="268"/>
      <c r="CL33" s="268"/>
      <c r="CM33" s="268"/>
      <c r="CN33" s="206"/>
      <c r="CO33" s="206"/>
      <c r="CP33" s="268"/>
      <c r="CQ33" s="268"/>
      <c r="CR33" s="268"/>
      <c r="CS33" s="268"/>
      <c r="CT33" s="268"/>
      <c r="CU33" s="268"/>
      <c r="CV33" s="268"/>
      <c r="CW33" s="268"/>
      <c r="CX33" s="268"/>
      <c r="CY33" s="268"/>
      <c r="CZ33" s="268"/>
      <c r="DA33" s="206"/>
      <c r="DB33" s="206"/>
      <c r="DC33" s="268"/>
      <c r="DD33" s="268"/>
      <c r="DE33" s="268"/>
      <c r="DF33" s="268"/>
      <c r="DG33" s="268"/>
      <c r="DH33" s="268"/>
      <c r="DI33" s="268"/>
      <c r="DJ33" s="268"/>
      <c r="DK33" s="268"/>
      <c r="DL33" s="268"/>
      <c r="DM33" s="268"/>
      <c r="DN33" s="206"/>
      <c r="DO33" s="206"/>
      <c r="DP33" s="268"/>
      <c r="DQ33" s="268"/>
      <c r="DR33" s="268"/>
      <c r="DS33" s="268"/>
      <c r="DT33" s="268"/>
      <c r="DU33" s="268"/>
      <c r="DV33" s="268"/>
      <c r="DW33" s="268"/>
      <c r="DX33" s="268"/>
      <c r="DY33" s="268"/>
      <c r="DZ33" s="268"/>
      <c r="EA33" s="206"/>
      <c r="EB33" s="206"/>
      <c r="EC33" s="268"/>
      <c r="ED33" s="268"/>
      <c r="EE33" s="268"/>
      <c r="EF33" s="268"/>
      <c r="EG33" s="268"/>
      <c r="EH33" s="268"/>
      <c r="EI33" s="268"/>
      <c r="EJ33" s="268"/>
      <c r="EK33" s="268"/>
      <c r="EL33" s="268"/>
      <c r="EM33" s="268"/>
      <c r="EN33" s="206"/>
      <c r="EO33" s="206"/>
      <c r="EP33" s="268"/>
      <c r="EQ33" s="268"/>
      <c r="ER33" s="268"/>
      <c r="ES33" s="268"/>
      <c r="ET33" s="268"/>
      <c r="EU33" s="268"/>
      <c r="EV33" s="268"/>
      <c r="EW33" s="268"/>
      <c r="EX33" s="268"/>
      <c r="EY33" s="268"/>
      <c r="EZ33" s="268"/>
      <c r="FA33" s="206"/>
      <c r="FB33" s="206"/>
      <c r="FC33" s="268"/>
      <c r="FD33" s="268"/>
      <c r="FE33" s="268"/>
      <c r="FF33" s="268"/>
      <c r="FG33" s="268"/>
      <c r="FH33" s="268"/>
      <c r="FI33" s="268"/>
      <c r="FJ33" s="268"/>
      <c r="FK33" s="268"/>
      <c r="FL33" s="268"/>
      <c r="FM33" s="268"/>
      <c r="FN33" s="206"/>
      <c r="FO33" s="206"/>
      <c r="FP33" s="268"/>
      <c r="FQ33" s="268"/>
      <c r="FR33" s="268"/>
      <c r="FS33" s="268"/>
      <c r="FT33" s="268"/>
      <c r="FU33" s="268"/>
      <c r="FV33" s="268"/>
      <c r="FW33" s="268"/>
      <c r="FX33" s="268"/>
      <c r="FY33" s="268"/>
      <c r="FZ33" s="268"/>
      <c r="GA33" s="206"/>
      <c r="GB33" s="206"/>
      <c r="GC33" s="268"/>
      <c r="GD33" s="268"/>
      <c r="GE33" s="268"/>
      <c r="GF33" s="268"/>
      <c r="GG33" s="268"/>
      <c r="GH33" s="268"/>
      <c r="GI33" s="268"/>
      <c r="GJ33" s="268"/>
      <c r="GK33" s="268"/>
      <c r="GL33" s="268"/>
      <c r="GM33" s="268"/>
      <c r="GN33" s="206"/>
      <c r="GO33" s="206"/>
      <c r="GP33" s="268"/>
      <c r="GQ33" s="268"/>
      <c r="GR33" s="268"/>
      <c r="GS33" s="268"/>
      <c r="GT33" s="268"/>
      <c r="GU33" s="268"/>
      <c r="GV33" s="268"/>
      <c r="GW33" s="268"/>
      <c r="GX33" s="268"/>
      <c r="GY33" s="268"/>
      <c r="GZ33" s="268"/>
      <c r="HA33" s="206"/>
      <c r="HB33" s="206"/>
      <c r="HC33" s="268"/>
      <c r="HD33" s="268"/>
      <c r="HE33" s="268"/>
      <c r="HF33" s="268"/>
      <c r="HG33" s="268"/>
      <c r="HH33" s="268"/>
      <c r="HI33" s="268"/>
      <c r="HJ33" s="268"/>
      <c r="HK33" s="268"/>
      <c r="HL33" s="268"/>
      <c r="HM33" s="268"/>
      <c r="HN33" s="206"/>
      <c r="HO33" s="206"/>
      <c r="HP33" s="268"/>
      <c r="HQ33" s="268"/>
      <c r="HR33" s="268"/>
      <c r="HS33" s="268"/>
      <c r="HT33" s="268"/>
      <c r="HU33" s="268"/>
      <c r="HV33" s="268"/>
      <c r="HW33" s="268"/>
      <c r="HX33" s="268"/>
      <c r="HY33" s="268"/>
      <c r="HZ33" s="268"/>
      <c r="IA33" s="206"/>
      <c r="IB33" s="206"/>
      <c r="IC33" s="268"/>
      <c r="ID33" s="268"/>
      <c r="IE33" s="268"/>
      <c r="IF33" s="268"/>
      <c r="IG33" s="268"/>
      <c r="IH33" s="268"/>
      <c r="II33" s="268"/>
      <c r="IJ33" s="268"/>
      <c r="IK33" s="268"/>
      <c r="IL33" s="268"/>
      <c r="IM33" s="268"/>
      <c r="IN33" s="206"/>
      <c r="IO33" s="206"/>
      <c r="IP33" s="268"/>
      <c r="IQ33" s="268"/>
      <c r="IR33" s="268"/>
      <c r="IS33" s="268"/>
      <c r="IT33" s="268"/>
      <c r="IU33" s="268"/>
      <c r="IV33" s="268"/>
    </row>
    <row r="34" spans="1:256">
      <c r="A34" s="215"/>
      <c r="B34" s="216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0"/>
      <c r="O34" s="210"/>
      <c r="P34" s="269"/>
      <c r="Q34" s="269"/>
      <c r="R34" s="269"/>
      <c r="S34" s="269"/>
      <c r="T34" s="269"/>
      <c r="U34" s="269"/>
      <c r="V34" s="269"/>
      <c r="W34" s="269"/>
      <c r="X34" s="269"/>
      <c r="Y34" s="269"/>
      <c r="Z34" s="269"/>
      <c r="AA34" s="206"/>
      <c r="AB34" s="206"/>
      <c r="AC34" s="268"/>
      <c r="AD34" s="268"/>
      <c r="AE34" s="268"/>
      <c r="AF34" s="268"/>
      <c r="AG34" s="268"/>
      <c r="AH34" s="268"/>
      <c r="AI34" s="268"/>
      <c r="AJ34" s="268"/>
      <c r="AK34" s="268"/>
      <c r="AL34" s="268"/>
      <c r="AM34" s="268"/>
      <c r="AN34" s="206"/>
      <c r="AO34" s="206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06"/>
      <c r="BB34" s="206"/>
      <c r="BC34" s="268"/>
      <c r="BD34" s="268"/>
      <c r="BE34" s="268"/>
      <c r="BF34" s="268"/>
      <c r="BG34" s="268"/>
      <c r="BH34" s="268"/>
      <c r="BI34" s="268"/>
      <c r="BJ34" s="268"/>
      <c r="BK34" s="268"/>
      <c r="BL34" s="268"/>
      <c r="BM34" s="268"/>
      <c r="BN34" s="206"/>
      <c r="BO34" s="206"/>
      <c r="BP34" s="268"/>
      <c r="BQ34" s="268"/>
      <c r="BR34" s="268"/>
      <c r="BS34" s="268"/>
      <c r="BT34" s="268"/>
      <c r="BU34" s="268"/>
      <c r="BV34" s="268"/>
      <c r="BW34" s="268"/>
      <c r="BX34" s="268"/>
      <c r="BY34" s="268"/>
      <c r="BZ34" s="268"/>
      <c r="CA34" s="206"/>
      <c r="CB34" s="206"/>
      <c r="CC34" s="268"/>
      <c r="CD34" s="268"/>
      <c r="CE34" s="268"/>
      <c r="CF34" s="268"/>
      <c r="CG34" s="268"/>
      <c r="CH34" s="268"/>
      <c r="CI34" s="268"/>
      <c r="CJ34" s="268"/>
      <c r="CK34" s="268"/>
      <c r="CL34" s="268"/>
      <c r="CM34" s="268"/>
      <c r="CN34" s="206"/>
      <c r="CO34" s="206"/>
      <c r="CP34" s="268"/>
      <c r="CQ34" s="268"/>
      <c r="CR34" s="268"/>
      <c r="CS34" s="268"/>
      <c r="CT34" s="268"/>
      <c r="CU34" s="268"/>
      <c r="CV34" s="268"/>
      <c r="CW34" s="268"/>
      <c r="CX34" s="268"/>
      <c r="CY34" s="268"/>
      <c r="CZ34" s="268"/>
      <c r="DA34" s="206"/>
      <c r="DB34" s="206"/>
      <c r="DC34" s="268"/>
      <c r="DD34" s="268"/>
      <c r="DE34" s="268"/>
      <c r="DF34" s="268"/>
      <c r="DG34" s="268"/>
      <c r="DH34" s="268"/>
      <c r="DI34" s="268"/>
      <c r="DJ34" s="268"/>
      <c r="DK34" s="268"/>
      <c r="DL34" s="268"/>
      <c r="DM34" s="268"/>
      <c r="DN34" s="206"/>
      <c r="DO34" s="206"/>
      <c r="DP34" s="268"/>
      <c r="DQ34" s="268"/>
      <c r="DR34" s="268"/>
      <c r="DS34" s="268"/>
      <c r="DT34" s="268"/>
      <c r="DU34" s="268"/>
      <c r="DV34" s="268"/>
      <c r="DW34" s="268"/>
      <c r="DX34" s="268"/>
      <c r="DY34" s="268"/>
      <c r="DZ34" s="268"/>
      <c r="EA34" s="206"/>
      <c r="EB34" s="206"/>
      <c r="EC34" s="268"/>
      <c r="ED34" s="268"/>
      <c r="EE34" s="268"/>
      <c r="EF34" s="268"/>
      <c r="EG34" s="268"/>
      <c r="EH34" s="268"/>
      <c r="EI34" s="268"/>
      <c r="EJ34" s="268"/>
      <c r="EK34" s="268"/>
      <c r="EL34" s="268"/>
      <c r="EM34" s="268"/>
      <c r="EN34" s="206"/>
      <c r="EO34" s="206"/>
      <c r="EP34" s="268"/>
      <c r="EQ34" s="268"/>
      <c r="ER34" s="268"/>
      <c r="ES34" s="268"/>
      <c r="ET34" s="268"/>
      <c r="EU34" s="268"/>
      <c r="EV34" s="268"/>
      <c r="EW34" s="268"/>
      <c r="EX34" s="268"/>
      <c r="EY34" s="268"/>
      <c r="EZ34" s="268"/>
      <c r="FA34" s="206"/>
      <c r="FB34" s="206"/>
      <c r="FC34" s="268"/>
      <c r="FD34" s="268"/>
      <c r="FE34" s="268"/>
      <c r="FF34" s="268"/>
      <c r="FG34" s="268"/>
      <c r="FH34" s="268"/>
      <c r="FI34" s="268"/>
      <c r="FJ34" s="268"/>
      <c r="FK34" s="268"/>
      <c r="FL34" s="268"/>
      <c r="FM34" s="268"/>
      <c r="FN34" s="206"/>
      <c r="FO34" s="206"/>
      <c r="FP34" s="268"/>
      <c r="FQ34" s="268"/>
      <c r="FR34" s="268"/>
      <c r="FS34" s="268"/>
      <c r="FT34" s="268"/>
      <c r="FU34" s="268"/>
      <c r="FV34" s="268"/>
      <c r="FW34" s="268"/>
      <c r="FX34" s="268"/>
      <c r="FY34" s="268"/>
      <c r="FZ34" s="268"/>
      <c r="GA34" s="206"/>
      <c r="GB34" s="206"/>
      <c r="GC34" s="268"/>
      <c r="GD34" s="268"/>
      <c r="GE34" s="268"/>
      <c r="GF34" s="268"/>
      <c r="GG34" s="268"/>
      <c r="GH34" s="268"/>
      <c r="GI34" s="268"/>
      <c r="GJ34" s="268"/>
      <c r="GK34" s="268"/>
      <c r="GL34" s="268"/>
      <c r="GM34" s="268"/>
      <c r="GN34" s="206"/>
      <c r="GO34" s="206"/>
      <c r="GP34" s="268"/>
      <c r="GQ34" s="268"/>
      <c r="GR34" s="268"/>
      <c r="GS34" s="268"/>
      <c r="GT34" s="268"/>
      <c r="GU34" s="268"/>
      <c r="GV34" s="268"/>
      <c r="GW34" s="268"/>
      <c r="GX34" s="268"/>
      <c r="GY34" s="268"/>
      <c r="GZ34" s="268"/>
      <c r="HA34" s="206"/>
      <c r="HB34" s="206"/>
      <c r="HC34" s="268"/>
      <c r="HD34" s="268"/>
      <c r="HE34" s="268"/>
      <c r="HF34" s="268"/>
      <c r="HG34" s="268"/>
      <c r="HH34" s="268"/>
      <c r="HI34" s="268"/>
      <c r="HJ34" s="268"/>
      <c r="HK34" s="268"/>
      <c r="HL34" s="268"/>
      <c r="HM34" s="268"/>
      <c r="HN34" s="206"/>
      <c r="HO34" s="206"/>
      <c r="HP34" s="268"/>
      <c r="HQ34" s="268"/>
      <c r="HR34" s="268"/>
      <c r="HS34" s="268"/>
      <c r="HT34" s="268"/>
      <c r="HU34" s="268"/>
      <c r="HV34" s="268"/>
      <c r="HW34" s="268"/>
      <c r="HX34" s="268"/>
      <c r="HY34" s="268"/>
      <c r="HZ34" s="268"/>
      <c r="IA34" s="206"/>
      <c r="IB34" s="206"/>
      <c r="IC34" s="268"/>
      <c r="ID34" s="268"/>
      <c r="IE34" s="268"/>
      <c r="IF34" s="268"/>
      <c r="IG34" s="268"/>
      <c r="IH34" s="268"/>
      <c r="II34" s="268"/>
      <c r="IJ34" s="268"/>
      <c r="IK34" s="268"/>
      <c r="IL34" s="268"/>
      <c r="IM34" s="268"/>
      <c r="IN34" s="206"/>
      <c r="IO34" s="206"/>
      <c r="IP34" s="268"/>
      <c r="IQ34" s="268"/>
      <c r="IR34" s="268"/>
      <c r="IS34" s="268"/>
      <c r="IT34" s="268"/>
      <c r="IU34" s="268"/>
      <c r="IV34" s="268"/>
    </row>
    <row r="35" spans="1:256">
      <c r="A35" s="215"/>
      <c r="B35" s="216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0"/>
      <c r="O35" s="210"/>
      <c r="P35" s="269"/>
      <c r="Q35" s="269"/>
      <c r="R35" s="269"/>
      <c r="S35" s="269"/>
      <c r="T35" s="269"/>
      <c r="U35" s="269"/>
      <c r="V35" s="269"/>
      <c r="W35" s="269"/>
      <c r="X35" s="269"/>
      <c r="Y35" s="269"/>
      <c r="Z35" s="269"/>
      <c r="AA35" s="206"/>
      <c r="AB35" s="206"/>
      <c r="AC35" s="268"/>
      <c r="AD35" s="268"/>
      <c r="AE35" s="268"/>
      <c r="AF35" s="268"/>
      <c r="AG35" s="268"/>
      <c r="AH35" s="268"/>
      <c r="AI35" s="268"/>
      <c r="AJ35" s="268"/>
      <c r="AK35" s="268"/>
      <c r="AL35" s="268"/>
      <c r="AM35" s="268"/>
      <c r="AN35" s="206"/>
      <c r="AO35" s="206"/>
      <c r="AP35" s="268"/>
      <c r="AQ35" s="268"/>
      <c r="AR35" s="268"/>
      <c r="AS35" s="268"/>
      <c r="AT35" s="268"/>
      <c r="AU35" s="268"/>
      <c r="AV35" s="268"/>
      <c r="AW35" s="268"/>
      <c r="AX35" s="268"/>
      <c r="AY35" s="268"/>
      <c r="AZ35" s="268"/>
      <c r="BA35" s="206"/>
      <c r="BB35" s="206"/>
      <c r="BC35" s="268"/>
      <c r="BD35" s="268"/>
      <c r="BE35" s="268"/>
      <c r="BF35" s="268"/>
      <c r="BG35" s="268"/>
      <c r="BH35" s="268"/>
      <c r="BI35" s="268"/>
      <c r="BJ35" s="268"/>
      <c r="BK35" s="268"/>
      <c r="BL35" s="268"/>
      <c r="BM35" s="268"/>
      <c r="BN35" s="206"/>
      <c r="BO35" s="206"/>
      <c r="BP35" s="268"/>
      <c r="BQ35" s="268"/>
      <c r="BR35" s="268"/>
      <c r="BS35" s="268"/>
      <c r="BT35" s="268"/>
      <c r="BU35" s="268"/>
      <c r="BV35" s="268"/>
      <c r="BW35" s="268"/>
      <c r="BX35" s="268"/>
      <c r="BY35" s="268"/>
      <c r="BZ35" s="268"/>
      <c r="CA35" s="206"/>
      <c r="CB35" s="206"/>
      <c r="CC35" s="268"/>
      <c r="CD35" s="268"/>
      <c r="CE35" s="268"/>
      <c r="CF35" s="268"/>
      <c r="CG35" s="268"/>
      <c r="CH35" s="268"/>
      <c r="CI35" s="268"/>
      <c r="CJ35" s="268"/>
      <c r="CK35" s="268"/>
      <c r="CL35" s="268"/>
      <c r="CM35" s="268"/>
      <c r="CN35" s="206"/>
      <c r="CO35" s="206"/>
      <c r="CP35" s="268"/>
      <c r="CQ35" s="268"/>
      <c r="CR35" s="268"/>
      <c r="CS35" s="268"/>
      <c r="CT35" s="268"/>
      <c r="CU35" s="268"/>
      <c r="CV35" s="268"/>
      <c r="CW35" s="268"/>
      <c r="CX35" s="268"/>
      <c r="CY35" s="268"/>
      <c r="CZ35" s="268"/>
      <c r="DA35" s="206"/>
      <c r="DB35" s="206"/>
      <c r="DC35" s="268"/>
      <c r="DD35" s="268"/>
      <c r="DE35" s="268"/>
      <c r="DF35" s="268"/>
      <c r="DG35" s="268"/>
      <c r="DH35" s="268"/>
      <c r="DI35" s="268"/>
      <c r="DJ35" s="268"/>
      <c r="DK35" s="268"/>
      <c r="DL35" s="268"/>
      <c r="DM35" s="268"/>
      <c r="DN35" s="206"/>
      <c r="DO35" s="206"/>
      <c r="DP35" s="268"/>
      <c r="DQ35" s="268"/>
      <c r="DR35" s="268"/>
      <c r="DS35" s="268"/>
      <c r="DT35" s="268"/>
      <c r="DU35" s="268"/>
      <c r="DV35" s="268"/>
      <c r="DW35" s="268"/>
      <c r="DX35" s="268"/>
      <c r="DY35" s="268"/>
      <c r="DZ35" s="268"/>
      <c r="EA35" s="206"/>
      <c r="EB35" s="206"/>
      <c r="EC35" s="268"/>
      <c r="ED35" s="268"/>
      <c r="EE35" s="268"/>
      <c r="EF35" s="268"/>
      <c r="EG35" s="268"/>
      <c r="EH35" s="268"/>
      <c r="EI35" s="268"/>
      <c r="EJ35" s="268"/>
      <c r="EK35" s="268"/>
      <c r="EL35" s="268"/>
      <c r="EM35" s="268"/>
      <c r="EN35" s="206"/>
      <c r="EO35" s="206"/>
      <c r="EP35" s="268"/>
      <c r="EQ35" s="268"/>
      <c r="ER35" s="268"/>
      <c r="ES35" s="268"/>
      <c r="ET35" s="268"/>
      <c r="EU35" s="268"/>
      <c r="EV35" s="268"/>
      <c r="EW35" s="268"/>
      <c r="EX35" s="268"/>
      <c r="EY35" s="268"/>
      <c r="EZ35" s="268"/>
      <c r="FA35" s="206"/>
      <c r="FB35" s="206"/>
      <c r="FC35" s="268"/>
      <c r="FD35" s="268"/>
      <c r="FE35" s="268"/>
      <c r="FF35" s="268"/>
      <c r="FG35" s="268"/>
      <c r="FH35" s="268"/>
      <c r="FI35" s="268"/>
      <c r="FJ35" s="268"/>
      <c r="FK35" s="268"/>
      <c r="FL35" s="268"/>
      <c r="FM35" s="268"/>
      <c r="FN35" s="206"/>
      <c r="FO35" s="206"/>
      <c r="FP35" s="268"/>
      <c r="FQ35" s="268"/>
      <c r="FR35" s="268"/>
      <c r="FS35" s="268"/>
      <c r="FT35" s="268"/>
      <c r="FU35" s="268"/>
      <c r="FV35" s="268"/>
      <c r="FW35" s="268"/>
      <c r="FX35" s="268"/>
      <c r="FY35" s="268"/>
      <c r="FZ35" s="268"/>
      <c r="GA35" s="206"/>
      <c r="GB35" s="206"/>
      <c r="GC35" s="268"/>
      <c r="GD35" s="268"/>
      <c r="GE35" s="268"/>
      <c r="GF35" s="268"/>
      <c r="GG35" s="268"/>
      <c r="GH35" s="268"/>
      <c r="GI35" s="268"/>
      <c r="GJ35" s="268"/>
      <c r="GK35" s="268"/>
      <c r="GL35" s="268"/>
      <c r="GM35" s="268"/>
      <c r="GN35" s="206"/>
      <c r="GO35" s="206"/>
      <c r="GP35" s="268"/>
      <c r="GQ35" s="268"/>
      <c r="GR35" s="268"/>
      <c r="GS35" s="268"/>
      <c r="GT35" s="268"/>
      <c r="GU35" s="268"/>
      <c r="GV35" s="268"/>
      <c r="GW35" s="268"/>
      <c r="GX35" s="268"/>
      <c r="GY35" s="268"/>
      <c r="GZ35" s="268"/>
      <c r="HA35" s="206"/>
      <c r="HB35" s="206"/>
      <c r="HC35" s="268"/>
      <c r="HD35" s="268"/>
      <c r="HE35" s="268"/>
      <c r="HF35" s="268"/>
      <c r="HG35" s="268"/>
      <c r="HH35" s="268"/>
      <c r="HI35" s="268"/>
      <c r="HJ35" s="268"/>
      <c r="HK35" s="268"/>
      <c r="HL35" s="268"/>
      <c r="HM35" s="268"/>
      <c r="HN35" s="206"/>
      <c r="HO35" s="206"/>
      <c r="HP35" s="268"/>
      <c r="HQ35" s="268"/>
      <c r="HR35" s="268"/>
      <c r="HS35" s="268"/>
      <c r="HT35" s="268"/>
      <c r="HU35" s="268"/>
      <c r="HV35" s="268"/>
      <c r="HW35" s="268"/>
      <c r="HX35" s="268"/>
      <c r="HY35" s="268"/>
      <c r="HZ35" s="268"/>
      <c r="IA35" s="206"/>
      <c r="IB35" s="206"/>
      <c r="IC35" s="268"/>
      <c r="ID35" s="268"/>
      <c r="IE35" s="268"/>
      <c r="IF35" s="268"/>
      <c r="IG35" s="268"/>
      <c r="IH35" s="268"/>
      <c r="II35" s="268"/>
      <c r="IJ35" s="268"/>
      <c r="IK35" s="268"/>
      <c r="IL35" s="268"/>
      <c r="IM35" s="268"/>
      <c r="IN35" s="206"/>
      <c r="IO35" s="206"/>
      <c r="IP35" s="268"/>
      <c r="IQ35" s="268"/>
      <c r="IR35" s="268"/>
      <c r="IS35" s="268"/>
      <c r="IT35" s="268"/>
      <c r="IU35" s="268"/>
      <c r="IV35" s="268"/>
    </row>
    <row r="36" spans="1:256">
      <c r="A36" s="215"/>
      <c r="B36" s="216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0"/>
      <c r="O36" s="210"/>
      <c r="P36" s="269"/>
      <c r="Q36" s="269"/>
      <c r="R36" s="269"/>
      <c r="S36" s="269"/>
      <c r="T36" s="269"/>
      <c r="U36" s="269"/>
      <c r="V36" s="269"/>
      <c r="W36" s="269"/>
      <c r="X36" s="269"/>
      <c r="Y36" s="269"/>
      <c r="Z36" s="269"/>
      <c r="AA36" s="206"/>
      <c r="AB36" s="206"/>
      <c r="AC36" s="268"/>
      <c r="AD36" s="268"/>
      <c r="AE36" s="268"/>
      <c r="AF36" s="268"/>
      <c r="AG36" s="268"/>
      <c r="AH36" s="268"/>
      <c r="AI36" s="268"/>
      <c r="AJ36" s="268"/>
      <c r="AK36" s="268"/>
      <c r="AL36" s="268"/>
      <c r="AM36" s="268"/>
      <c r="AN36" s="206"/>
      <c r="AO36" s="206"/>
      <c r="AP36" s="268"/>
      <c r="AQ36" s="268"/>
      <c r="AR36" s="268"/>
      <c r="AS36" s="268"/>
      <c r="AT36" s="268"/>
      <c r="AU36" s="268"/>
      <c r="AV36" s="268"/>
      <c r="AW36" s="268"/>
      <c r="AX36" s="268"/>
      <c r="AY36" s="268"/>
      <c r="AZ36" s="268"/>
      <c r="BA36" s="206"/>
      <c r="BB36" s="206"/>
      <c r="BC36" s="268"/>
      <c r="BD36" s="268"/>
      <c r="BE36" s="268"/>
      <c r="BF36" s="268"/>
      <c r="BG36" s="268"/>
      <c r="BH36" s="268"/>
      <c r="BI36" s="268"/>
      <c r="BJ36" s="268"/>
      <c r="BK36" s="268"/>
      <c r="BL36" s="268"/>
      <c r="BM36" s="268"/>
      <c r="BN36" s="206"/>
      <c r="BO36" s="206"/>
      <c r="BP36" s="268"/>
      <c r="BQ36" s="268"/>
      <c r="BR36" s="268"/>
      <c r="BS36" s="268"/>
      <c r="BT36" s="268"/>
      <c r="BU36" s="268"/>
      <c r="BV36" s="268"/>
      <c r="BW36" s="268"/>
      <c r="BX36" s="268"/>
      <c r="BY36" s="268"/>
      <c r="BZ36" s="268"/>
      <c r="CA36" s="206"/>
      <c r="CB36" s="206"/>
      <c r="CC36" s="268"/>
      <c r="CD36" s="268"/>
      <c r="CE36" s="268"/>
      <c r="CF36" s="268"/>
      <c r="CG36" s="268"/>
      <c r="CH36" s="268"/>
      <c r="CI36" s="268"/>
      <c r="CJ36" s="268"/>
      <c r="CK36" s="268"/>
      <c r="CL36" s="268"/>
      <c r="CM36" s="268"/>
      <c r="CN36" s="206"/>
      <c r="CO36" s="206"/>
      <c r="CP36" s="268"/>
      <c r="CQ36" s="268"/>
      <c r="CR36" s="268"/>
      <c r="CS36" s="268"/>
      <c r="CT36" s="268"/>
      <c r="CU36" s="268"/>
      <c r="CV36" s="268"/>
      <c r="CW36" s="268"/>
      <c r="CX36" s="268"/>
      <c r="CY36" s="268"/>
      <c r="CZ36" s="268"/>
      <c r="DA36" s="206"/>
      <c r="DB36" s="206"/>
      <c r="DC36" s="268"/>
      <c r="DD36" s="268"/>
      <c r="DE36" s="268"/>
      <c r="DF36" s="268"/>
      <c r="DG36" s="268"/>
      <c r="DH36" s="268"/>
      <c r="DI36" s="268"/>
      <c r="DJ36" s="268"/>
      <c r="DK36" s="268"/>
      <c r="DL36" s="268"/>
      <c r="DM36" s="268"/>
      <c r="DN36" s="206"/>
      <c r="DO36" s="206"/>
      <c r="DP36" s="268"/>
      <c r="DQ36" s="268"/>
      <c r="DR36" s="268"/>
      <c r="DS36" s="268"/>
      <c r="DT36" s="268"/>
      <c r="DU36" s="268"/>
      <c r="DV36" s="268"/>
      <c r="DW36" s="268"/>
      <c r="DX36" s="268"/>
      <c r="DY36" s="268"/>
      <c r="DZ36" s="268"/>
      <c r="EA36" s="206"/>
      <c r="EB36" s="206"/>
      <c r="EC36" s="268"/>
      <c r="ED36" s="268"/>
      <c r="EE36" s="268"/>
      <c r="EF36" s="268"/>
      <c r="EG36" s="268"/>
      <c r="EH36" s="268"/>
      <c r="EI36" s="268"/>
      <c r="EJ36" s="268"/>
      <c r="EK36" s="268"/>
      <c r="EL36" s="268"/>
      <c r="EM36" s="268"/>
      <c r="EN36" s="206"/>
      <c r="EO36" s="206"/>
      <c r="EP36" s="268"/>
      <c r="EQ36" s="268"/>
      <c r="ER36" s="268"/>
      <c r="ES36" s="268"/>
      <c r="ET36" s="268"/>
      <c r="EU36" s="268"/>
      <c r="EV36" s="268"/>
      <c r="EW36" s="268"/>
      <c r="EX36" s="268"/>
      <c r="EY36" s="268"/>
      <c r="EZ36" s="268"/>
      <c r="FA36" s="206"/>
      <c r="FB36" s="206"/>
      <c r="FC36" s="268"/>
      <c r="FD36" s="268"/>
      <c r="FE36" s="268"/>
      <c r="FF36" s="268"/>
      <c r="FG36" s="268"/>
      <c r="FH36" s="268"/>
      <c r="FI36" s="268"/>
      <c r="FJ36" s="268"/>
      <c r="FK36" s="268"/>
      <c r="FL36" s="268"/>
      <c r="FM36" s="268"/>
      <c r="FN36" s="206"/>
      <c r="FO36" s="206"/>
      <c r="FP36" s="268"/>
      <c r="FQ36" s="268"/>
      <c r="FR36" s="268"/>
      <c r="FS36" s="268"/>
      <c r="FT36" s="268"/>
      <c r="FU36" s="268"/>
      <c r="FV36" s="268"/>
      <c r="FW36" s="268"/>
      <c r="FX36" s="268"/>
      <c r="FY36" s="268"/>
      <c r="FZ36" s="268"/>
      <c r="GA36" s="206"/>
      <c r="GB36" s="206"/>
      <c r="GC36" s="268"/>
      <c r="GD36" s="268"/>
      <c r="GE36" s="268"/>
      <c r="GF36" s="268"/>
      <c r="GG36" s="268"/>
      <c r="GH36" s="268"/>
      <c r="GI36" s="268"/>
      <c r="GJ36" s="268"/>
      <c r="GK36" s="268"/>
      <c r="GL36" s="268"/>
      <c r="GM36" s="268"/>
      <c r="GN36" s="206"/>
      <c r="GO36" s="206"/>
      <c r="GP36" s="268"/>
      <c r="GQ36" s="268"/>
      <c r="GR36" s="268"/>
      <c r="GS36" s="268"/>
      <c r="GT36" s="268"/>
      <c r="GU36" s="268"/>
      <c r="GV36" s="268"/>
      <c r="GW36" s="268"/>
      <c r="GX36" s="268"/>
      <c r="GY36" s="268"/>
      <c r="GZ36" s="268"/>
      <c r="HA36" s="206"/>
      <c r="HB36" s="206"/>
      <c r="HC36" s="268"/>
      <c r="HD36" s="268"/>
      <c r="HE36" s="268"/>
      <c r="HF36" s="268"/>
      <c r="HG36" s="268"/>
      <c r="HH36" s="268"/>
      <c r="HI36" s="268"/>
      <c r="HJ36" s="268"/>
      <c r="HK36" s="268"/>
      <c r="HL36" s="268"/>
      <c r="HM36" s="268"/>
      <c r="HN36" s="206"/>
      <c r="HO36" s="206"/>
      <c r="HP36" s="268"/>
      <c r="HQ36" s="268"/>
      <c r="HR36" s="268"/>
      <c r="HS36" s="268"/>
      <c r="HT36" s="268"/>
      <c r="HU36" s="268"/>
      <c r="HV36" s="268"/>
      <c r="HW36" s="268"/>
      <c r="HX36" s="268"/>
      <c r="HY36" s="268"/>
      <c r="HZ36" s="268"/>
      <c r="IA36" s="206"/>
      <c r="IB36" s="206"/>
      <c r="IC36" s="268"/>
      <c r="ID36" s="268"/>
      <c r="IE36" s="268"/>
      <c r="IF36" s="268"/>
      <c r="IG36" s="268"/>
      <c r="IH36" s="268"/>
      <c r="II36" s="268"/>
      <c r="IJ36" s="268"/>
      <c r="IK36" s="268"/>
      <c r="IL36" s="268"/>
      <c r="IM36" s="268"/>
      <c r="IN36" s="206"/>
      <c r="IO36" s="206"/>
      <c r="IP36" s="268"/>
      <c r="IQ36" s="268"/>
      <c r="IR36" s="268"/>
      <c r="IS36" s="268"/>
      <c r="IT36" s="268"/>
      <c r="IU36" s="268"/>
      <c r="IV36" s="268"/>
    </row>
    <row r="37" spans="1:256">
      <c r="A37" s="215"/>
      <c r="B37" s="216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0"/>
      <c r="O37" s="210"/>
      <c r="P37" s="269"/>
      <c r="Q37" s="269"/>
      <c r="R37" s="269"/>
      <c r="S37" s="269"/>
      <c r="T37" s="269"/>
      <c r="U37" s="269"/>
      <c r="V37" s="269"/>
      <c r="W37" s="269"/>
      <c r="X37" s="269"/>
      <c r="Y37" s="269"/>
      <c r="Z37" s="269"/>
      <c r="AA37" s="206"/>
      <c r="AB37" s="206"/>
      <c r="AC37" s="268"/>
      <c r="AD37" s="268"/>
      <c r="AE37" s="268"/>
      <c r="AF37" s="268"/>
      <c r="AG37" s="268"/>
      <c r="AH37" s="268"/>
      <c r="AI37" s="268"/>
      <c r="AJ37" s="268"/>
      <c r="AK37" s="268"/>
      <c r="AL37" s="268"/>
      <c r="AM37" s="268"/>
      <c r="AN37" s="206"/>
      <c r="AO37" s="206"/>
      <c r="AP37" s="268"/>
      <c r="AQ37" s="268"/>
      <c r="AR37" s="268"/>
      <c r="AS37" s="268"/>
      <c r="AT37" s="268"/>
      <c r="AU37" s="268"/>
      <c r="AV37" s="268"/>
      <c r="AW37" s="268"/>
      <c r="AX37" s="268"/>
      <c r="AY37" s="268"/>
      <c r="AZ37" s="268"/>
      <c r="BA37" s="206"/>
      <c r="BB37" s="206"/>
      <c r="BC37" s="268"/>
      <c r="BD37" s="268"/>
      <c r="BE37" s="268"/>
      <c r="BF37" s="268"/>
      <c r="BG37" s="268"/>
      <c r="BH37" s="268"/>
      <c r="BI37" s="268"/>
      <c r="BJ37" s="268"/>
      <c r="BK37" s="268"/>
      <c r="BL37" s="268"/>
      <c r="BM37" s="268"/>
      <c r="BN37" s="206"/>
      <c r="BO37" s="206"/>
      <c r="BP37" s="268"/>
      <c r="BQ37" s="268"/>
      <c r="BR37" s="268"/>
      <c r="BS37" s="268"/>
      <c r="BT37" s="268"/>
      <c r="BU37" s="268"/>
      <c r="BV37" s="268"/>
      <c r="BW37" s="268"/>
      <c r="BX37" s="268"/>
      <c r="BY37" s="268"/>
      <c r="BZ37" s="268"/>
      <c r="CA37" s="206"/>
      <c r="CB37" s="206"/>
      <c r="CC37" s="268"/>
      <c r="CD37" s="268"/>
      <c r="CE37" s="268"/>
      <c r="CF37" s="268"/>
      <c r="CG37" s="268"/>
      <c r="CH37" s="268"/>
      <c r="CI37" s="268"/>
      <c r="CJ37" s="268"/>
      <c r="CK37" s="268"/>
      <c r="CL37" s="268"/>
      <c r="CM37" s="268"/>
      <c r="CN37" s="206"/>
      <c r="CO37" s="206"/>
      <c r="CP37" s="268"/>
      <c r="CQ37" s="268"/>
      <c r="CR37" s="268"/>
      <c r="CS37" s="268"/>
      <c r="CT37" s="268"/>
      <c r="CU37" s="268"/>
      <c r="CV37" s="268"/>
      <c r="CW37" s="268"/>
      <c r="CX37" s="268"/>
      <c r="CY37" s="268"/>
      <c r="CZ37" s="268"/>
      <c r="DA37" s="206"/>
      <c r="DB37" s="206"/>
      <c r="DC37" s="268"/>
      <c r="DD37" s="268"/>
      <c r="DE37" s="268"/>
      <c r="DF37" s="268"/>
      <c r="DG37" s="268"/>
      <c r="DH37" s="268"/>
      <c r="DI37" s="268"/>
      <c r="DJ37" s="268"/>
      <c r="DK37" s="268"/>
      <c r="DL37" s="268"/>
      <c r="DM37" s="268"/>
      <c r="DN37" s="206"/>
      <c r="DO37" s="206"/>
      <c r="DP37" s="268"/>
      <c r="DQ37" s="268"/>
      <c r="DR37" s="268"/>
      <c r="DS37" s="268"/>
      <c r="DT37" s="268"/>
      <c r="DU37" s="268"/>
      <c r="DV37" s="268"/>
      <c r="DW37" s="268"/>
      <c r="DX37" s="268"/>
      <c r="DY37" s="268"/>
      <c r="DZ37" s="268"/>
      <c r="EA37" s="206"/>
      <c r="EB37" s="206"/>
      <c r="EC37" s="268"/>
      <c r="ED37" s="268"/>
      <c r="EE37" s="268"/>
      <c r="EF37" s="268"/>
      <c r="EG37" s="268"/>
      <c r="EH37" s="268"/>
      <c r="EI37" s="268"/>
      <c r="EJ37" s="268"/>
      <c r="EK37" s="268"/>
      <c r="EL37" s="268"/>
      <c r="EM37" s="268"/>
      <c r="EN37" s="206"/>
      <c r="EO37" s="206"/>
      <c r="EP37" s="268"/>
      <c r="EQ37" s="268"/>
      <c r="ER37" s="268"/>
      <c r="ES37" s="268"/>
      <c r="ET37" s="268"/>
      <c r="EU37" s="268"/>
      <c r="EV37" s="268"/>
      <c r="EW37" s="268"/>
      <c r="EX37" s="268"/>
      <c r="EY37" s="268"/>
      <c r="EZ37" s="268"/>
      <c r="FA37" s="206"/>
      <c r="FB37" s="206"/>
      <c r="FC37" s="268"/>
      <c r="FD37" s="268"/>
      <c r="FE37" s="268"/>
      <c r="FF37" s="268"/>
      <c r="FG37" s="268"/>
      <c r="FH37" s="268"/>
      <c r="FI37" s="268"/>
      <c r="FJ37" s="268"/>
      <c r="FK37" s="268"/>
      <c r="FL37" s="268"/>
      <c r="FM37" s="268"/>
      <c r="FN37" s="206"/>
      <c r="FO37" s="206"/>
      <c r="FP37" s="268"/>
      <c r="FQ37" s="268"/>
      <c r="FR37" s="268"/>
      <c r="FS37" s="268"/>
      <c r="FT37" s="268"/>
      <c r="FU37" s="268"/>
      <c r="FV37" s="268"/>
      <c r="FW37" s="268"/>
      <c r="FX37" s="268"/>
      <c r="FY37" s="268"/>
      <c r="FZ37" s="268"/>
      <c r="GA37" s="206"/>
      <c r="GB37" s="206"/>
      <c r="GC37" s="268"/>
      <c r="GD37" s="268"/>
      <c r="GE37" s="268"/>
      <c r="GF37" s="268"/>
      <c r="GG37" s="268"/>
      <c r="GH37" s="268"/>
      <c r="GI37" s="268"/>
      <c r="GJ37" s="268"/>
      <c r="GK37" s="268"/>
      <c r="GL37" s="268"/>
      <c r="GM37" s="268"/>
      <c r="GN37" s="206"/>
      <c r="GO37" s="206"/>
      <c r="GP37" s="268"/>
      <c r="GQ37" s="268"/>
      <c r="GR37" s="268"/>
      <c r="GS37" s="268"/>
      <c r="GT37" s="268"/>
      <c r="GU37" s="268"/>
      <c r="GV37" s="268"/>
      <c r="GW37" s="268"/>
      <c r="GX37" s="268"/>
      <c r="GY37" s="268"/>
      <c r="GZ37" s="268"/>
      <c r="HA37" s="206"/>
      <c r="HB37" s="206"/>
      <c r="HC37" s="268"/>
      <c r="HD37" s="268"/>
      <c r="HE37" s="268"/>
      <c r="HF37" s="268"/>
      <c r="HG37" s="268"/>
      <c r="HH37" s="268"/>
      <c r="HI37" s="268"/>
      <c r="HJ37" s="268"/>
      <c r="HK37" s="268"/>
      <c r="HL37" s="268"/>
      <c r="HM37" s="268"/>
      <c r="HN37" s="206"/>
      <c r="HO37" s="206"/>
      <c r="HP37" s="268"/>
      <c r="HQ37" s="268"/>
      <c r="HR37" s="268"/>
      <c r="HS37" s="268"/>
      <c r="HT37" s="268"/>
      <c r="HU37" s="268"/>
      <c r="HV37" s="268"/>
      <c r="HW37" s="268"/>
      <c r="HX37" s="268"/>
      <c r="HY37" s="268"/>
      <c r="HZ37" s="268"/>
      <c r="IA37" s="206"/>
      <c r="IB37" s="206"/>
      <c r="IC37" s="268"/>
      <c r="ID37" s="268"/>
      <c r="IE37" s="268"/>
      <c r="IF37" s="268"/>
      <c r="IG37" s="268"/>
      <c r="IH37" s="268"/>
      <c r="II37" s="268"/>
      <c r="IJ37" s="268"/>
      <c r="IK37" s="268"/>
      <c r="IL37" s="268"/>
      <c r="IM37" s="268"/>
      <c r="IN37" s="206"/>
      <c r="IO37" s="206"/>
      <c r="IP37" s="268"/>
      <c r="IQ37" s="268"/>
      <c r="IR37" s="268"/>
      <c r="IS37" s="268"/>
      <c r="IT37" s="268"/>
      <c r="IU37" s="268"/>
      <c r="IV37" s="268"/>
    </row>
    <row r="38" spans="1:256">
      <c r="A38" s="215"/>
      <c r="B38" s="216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0"/>
      <c r="O38" s="210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6"/>
      <c r="AB38" s="206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6"/>
      <c r="AO38" s="206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6"/>
      <c r="BB38" s="206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6"/>
      <c r="BO38" s="206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6"/>
      <c r="CB38" s="206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6"/>
      <c r="CO38" s="206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6"/>
      <c r="DB38" s="206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6"/>
      <c r="DO38" s="206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6"/>
      <c r="EB38" s="206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6"/>
      <c r="EO38" s="206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6"/>
      <c r="FB38" s="206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6"/>
      <c r="FO38" s="206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6"/>
      <c r="GB38" s="206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6"/>
      <c r="GO38" s="206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6"/>
      <c r="HB38" s="206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6"/>
      <c r="HO38" s="206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6"/>
      <c r="IB38" s="206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6"/>
      <c r="IO38" s="206"/>
      <c r="IP38" s="295"/>
      <c r="IQ38" s="295"/>
      <c r="IR38" s="295"/>
      <c r="IS38" s="295"/>
      <c r="IT38" s="295"/>
      <c r="IU38" s="295"/>
      <c r="IV38" s="295"/>
    </row>
    <row r="39" spans="1:256">
      <c r="A39" s="215"/>
      <c r="B39" s="216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0"/>
      <c r="O39" s="210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6"/>
      <c r="AB39" s="206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6"/>
      <c r="AO39" s="206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6"/>
      <c r="BB39" s="206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6"/>
      <c r="BO39" s="206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6"/>
      <c r="CB39" s="206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6"/>
      <c r="CO39" s="206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6"/>
      <c r="DB39" s="206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6"/>
      <c r="DO39" s="206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6"/>
      <c r="EB39" s="206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6"/>
      <c r="EO39" s="206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6"/>
      <c r="FB39" s="206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6"/>
      <c r="FO39" s="206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6"/>
      <c r="GB39" s="206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6"/>
      <c r="GO39" s="206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6"/>
      <c r="HB39" s="206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6"/>
      <c r="HO39" s="206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6"/>
      <c r="IB39" s="206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6"/>
      <c r="IO39" s="206"/>
      <c r="IP39" s="295"/>
      <c r="IQ39" s="295"/>
      <c r="IR39" s="295"/>
      <c r="IS39" s="295"/>
      <c r="IT39" s="295"/>
      <c r="IU39" s="295"/>
      <c r="IV39" s="295"/>
    </row>
    <row r="40" spans="1:256">
      <c r="A40" s="215"/>
      <c r="B40" s="216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0"/>
      <c r="O40" s="210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6"/>
      <c r="AB40" s="206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6"/>
      <c r="AO40" s="206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6"/>
      <c r="BB40" s="206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6"/>
      <c r="BO40" s="206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6"/>
      <c r="CB40" s="206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6"/>
      <c r="CO40" s="206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6"/>
      <c r="DB40" s="206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6"/>
      <c r="DO40" s="206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6"/>
      <c r="EB40" s="206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6"/>
      <c r="EO40" s="206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6"/>
      <c r="FB40" s="206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6"/>
      <c r="FO40" s="206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6"/>
      <c r="GB40" s="206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6"/>
      <c r="GO40" s="206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6"/>
      <c r="HB40" s="206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6"/>
      <c r="HO40" s="206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6"/>
      <c r="IB40" s="206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6"/>
      <c r="IO40" s="206"/>
      <c r="IP40" s="295"/>
      <c r="IQ40" s="295"/>
      <c r="IR40" s="295"/>
      <c r="IS40" s="295"/>
      <c r="IT40" s="295"/>
      <c r="IU40" s="295"/>
      <c r="IV40" s="295"/>
    </row>
    <row r="41" spans="1:256">
      <c r="A41" s="215"/>
      <c r="B41" s="216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0"/>
      <c r="O41" s="210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  <c r="AA41" s="206"/>
      <c r="AB41" s="206"/>
      <c r="AC41" s="268"/>
      <c r="AD41" s="268"/>
      <c r="AE41" s="268"/>
      <c r="AF41" s="268"/>
      <c r="AG41" s="268"/>
      <c r="AH41" s="268"/>
      <c r="AI41" s="268"/>
      <c r="AJ41" s="268"/>
      <c r="AK41" s="268"/>
      <c r="AL41" s="268"/>
      <c r="AM41" s="268"/>
      <c r="AN41" s="206"/>
      <c r="AO41" s="206"/>
      <c r="AP41" s="268"/>
      <c r="AQ41" s="268"/>
      <c r="AR41" s="268"/>
      <c r="AS41" s="268"/>
      <c r="AT41" s="268"/>
      <c r="AU41" s="268"/>
      <c r="AV41" s="268"/>
      <c r="AW41" s="268"/>
      <c r="AX41" s="268"/>
      <c r="AY41" s="268"/>
      <c r="AZ41" s="268"/>
      <c r="BA41" s="206"/>
      <c r="BB41" s="206"/>
      <c r="BC41" s="268"/>
      <c r="BD41" s="268"/>
      <c r="BE41" s="268"/>
      <c r="BF41" s="268"/>
      <c r="BG41" s="268"/>
      <c r="BH41" s="268"/>
      <c r="BI41" s="268"/>
      <c r="BJ41" s="268"/>
      <c r="BK41" s="268"/>
      <c r="BL41" s="268"/>
      <c r="BM41" s="268"/>
      <c r="BN41" s="206"/>
      <c r="BO41" s="206"/>
      <c r="BP41" s="268"/>
      <c r="BQ41" s="268"/>
      <c r="BR41" s="268"/>
      <c r="BS41" s="268"/>
      <c r="BT41" s="268"/>
      <c r="BU41" s="268"/>
      <c r="BV41" s="268"/>
      <c r="BW41" s="268"/>
      <c r="BX41" s="268"/>
      <c r="BY41" s="268"/>
      <c r="BZ41" s="268"/>
      <c r="CA41" s="206"/>
      <c r="CB41" s="206"/>
      <c r="CC41" s="268"/>
      <c r="CD41" s="268"/>
      <c r="CE41" s="268"/>
      <c r="CF41" s="268"/>
      <c r="CG41" s="268"/>
      <c r="CH41" s="268"/>
      <c r="CI41" s="268"/>
      <c r="CJ41" s="268"/>
      <c r="CK41" s="268"/>
      <c r="CL41" s="268"/>
      <c r="CM41" s="268"/>
      <c r="CN41" s="206"/>
      <c r="CO41" s="206"/>
      <c r="CP41" s="268"/>
      <c r="CQ41" s="268"/>
      <c r="CR41" s="268"/>
      <c r="CS41" s="268"/>
      <c r="CT41" s="268"/>
      <c r="CU41" s="268"/>
      <c r="CV41" s="268"/>
      <c r="CW41" s="268"/>
      <c r="CX41" s="268"/>
      <c r="CY41" s="268"/>
      <c r="CZ41" s="268"/>
      <c r="DA41" s="206"/>
      <c r="DB41" s="206"/>
      <c r="DC41" s="268"/>
      <c r="DD41" s="268"/>
      <c r="DE41" s="268"/>
      <c r="DF41" s="268"/>
      <c r="DG41" s="268"/>
      <c r="DH41" s="268"/>
      <c r="DI41" s="268"/>
      <c r="DJ41" s="268"/>
      <c r="DK41" s="268"/>
      <c r="DL41" s="268"/>
      <c r="DM41" s="268"/>
      <c r="DN41" s="206"/>
      <c r="DO41" s="206"/>
      <c r="DP41" s="268"/>
      <c r="DQ41" s="268"/>
      <c r="DR41" s="268"/>
      <c r="DS41" s="268"/>
      <c r="DT41" s="268"/>
      <c r="DU41" s="268"/>
      <c r="DV41" s="268"/>
      <c r="DW41" s="268"/>
      <c r="DX41" s="268"/>
      <c r="DY41" s="268"/>
      <c r="DZ41" s="268"/>
      <c r="EA41" s="206"/>
      <c r="EB41" s="206"/>
      <c r="EC41" s="268"/>
      <c r="ED41" s="268"/>
      <c r="EE41" s="268"/>
      <c r="EF41" s="268"/>
      <c r="EG41" s="268"/>
      <c r="EH41" s="268"/>
      <c r="EI41" s="268"/>
      <c r="EJ41" s="268"/>
      <c r="EK41" s="268"/>
      <c r="EL41" s="268"/>
      <c r="EM41" s="268"/>
      <c r="EN41" s="206"/>
      <c r="EO41" s="206"/>
      <c r="EP41" s="268"/>
      <c r="EQ41" s="268"/>
      <c r="ER41" s="268"/>
      <c r="ES41" s="268"/>
      <c r="ET41" s="268"/>
      <c r="EU41" s="268"/>
      <c r="EV41" s="268"/>
      <c r="EW41" s="268"/>
      <c r="EX41" s="268"/>
      <c r="EY41" s="268"/>
      <c r="EZ41" s="268"/>
      <c r="FA41" s="206"/>
      <c r="FB41" s="206"/>
      <c r="FC41" s="268"/>
      <c r="FD41" s="268"/>
      <c r="FE41" s="268"/>
      <c r="FF41" s="268"/>
      <c r="FG41" s="268"/>
      <c r="FH41" s="268"/>
      <c r="FI41" s="268"/>
      <c r="FJ41" s="268"/>
      <c r="FK41" s="268"/>
      <c r="FL41" s="268"/>
      <c r="FM41" s="268"/>
      <c r="FN41" s="206"/>
      <c r="FO41" s="206"/>
      <c r="FP41" s="268"/>
      <c r="FQ41" s="268"/>
      <c r="FR41" s="268"/>
      <c r="FS41" s="268"/>
      <c r="FT41" s="268"/>
      <c r="FU41" s="268"/>
      <c r="FV41" s="268"/>
      <c r="FW41" s="268"/>
      <c r="FX41" s="268"/>
      <c r="FY41" s="268"/>
      <c r="FZ41" s="268"/>
      <c r="GA41" s="206"/>
      <c r="GB41" s="206"/>
      <c r="GC41" s="268"/>
      <c r="GD41" s="268"/>
      <c r="GE41" s="268"/>
      <c r="GF41" s="268"/>
      <c r="GG41" s="268"/>
      <c r="GH41" s="268"/>
      <c r="GI41" s="268"/>
      <c r="GJ41" s="268"/>
      <c r="GK41" s="268"/>
      <c r="GL41" s="268"/>
      <c r="GM41" s="268"/>
      <c r="GN41" s="206"/>
      <c r="GO41" s="206"/>
      <c r="GP41" s="268"/>
      <c r="GQ41" s="268"/>
      <c r="GR41" s="268"/>
      <c r="GS41" s="268"/>
      <c r="GT41" s="268"/>
      <c r="GU41" s="268"/>
      <c r="GV41" s="268"/>
      <c r="GW41" s="268"/>
      <c r="GX41" s="268"/>
      <c r="GY41" s="268"/>
      <c r="GZ41" s="268"/>
      <c r="HA41" s="206"/>
      <c r="HB41" s="206"/>
      <c r="HC41" s="268"/>
      <c r="HD41" s="268"/>
      <c r="HE41" s="268"/>
      <c r="HF41" s="268"/>
      <c r="HG41" s="268"/>
      <c r="HH41" s="268"/>
      <c r="HI41" s="268"/>
      <c r="HJ41" s="268"/>
      <c r="HK41" s="268"/>
      <c r="HL41" s="268"/>
      <c r="HM41" s="268"/>
      <c r="HN41" s="206"/>
      <c r="HO41" s="206"/>
      <c r="HP41" s="268"/>
      <c r="HQ41" s="268"/>
      <c r="HR41" s="268"/>
      <c r="HS41" s="268"/>
      <c r="HT41" s="268"/>
      <c r="HU41" s="268"/>
      <c r="HV41" s="268"/>
      <c r="HW41" s="268"/>
      <c r="HX41" s="268"/>
      <c r="HY41" s="268"/>
      <c r="HZ41" s="268"/>
      <c r="IA41" s="206"/>
      <c r="IB41" s="206"/>
      <c r="IC41" s="268"/>
      <c r="ID41" s="268"/>
      <c r="IE41" s="268"/>
      <c r="IF41" s="268"/>
      <c r="IG41" s="268"/>
      <c r="IH41" s="268"/>
      <c r="II41" s="268"/>
      <c r="IJ41" s="268"/>
      <c r="IK41" s="268"/>
      <c r="IL41" s="268"/>
      <c r="IM41" s="268"/>
      <c r="IN41" s="206"/>
      <c r="IO41" s="206"/>
      <c r="IP41" s="268"/>
      <c r="IQ41" s="268"/>
      <c r="IR41" s="268"/>
      <c r="IS41" s="268"/>
      <c r="IT41" s="268"/>
      <c r="IU41" s="268"/>
      <c r="IV41" s="268"/>
    </row>
    <row r="42" spans="1:256">
      <c r="A42" s="215"/>
      <c r="B42" s="216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0"/>
      <c r="O42" s="210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  <c r="AA42" s="206"/>
      <c r="AB42" s="206"/>
      <c r="AC42" s="268"/>
      <c r="AD42" s="268"/>
      <c r="AE42" s="268"/>
      <c r="AF42" s="268"/>
      <c r="AG42" s="268"/>
      <c r="AH42" s="268"/>
      <c r="AI42" s="268"/>
      <c r="AJ42" s="268"/>
      <c r="AK42" s="268"/>
      <c r="AL42" s="268"/>
      <c r="AM42" s="268"/>
      <c r="AN42" s="206"/>
      <c r="AO42" s="206"/>
      <c r="AP42" s="268"/>
      <c r="AQ42" s="268"/>
      <c r="AR42" s="268"/>
      <c r="AS42" s="268"/>
      <c r="AT42" s="268"/>
      <c r="AU42" s="268"/>
      <c r="AV42" s="268"/>
      <c r="AW42" s="268"/>
      <c r="AX42" s="268"/>
      <c r="AY42" s="268"/>
      <c r="AZ42" s="268"/>
      <c r="BA42" s="206"/>
      <c r="BB42" s="206"/>
      <c r="BC42" s="268"/>
      <c r="BD42" s="268"/>
      <c r="BE42" s="268"/>
      <c r="BF42" s="268"/>
      <c r="BG42" s="268"/>
      <c r="BH42" s="268"/>
      <c r="BI42" s="268"/>
      <c r="BJ42" s="268"/>
      <c r="BK42" s="268"/>
      <c r="BL42" s="268"/>
      <c r="BM42" s="268"/>
      <c r="BN42" s="206"/>
      <c r="BO42" s="206"/>
      <c r="BP42" s="268"/>
      <c r="BQ42" s="268"/>
      <c r="BR42" s="268"/>
      <c r="BS42" s="268"/>
      <c r="BT42" s="268"/>
      <c r="BU42" s="268"/>
      <c r="BV42" s="268"/>
      <c r="BW42" s="268"/>
      <c r="BX42" s="268"/>
      <c r="BY42" s="268"/>
      <c r="BZ42" s="268"/>
      <c r="CA42" s="206"/>
      <c r="CB42" s="206"/>
      <c r="CC42" s="268"/>
      <c r="CD42" s="268"/>
      <c r="CE42" s="268"/>
      <c r="CF42" s="268"/>
      <c r="CG42" s="268"/>
      <c r="CH42" s="268"/>
      <c r="CI42" s="268"/>
      <c r="CJ42" s="268"/>
      <c r="CK42" s="268"/>
      <c r="CL42" s="268"/>
      <c r="CM42" s="268"/>
      <c r="CN42" s="206"/>
      <c r="CO42" s="206"/>
      <c r="CP42" s="268"/>
      <c r="CQ42" s="268"/>
      <c r="CR42" s="268"/>
      <c r="CS42" s="268"/>
      <c r="CT42" s="268"/>
      <c r="CU42" s="268"/>
      <c r="CV42" s="268"/>
      <c r="CW42" s="268"/>
      <c r="CX42" s="268"/>
      <c r="CY42" s="268"/>
      <c r="CZ42" s="268"/>
      <c r="DA42" s="206"/>
      <c r="DB42" s="206"/>
      <c r="DC42" s="268"/>
      <c r="DD42" s="268"/>
      <c r="DE42" s="268"/>
      <c r="DF42" s="268"/>
      <c r="DG42" s="268"/>
      <c r="DH42" s="268"/>
      <c r="DI42" s="268"/>
      <c r="DJ42" s="268"/>
      <c r="DK42" s="268"/>
      <c r="DL42" s="268"/>
      <c r="DM42" s="268"/>
      <c r="DN42" s="206"/>
      <c r="DO42" s="206"/>
      <c r="DP42" s="268"/>
      <c r="DQ42" s="268"/>
      <c r="DR42" s="268"/>
      <c r="DS42" s="268"/>
      <c r="DT42" s="268"/>
      <c r="DU42" s="268"/>
      <c r="DV42" s="268"/>
      <c r="DW42" s="268"/>
      <c r="DX42" s="268"/>
      <c r="DY42" s="268"/>
      <c r="DZ42" s="268"/>
      <c r="EA42" s="206"/>
      <c r="EB42" s="206"/>
      <c r="EC42" s="268"/>
      <c r="ED42" s="268"/>
      <c r="EE42" s="268"/>
      <c r="EF42" s="268"/>
      <c r="EG42" s="268"/>
      <c r="EH42" s="268"/>
      <c r="EI42" s="268"/>
      <c r="EJ42" s="268"/>
      <c r="EK42" s="268"/>
      <c r="EL42" s="268"/>
      <c r="EM42" s="268"/>
      <c r="EN42" s="206"/>
      <c r="EO42" s="206"/>
      <c r="EP42" s="268"/>
      <c r="EQ42" s="268"/>
      <c r="ER42" s="268"/>
      <c r="ES42" s="268"/>
      <c r="ET42" s="268"/>
      <c r="EU42" s="268"/>
      <c r="EV42" s="268"/>
      <c r="EW42" s="268"/>
      <c r="EX42" s="268"/>
      <c r="EY42" s="268"/>
      <c r="EZ42" s="268"/>
      <c r="FA42" s="206"/>
      <c r="FB42" s="206"/>
      <c r="FC42" s="268"/>
      <c r="FD42" s="268"/>
      <c r="FE42" s="268"/>
      <c r="FF42" s="268"/>
      <c r="FG42" s="268"/>
      <c r="FH42" s="268"/>
      <c r="FI42" s="268"/>
      <c r="FJ42" s="268"/>
      <c r="FK42" s="268"/>
      <c r="FL42" s="268"/>
      <c r="FM42" s="268"/>
      <c r="FN42" s="206"/>
      <c r="FO42" s="206"/>
      <c r="FP42" s="268"/>
      <c r="FQ42" s="268"/>
      <c r="FR42" s="268"/>
      <c r="FS42" s="268"/>
      <c r="FT42" s="268"/>
      <c r="FU42" s="268"/>
      <c r="FV42" s="268"/>
      <c r="FW42" s="268"/>
      <c r="FX42" s="268"/>
      <c r="FY42" s="268"/>
      <c r="FZ42" s="268"/>
      <c r="GA42" s="206"/>
      <c r="GB42" s="206"/>
      <c r="GC42" s="268"/>
      <c r="GD42" s="268"/>
      <c r="GE42" s="268"/>
      <c r="GF42" s="268"/>
      <c r="GG42" s="268"/>
      <c r="GH42" s="268"/>
      <c r="GI42" s="268"/>
      <c r="GJ42" s="268"/>
      <c r="GK42" s="268"/>
      <c r="GL42" s="268"/>
      <c r="GM42" s="268"/>
      <c r="GN42" s="206"/>
      <c r="GO42" s="206"/>
      <c r="GP42" s="268"/>
      <c r="GQ42" s="268"/>
      <c r="GR42" s="268"/>
      <c r="GS42" s="268"/>
      <c r="GT42" s="268"/>
      <c r="GU42" s="268"/>
      <c r="GV42" s="268"/>
      <c r="GW42" s="268"/>
      <c r="GX42" s="268"/>
      <c r="GY42" s="268"/>
      <c r="GZ42" s="268"/>
      <c r="HA42" s="206"/>
      <c r="HB42" s="206"/>
      <c r="HC42" s="268"/>
      <c r="HD42" s="268"/>
      <c r="HE42" s="268"/>
      <c r="HF42" s="268"/>
      <c r="HG42" s="268"/>
      <c r="HH42" s="268"/>
      <c r="HI42" s="268"/>
      <c r="HJ42" s="268"/>
      <c r="HK42" s="268"/>
      <c r="HL42" s="268"/>
      <c r="HM42" s="268"/>
      <c r="HN42" s="206"/>
      <c r="HO42" s="206"/>
      <c r="HP42" s="268"/>
      <c r="HQ42" s="268"/>
      <c r="HR42" s="268"/>
      <c r="HS42" s="268"/>
      <c r="HT42" s="268"/>
      <c r="HU42" s="268"/>
      <c r="HV42" s="268"/>
      <c r="HW42" s="268"/>
      <c r="HX42" s="268"/>
      <c r="HY42" s="268"/>
      <c r="HZ42" s="268"/>
      <c r="IA42" s="206"/>
      <c r="IB42" s="206"/>
      <c r="IC42" s="268"/>
      <c r="ID42" s="268"/>
      <c r="IE42" s="268"/>
      <c r="IF42" s="268"/>
      <c r="IG42" s="268"/>
      <c r="IH42" s="268"/>
      <c r="II42" s="268"/>
      <c r="IJ42" s="268"/>
      <c r="IK42" s="268"/>
      <c r="IL42" s="268"/>
      <c r="IM42" s="268"/>
      <c r="IN42" s="206"/>
      <c r="IO42" s="206"/>
      <c r="IP42" s="268"/>
      <c r="IQ42" s="268"/>
      <c r="IR42" s="268"/>
      <c r="IS42" s="268"/>
      <c r="IT42" s="268"/>
      <c r="IU42" s="268"/>
      <c r="IV42" s="268"/>
    </row>
    <row r="43" spans="1:256">
      <c r="A43" s="215"/>
      <c r="B43" s="216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0"/>
      <c r="O43" s="210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  <c r="AA43" s="206"/>
      <c r="AB43" s="206"/>
      <c r="AC43" s="268"/>
      <c r="AD43" s="268"/>
      <c r="AE43" s="268"/>
      <c r="AF43" s="268"/>
      <c r="AG43" s="268"/>
      <c r="AH43" s="268"/>
      <c r="AI43" s="268"/>
      <c r="AJ43" s="268"/>
      <c r="AK43" s="268"/>
      <c r="AL43" s="268"/>
      <c r="AM43" s="268"/>
      <c r="AN43" s="206"/>
      <c r="AO43" s="206"/>
      <c r="AP43" s="268"/>
      <c r="AQ43" s="268"/>
      <c r="AR43" s="268"/>
      <c r="AS43" s="268"/>
      <c r="AT43" s="268"/>
      <c r="AU43" s="268"/>
      <c r="AV43" s="268"/>
      <c r="AW43" s="268"/>
      <c r="AX43" s="268"/>
      <c r="AY43" s="268"/>
      <c r="AZ43" s="268"/>
      <c r="BA43" s="206"/>
      <c r="BB43" s="206"/>
      <c r="BC43" s="268"/>
      <c r="BD43" s="268"/>
      <c r="BE43" s="268"/>
      <c r="BF43" s="268"/>
      <c r="BG43" s="268"/>
      <c r="BH43" s="268"/>
      <c r="BI43" s="268"/>
      <c r="BJ43" s="268"/>
      <c r="BK43" s="268"/>
      <c r="BL43" s="268"/>
      <c r="BM43" s="268"/>
      <c r="BN43" s="206"/>
      <c r="BO43" s="206"/>
      <c r="BP43" s="268"/>
      <c r="BQ43" s="268"/>
      <c r="BR43" s="268"/>
      <c r="BS43" s="268"/>
      <c r="BT43" s="268"/>
      <c r="BU43" s="268"/>
      <c r="BV43" s="268"/>
      <c r="BW43" s="268"/>
      <c r="BX43" s="268"/>
      <c r="BY43" s="268"/>
      <c r="BZ43" s="268"/>
      <c r="CA43" s="206"/>
      <c r="CB43" s="206"/>
      <c r="CC43" s="268"/>
      <c r="CD43" s="268"/>
      <c r="CE43" s="268"/>
      <c r="CF43" s="268"/>
      <c r="CG43" s="268"/>
      <c r="CH43" s="268"/>
      <c r="CI43" s="268"/>
      <c r="CJ43" s="268"/>
      <c r="CK43" s="268"/>
      <c r="CL43" s="268"/>
      <c r="CM43" s="268"/>
      <c r="CN43" s="206"/>
      <c r="CO43" s="206"/>
      <c r="CP43" s="268"/>
      <c r="CQ43" s="268"/>
      <c r="CR43" s="268"/>
      <c r="CS43" s="268"/>
      <c r="CT43" s="268"/>
      <c r="CU43" s="268"/>
      <c r="CV43" s="268"/>
      <c r="CW43" s="268"/>
      <c r="CX43" s="268"/>
      <c r="CY43" s="268"/>
      <c r="CZ43" s="268"/>
      <c r="DA43" s="206"/>
      <c r="DB43" s="206"/>
      <c r="DC43" s="268"/>
      <c r="DD43" s="268"/>
      <c r="DE43" s="268"/>
      <c r="DF43" s="268"/>
      <c r="DG43" s="268"/>
      <c r="DH43" s="268"/>
      <c r="DI43" s="268"/>
      <c r="DJ43" s="268"/>
      <c r="DK43" s="268"/>
      <c r="DL43" s="268"/>
      <c r="DM43" s="268"/>
      <c r="DN43" s="206"/>
      <c r="DO43" s="206"/>
      <c r="DP43" s="268"/>
      <c r="DQ43" s="268"/>
      <c r="DR43" s="268"/>
      <c r="DS43" s="268"/>
      <c r="DT43" s="268"/>
      <c r="DU43" s="268"/>
      <c r="DV43" s="268"/>
      <c r="DW43" s="268"/>
      <c r="DX43" s="268"/>
      <c r="DY43" s="268"/>
      <c r="DZ43" s="268"/>
      <c r="EA43" s="206"/>
      <c r="EB43" s="206"/>
      <c r="EC43" s="268"/>
      <c r="ED43" s="268"/>
      <c r="EE43" s="268"/>
      <c r="EF43" s="268"/>
      <c r="EG43" s="268"/>
      <c r="EH43" s="268"/>
      <c r="EI43" s="268"/>
      <c r="EJ43" s="268"/>
      <c r="EK43" s="268"/>
      <c r="EL43" s="268"/>
      <c r="EM43" s="268"/>
      <c r="EN43" s="206"/>
      <c r="EO43" s="206"/>
      <c r="EP43" s="268"/>
      <c r="EQ43" s="268"/>
      <c r="ER43" s="268"/>
      <c r="ES43" s="268"/>
      <c r="ET43" s="268"/>
      <c r="EU43" s="268"/>
      <c r="EV43" s="268"/>
      <c r="EW43" s="268"/>
      <c r="EX43" s="268"/>
      <c r="EY43" s="268"/>
      <c r="EZ43" s="268"/>
      <c r="FA43" s="206"/>
      <c r="FB43" s="206"/>
      <c r="FC43" s="268"/>
      <c r="FD43" s="268"/>
      <c r="FE43" s="268"/>
      <c r="FF43" s="268"/>
      <c r="FG43" s="268"/>
      <c r="FH43" s="268"/>
      <c r="FI43" s="268"/>
      <c r="FJ43" s="268"/>
      <c r="FK43" s="268"/>
      <c r="FL43" s="268"/>
      <c r="FM43" s="268"/>
      <c r="FN43" s="206"/>
      <c r="FO43" s="206"/>
      <c r="FP43" s="268"/>
      <c r="FQ43" s="268"/>
      <c r="FR43" s="268"/>
      <c r="FS43" s="268"/>
      <c r="FT43" s="268"/>
      <c r="FU43" s="268"/>
      <c r="FV43" s="268"/>
      <c r="FW43" s="268"/>
      <c r="FX43" s="268"/>
      <c r="FY43" s="268"/>
      <c r="FZ43" s="268"/>
      <c r="GA43" s="206"/>
      <c r="GB43" s="206"/>
      <c r="GC43" s="268"/>
      <c r="GD43" s="268"/>
      <c r="GE43" s="268"/>
      <c r="GF43" s="268"/>
      <c r="GG43" s="268"/>
      <c r="GH43" s="268"/>
      <c r="GI43" s="268"/>
      <c r="GJ43" s="268"/>
      <c r="GK43" s="268"/>
      <c r="GL43" s="268"/>
      <c r="GM43" s="268"/>
      <c r="GN43" s="206"/>
      <c r="GO43" s="206"/>
      <c r="GP43" s="268"/>
      <c r="GQ43" s="268"/>
      <c r="GR43" s="268"/>
      <c r="GS43" s="268"/>
      <c r="GT43" s="268"/>
      <c r="GU43" s="268"/>
      <c r="GV43" s="268"/>
      <c r="GW43" s="268"/>
      <c r="GX43" s="268"/>
      <c r="GY43" s="268"/>
      <c r="GZ43" s="268"/>
      <c r="HA43" s="206"/>
      <c r="HB43" s="206"/>
      <c r="HC43" s="268"/>
      <c r="HD43" s="268"/>
      <c r="HE43" s="268"/>
      <c r="HF43" s="268"/>
      <c r="HG43" s="268"/>
      <c r="HH43" s="268"/>
      <c r="HI43" s="268"/>
      <c r="HJ43" s="268"/>
      <c r="HK43" s="268"/>
      <c r="HL43" s="268"/>
      <c r="HM43" s="268"/>
      <c r="HN43" s="206"/>
      <c r="HO43" s="206"/>
      <c r="HP43" s="268"/>
      <c r="HQ43" s="268"/>
      <c r="HR43" s="268"/>
      <c r="HS43" s="268"/>
      <c r="HT43" s="268"/>
      <c r="HU43" s="268"/>
      <c r="HV43" s="268"/>
      <c r="HW43" s="268"/>
      <c r="HX43" s="268"/>
      <c r="HY43" s="268"/>
      <c r="HZ43" s="268"/>
      <c r="IA43" s="206"/>
      <c r="IB43" s="206"/>
      <c r="IC43" s="268"/>
      <c r="ID43" s="268"/>
      <c r="IE43" s="268"/>
      <c r="IF43" s="268"/>
      <c r="IG43" s="268"/>
      <c r="IH43" s="268"/>
      <c r="II43" s="268"/>
      <c r="IJ43" s="268"/>
      <c r="IK43" s="268"/>
      <c r="IL43" s="268"/>
      <c r="IM43" s="268"/>
      <c r="IN43" s="206"/>
      <c r="IO43" s="206"/>
      <c r="IP43" s="268"/>
      <c r="IQ43" s="268"/>
      <c r="IR43" s="268"/>
      <c r="IS43" s="268"/>
      <c r="IT43" s="268"/>
      <c r="IU43" s="268"/>
      <c r="IV43" s="268"/>
    </row>
    <row r="44" spans="1:256">
      <c r="A44" s="215"/>
      <c r="B44" s="216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0"/>
      <c r="O44" s="210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06"/>
      <c r="AB44" s="206"/>
      <c r="AC44" s="268"/>
      <c r="AD44" s="268"/>
      <c r="AE44" s="268"/>
      <c r="AF44" s="268"/>
      <c r="AG44" s="268"/>
      <c r="AH44" s="268"/>
      <c r="AI44" s="268"/>
      <c r="AJ44" s="268"/>
      <c r="AK44" s="268"/>
      <c r="AL44" s="268"/>
      <c r="AM44" s="268"/>
      <c r="AN44" s="206"/>
      <c r="AO44" s="206"/>
      <c r="AP44" s="268"/>
      <c r="AQ44" s="268"/>
      <c r="AR44" s="268"/>
      <c r="AS44" s="268"/>
      <c r="AT44" s="268"/>
      <c r="AU44" s="268"/>
      <c r="AV44" s="268"/>
      <c r="AW44" s="268"/>
      <c r="AX44" s="268"/>
      <c r="AY44" s="268"/>
      <c r="AZ44" s="268"/>
      <c r="BA44" s="206"/>
      <c r="BB44" s="206"/>
      <c r="BC44" s="268"/>
      <c r="BD44" s="268"/>
      <c r="BE44" s="268"/>
      <c r="BF44" s="268"/>
      <c r="BG44" s="268"/>
      <c r="BH44" s="268"/>
      <c r="BI44" s="268"/>
      <c r="BJ44" s="268"/>
      <c r="BK44" s="268"/>
      <c r="BL44" s="268"/>
      <c r="BM44" s="268"/>
      <c r="BN44" s="206"/>
      <c r="BO44" s="206"/>
      <c r="BP44" s="268"/>
      <c r="BQ44" s="268"/>
      <c r="BR44" s="268"/>
      <c r="BS44" s="268"/>
      <c r="BT44" s="268"/>
      <c r="BU44" s="268"/>
      <c r="BV44" s="268"/>
      <c r="BW44" s="268"/>
      <c r="BX44" s="268"/>
      <c r="BY44" s="268"/>
      <c r="BZ44" s="268"/>
      <c r="CA44" s="206"/>
      <c r="CB44" s="206"/>
      <c r="CC44" s="268"/>
      <c r="CD44" s="268"/>
      <c r="CE44" s="268"/>
      <c r="CF44" s="268"/>
      <c r="CG44" s="268"/>
      <c r="CH44" s="268"/>
      <c r="CI44" s="268"/>
      <c r="CJ44" s="268"/>
      <c r="CK44" s="268"/>
      <c r="CL44" s="268"/>
      <c r="CM44" s="268"/>
      <c r="CN44" s="206"/>
      <c r="CO44" s="206"/>
      <c r="CP44" s="268"/>
      <c r="CQ44" s="268"/>
      <c r="CR44" s="268"/>
      <c r="CS44" s="268"/>
      <c r="CT44" s="268"/>
      <c r="CU44" s="268"/>
      <c r="CV44" s="268"/>
      <c r="CW44" s="268"/>
      <c r="CX44" s="268"/>
      <c r="CY44" s="268"/>
      <c r="CZ44" s="268"/>
      <c r="DA44" s="206"/>
      <c r="DB44" s="206"/>
      <c r="DC44" s="268"/>
      <c r="DD44" s="268"/>
      <c r="DE44" s="268"/>
      <c r="DF44" s="268"/>
      <c r="DG44" s="268"/>
      <c r="DH44" s="268"/>
      <c r="DI44" s="268"/>
      <c r="DJ44" s="268"/>
      <c r="DK44" s="268"/>
      <c r="DL44" s="268"/>
      <c r="DM44" s="268"/>
      <c r="DN44" s="206"/>
      <c r="DO44" s="206"/>
      <c r="DP44" s="268"/>
      <c r="DQ44" s="268"/>
      <c r="DR44" s="268"/>
      <c r="DS44" s="268"/>
      <c r="DT44" s="268"/>
      <c r="DU44" s="268"/>
      <c r="DV44" s="268"/>
      <c r="DW44" s="268"/>
      <c r="DX44" s="268"/>
      <c r="DY44" s="268"/>
      <c r="DZ44" s="268"/>
      <c r="EA44" s="206"/>
      <c r="EB44" s="206"/>
      <c r="EC44" s="268"/>
      <c r="ED44" s="268"/>
      <c r="EE44" s="268"/>
      <c r="EF44" s="268"/>
      <c r="EG44" s="268"/>
      <c r="EH44" s="268"/>
      <c r="EI44" s="268"/>
      <c r="EJ44" s="268"/>
      <c r="EK44" s="268"/>
      <c r="EL44" s="268"/>
      <c r="EM44" s="268"/>
      <c r="EN44" s="206"/>
      <c r="EO44" s="206"/>
      <c r="EP44" s="268"/>
      <c r="EQ44" s="268"/>
      <c r="ER44" s="268"/>
      <c r="ES44" s="268"/>
      <c r="ET44" s="268"/>
      <c r="EU44" s="268"/>
      <c r="EV44" s="268"/>
      <c r="EW44" s="268"/>
      <c r="EX44" s="268"/>
      <c r="EY44" s="268"/>
      <c r="EZ44" s="268"/>
      <c r="FA44" s="206"/>
      <c r="FB44" s="206"/>
      <c r="FC44" s="268"/>
      <c r="FD44" s="268"/>
      <c r="FE44" s="268"/>
      <c r="FF44" s="268"/>
      <c r="FG44" s="268"/>
      <c r="FH44" s="268"/>
      <c r="FI44" s="268"/>
      <c r="FJ44" s="268"/>
      <c r="FK44" s="268"/>
      <c r="FL44" s="268"/>
      <c r="FM44" s="268"/>
      <c r="FN44" s="206"/>
      <c r="FO44" s="206"/>
      <c r="FP44" s="268"/>
      <c r="FQ44" s="268"/>
      <c r="FR44" s="268"/>
      <c r="FS44" s="268"/>
      <c r="FT44" s="268"/>
      <c r="FU44" s="268"/>
      <c r="FV44" s="268"/>
      <c r="FW44" s="268"/>
      <c r="FX44" s="268"/>
      <c r="FY44" s="268"/>
      <c r="FZ44" s="268"/>
      <c r="GA44" s="206"/>
      <c r="GB44" s="206"/>
      <c r="GC44" s="268"/>
      <c r="GD44" s="268"/>
      <c r="GE44" s="268"/>
      <c r="GF44" s="268"/>
      <c r="GG44" s="268"/>
      <c r="GH44" s="268"/>
      <c r="GI44" s="268"/>
      <c r="GJ44" s="268"/>
      <c r="GK44" s="268"/>
      <c r="GL44" s="268"/>
      <c r="GM44" s="268"/>
      <c r="GN44" s="206"/>
      <c r="GO44" s="206"/>
      <c r="GP44" s="268"/>
      <c r="GQ44" s="268"/>
      <c r="GR44" s="268"/>
      <c r="GS44" s="268"/>
      <c r="GT44" s="268"/>
      <c r="GU44" s="268"/>
      <c r="GV44" s="268"/>
      <c r="GW44" s="268"/>
      <c r="GX44" s="268"/>
      <c r="GY44" s="268"/>
      <c r="GZ44" s="268"/>
      <c r="HA44" s="206"/>
      <c r="HB44" s="206"/>
      <c r="HC44" s="268"/>
      <c r="HD44" s="268"/>
      <c r="HE44" s="268"/>
      <c r="HF44" s="268"/>
      <c r="HG44" s="268"/>
      <c r="HH44" s="268"/>
      <c r="HI44" s="268"/>
      <c r="HJ44" s="268"/>
      <c r="HK44" s="268"/>
      <c r="HL44" s="268"/>
      <c r="HM44" s="268"/>
      <c r="HN44" s="206"/>
      <c r="HO44" s="206"/>
      <c r="HP44" s="268"/>
      <c r="HQ44" s="268"/>
      <c r="HR44" s="268"/>
      <c r="HS44" s="268"/>
      <c r="HT44" s="268"/>
      <c r="HU44" s="268"/>
      <c r="HV44" s="268"/>
      <c r="HW44" s="268"/>
      <c r="HX44" s="268"/>
      <c r="HY44" s="268"/>
      <c r="HZ44" s="268"/>
      <c r="IA44" s="206"/>
      <c r="IB44" s="206"/>
      <c r="IC44" s="268"/>
      <c r="ID44" s="268"/>
      <c r="IE44" s="268"/>
      <c r="IF44" s="268"/>
      <c r="IG44" s="268"/>
      <c r="IH44" s="268"/>
      <c r="II44" s="268"/>
      <c r="IJ44" s="268"/>
      <c r="IK44" s="268"/>
      <c r="IL44" s="268"/>
      <c r="IM44" s="268"/>
      <c r="IN44" s="206"/>
      <c r="IO44" s="206"/>
      <c r="IP44" s="268"/>
      <c r="IQ44" s="268"/>
      <c r="IR44" s="268"/>
      <c r="IS44" s="268"/>
      <c r="IT44" s="268"/>
      <c r="IU44" s="268"/>
      <c r="IV44" s="268"/>
    </row>
    <row r="45" spans="1:256">
      <c r="A45" s="215"/>
      <c r="B45" s="216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0"/>
      <c r="O45" s="210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  <c r="AA45" s="206"/>
      <c r="AB45" s="206"/>
      <c r="AC45" s="268"/>
      <c r="AD45" s="268"/>
      <c r="AE45" s="268"/>
      <c r="AF45" s="268"/>
      <c r="AG45" s="268"/>
      <c r="AH45" s="268"/>
      <c r="AI45" s="268"/>
      <c r="AJ45" s="268"/>
      <c r="AK45" s="268"/>
      <c r="AL45" s="268"/>
      <c r="AM45" s="268"/>
      <c r="AN45" s="206"/>
      <c r="AO45" s="206"/>
      <c r="AP45" s="268"/>
      <c r="AQ45" s="268"/>
      <c r="AR45" s="268"/>
      <c r="AS45" s="268"/>
      <c r="AT45" s="268"/>
      <c r="AU45" s="268"/>
      <c r="AV45" s="268"/>
      <c r="AW45" s="268"/>
      <c r="AX45" s="268"/>
      <c r="AY45" s="268"/>
      <c r="AZ45" s="268"/>
      <c r="BA45" s="206"/>
      <c r="BB45" s="206"/>
      <c r="BC45" s="268"/>
      <c r="BD45" s="268"/>
      <c r="BE45" s="268"/>
      <c r="BF45" s="268"/>
      <c r="BG45" s="268"/>
      <c r="BH45" s="268"/>
      <c r="BI45" s="268"/>
      <c r="BJ45" s="268"/>
      <c r="BK45" s="268"/>
      <c r="BL45" s="268"/>
      <c r="BM45" s="268"/>
      <c r="BN45" s="206"/>
      <c r="BO45" s="206"/>
      <c r="BP45" s="268"/>
      <c r="BQ45" s="268"/>
      <c r="BR45" s="268"/>
      <c r="BS45" s="268"/>
      <c r="BT45" s="268"/>
      <c r="BU45" s="268"/>
      <c r="BV45" s="268"/>
      <c r="BW45" s="268"/>
      <c r="BX45" s="268"/>
      <c r="BY45" s="268"/>
      <c r="BZ45" s="268"/>
      <c r="CA45" s="206"/>
      <c r="CB45" s="206"/>
      <c r="CC45" s="268"/>
      <c r="CD45" s="268"/>
      <c r="CE45" s="268"/>
      <c r="CF45" s="268"/>
      <c r="CG45" s="268"/>
      <c r="CH45" s="268"/>
      <c r="CI45" s="268"/>
      <c r="CJ45" s="268"/>
      <c r="CK45" s="268"/>
      <c r="CL45" s="268"/>
      <c r="CM45" s="268"/>
      <c r="CN45" s="206"/>
      <c r="CO45" s="206"/>
      <c r="CP45" s="268"/>
      <c r="CQ45" s="268"/>
      <c r="CR45" s="268"/>
      <c r="CS45" s="268"/>
      <c r="CT45" s="268"/>
      <c r="CU45" s="268"/>
      <c r="CV45" s="268"/>
      <c r="CW45" s="268"/>
      <c r="CX45" s="268"/>
      <c r="CY45" s="268"/>
      <c r="CZ45" s="268"/>
      <c r="DA45" s="206"/>
      <c r="DB45" s="206"/>
      <c r="DC45" s="268"/>
      <c r="DD45" s="268"/>
      <c r="DE45" s="268"/>
      <c r="DF45" s="268"/>
      <c r="DG45" s="268"/>
      <c r="DH45" s="268"/>
      <c r="DI45" s="268"/>
      <c r="DJ45" s="268"/>
      <c r="DK45" s="268"/>
      <c r="DL45" s="268"/>
      <c r="DM45" s="268"/>
      <c r="DN45" s="206"/>
      <c r="DO45" s="206"/>
      <c r="DP45" s="268"/>
      <c r="DQ45" s="268"/>
      <c r="DR45" s="268"/>
      <c r="DS45" s="268"/>
      <c r="DT45" s="268"/>
      <c r="DU45" s="268"/>
      <c r="DV45" s="268"/>
      <c r="DW45" s="268"/>
      <c r="DX45" s="268"/>
      <c r="DY45" s="268"/>
      <c r="DZ45" s="268"/>
      <c r="EA45" s="206"/>
      <c r="EB45" s="206"/>
      <c r="EC45" s="268"/>
      <c r="ED45" s="268"/>
      <c r="EE45" s="268"/>
      <c r="EF45" s="268"/>
      <c r="EG45" s="268"/>
      <c r="EH45" s="268"/>
      <c r="EI45" s="268"/>
      <c r="EJ45" s="268"/>
      <c r="EK45" s="268"/>
      <c r="EL45" s="268"/>
      <c r="EM45" s="268"/>
      <c r="EN45" s="206"/>
      <c r="EO45" s="206"/>
      <c r="EP45" s="268"/>
      <c r="EQ45" s="268"/>
      <c r="ER45" s="268"/>
      <c r="ES45" s="268"/>
      <c r="ET45" s="268"/>
      <c r="EU45" s="268"/>
      <c r="EV45" s="268"/>
      <c r="EW45" s="268"/>
      <c r="EX45" s="268"/>
      <c r="EY45" s="268"/>
      <c r="EZ45" s="268"/>
      <c r="FA45" s="206"/>
      <c r="FB45" s="206"/>
      <c r="FC45" s="268"/>
      <c r="FD45" s="268"/>
      <c r="FE45" s="268"/>
      <c r="FF45" s="268"/>
      <c r="FG45" s="268"/>
      <c r="FH45" s="268"/>
      <c r="FI45" s="268"/>
      <c r="FJ45" s="268"/>
      <c r="FK45" s="268"/>
      <c r="FL45" s="268"/>
      <c r="FM45" s="268"/>
      <c r="FN45" s="206"/>
      <c r="FO45" s="206"/>
      <c r="FP45" s="268"/>
      <c r="FQ45" s="268"/>
      <c r="FR45" s="268"/>
      <c r="FS45" s="268"/>
      <c r="FT45" s="268"/>
      <c r="FU45" s="268"/>
      <c r="FV45" s="268"/>
      <c r="FW45" s="268"/>
      <c r="FX45" s="268"/>
      <c r="FY45" s="268"/>
      <c r="FZ45" s="268"/>
      <c r="GA45" s="206"/>
      <c r="GB45" s="206"/>
      <c r="GC45" s="268"/>
      <c r="GD45" s="268"/>
      <c r="GE45" s="268"/>
      <c r="GF45" s="268"/>
      <c r="GG45" s="268"/>
      <c r="GH45" s="268"/>
      <c r="GI45" s="268"/>
      <c r="GJ45" s="268"/>
      <c r="GK45" s="268"/>
      <c r="GL45" s="268"/>
      <c r="GM45" s="268"/>
      <c r="GN45" s="206"/>
      <c r="GO45" s="206"/>
      <c r="GP45" s="268"/>
      <c r="GQ45" s="268"/>
      <c r="GR45" s="268"/>
      <c r="GS45" s="268"/>
      <c r="GT45" s="268"/>
      <c r="GU45" s="268"/>
      <c r="GV45" s="268"/>
      <c r="GW45" s="268"/>
      <c r="GX45" s="268"/>
      <c r="GY45" s="268"/>
      <c r="GZ45" s="268"/>
      <c r="HA45" s="206"/>
      <c r="HB45" s="206"/>
      <c r="HC45" s="268"/>
      <c r="HD45" s="268"/>
      <c r="HE45" s="268"/>
      <c r="HF45" s="268"/>
      <c r="HG45" s="268"/>
      <c r="HH45" s="268"/>
      <c r="HI45" s="268"/>
      <c r="HJ45" s="268"/>
      <c r="HK45" s="268"/>
      <c r="HL45" s="268"/>
      <c r="HM45" s="268"/>
      <c r="HN45" s="206"/>
      <c r="HO45" s="206"/>
      <c r="HP45" s="268"/>
      <c r="HQ45" s="268"/>
      <c r="HR45" s="268"/>
      <c r="HS45" s="268"/>
      <c r="HT45" s="268"/>
      <c r="HU45" s="268"/>
      <c r="HV45" s="268"/>
      <c r="HW45" s="268"/>
      <c r="HX45" s="268"/>
      <c r="HY45" s="268"/>
      <c r="HZ45" s="268"/>
      <c r="IA45" s="206"/>
      <c r="IB45" s="206"/>
      <c r="IC45" s="268"/>
      <c r="ID45" s="268"/>
      <c r="IE45" s="268"/>
      <c r="IF45" s="268"/>
      <c r="IG45" s="268"/>
      <c r="IH45" s="268"/>
      <c r="II45" s="268"/>
      <c r="IJ45" s="268"/>
      <c r="IK45" s="268"/>
      <c r="IL45" s="268"/>
      <c r="IM45" s="268"/>
      <c r="IN45" s="206"/>
      <c r="IO45" s="206"/>
      <c r="IP45" s="268"/>
      <c r="IQ45" s="268"/>
      <c r="IR45" s="268"/>
      <c r="IS45" s="268"/>
      <c r="IT45" s="268"/>
      <c r="IU45" s="268"/>
      <c r="IV45" s="268"/>
    </row>
    <row r="46" spans="1:256">
      <c r="A46" s="215"/>
      <c r="B46" s="216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0"/>
      <c r="O46" s="210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  <c r="AA46" s="206"/>
      <c r="AB46" s="206"/>
      <c r="AC46" s="268"/>
      <c r="AD46" s="268"/>
      <c r="AE46" s="268"/>
      <c r="AF46" s="268"/>
      <c r="AG46" s="268"/>
      <c r="AH46" s="268"/>
      <c r="AI46" s="268"/>
      <c r="AJ46" s="268"/>
      <c r="AK46" s="268"/>
      <c r="AL46" s="268"/>
      <c r="AM46" s="268"/>
      <c r="AN46" s="206"/>
      <c r="AO46" s="206"/>
      <c r="AP46" s="268"/>
      <c r="AQ46" s="268"/>
      <c r="AR46" s="268"/>
      <c r="AS46" s="268"/>
      <c r="AT46" s="268"/>
      <c r="AU46" s="268"/>
      <c r="AV46" s="268"/>
      <c r="AW46" s="268"/>
      <c r="AX46" s="268"/>
      <c r="AY46" s="268"/>
      <c r="AZ46" s="268"/>
      <c r="BA46" s="206"/>
      <c r="BB46" s="206"/>
      <c r="BC46" s="268"/>
      <c r="BD46" s="268"/>
      <c r="BE46" s="268"/>
      <c r="BF46" s="268"/>
      <c r="BG46" s="268"/>
      <c r="BH46" s="268"/>
      <c r="BI46" s="268"/>
      <c r="BJ46" s="268"/>
      <c r="BK46" s="268"/>
      <c r="BL46" s="268"/>
      <c r="BM46" s="268"/>
      <c r="BN46" s="206"/>
      <c r="BO46" s="206"/>
      <c r="BP46" s="268"/>
      <c r="BQ46" s="268"/>
      <c r="BR46" s="268"/>
      <c r="BS46" s="268"/>
      <c r="BT46" s="268"/>
      <c r="BU46" s="268"/>
      <c r="BV46" s="268"/>
      <c r="BW46" s="268"/>
      <c r="BX46" s="268"/>
      <c r="BY46" s="268"/>
      <c r="BZ46" s="268"/>
      <c r="CA46" s="206"/>
      <c r="CB46" s="206"/>
      <c r="CC46" s="268"/>
      <c r="CD46" s="268"/>
      <c r="CE46" s="268"/>
      <c r="CF46" s="268"/>
      <c r="CG46" s="268"/>
      <c r="CH46" s="268"/>
      <c r="CI46" s="268"/>
      <c r="CJ46" s="268"/>
      <c r="CK46" s="268"/>
      <c r="CL46" s="268"/>
      <c r="CM46" s="268"/>
      <c r="CN46" s="206"/>
      <c r="CO46" s="206"/>
      <c r="CP46" s="268"/>
      <c r="CQ46" s="268"/>
      <c r="CR46" s="268"/>
      <c r="CS46" s="268"/>
      <c r="CT46" s="268"/>
      <c r="CU46" s="268"/>
      <c r="CV46" s="268"/>
      <c r="CW46" s="268"/>
      <c r="CX46" s="268"/>
      <c r="CY46" s="268"/>
      <c r="CZ46" s="268"/>
      <c r="DA46" s="206"/>
      <c r="DB46" s="206"/>
      <c r="DC46" s="268"/>
      <c r="DD46" s="268"/>
      <c r="DE46" s="268"/>
      <c r="DF46" s="268"/>
      <c r="DG46" s="268"/>
      <c r="DH46" s="268"/>
      <c r="DI46" s="268"/>
      <c r="DJ46" s="268"/>
      <c r="DK46" s="268"/>
      <c r="DL46" s="268"/>
      <c r="DM46" s="268"/>
      <c r="DN46" s="206"/>
      <c r="DO46" s="206"/>
      <c r="DP46" s="268"/>
      <c r="DQ46" s="268"/>
      <c r="DR46" s="268"/>
      <c r="DS46" s="268"/>
      <c r="DT46" s="268"/>
      <c r="DU46" s="268"/>
      <c r="DV46" s="268"/>
      <c r="DW46" s="268"/>
      <c r="DX46" s="268"/>
      <c r="DY46" s="268"/>
      <c r="DZ46" s="268"/>
      <c r="EA46" s="206"/>
      <c r="EB46" s="206"/>
      <c r="EC46" s="268"/>
      <c r="ED46" s="268"/>
      <c r="EE46" s="268"/>
      <c r="EF46" s="268"/>
      <c r="EG46" s="268"/>
      <c r="EH46" s="268"/>
      <c r="EI46" s="268"/>
      <c r="EJ46" s="268"/>
      <c r="EK46" s="268"/>
      <c r="EL46" s="268"/>
      <c r="EM46" s="268"/>
      <c r="EN46" s="206"/>
      <c r="EO46" s="206"/>
      <c r="EP46" s="268"/>
      <c r="EQ46" s="268"/>
      <c r="ER46" s="268"/>
      <c r="ES46" s="268"/>
      <c r="ET46" s="268"/>
      <c r="EU46" s="268"/>
      <c r="EV46" s="268"/>
      <c r="EW46" s="268"/>
      <c r="EX46" s="268"/>
      <c r="EY46" s="268"/>
      <c r="EZ46" s="268"/>
      <c r="FA46" s="206"/>
      <c r="FB46" s="206"/>
      <c r="FC46" s="268"/>
      <c r="FD46" s="268"/>
      <c r="FE46" s="268"/>
      <c r="FF46" s="268"/>
      <c r="FG46" s="268"/>
      <c r="FH46" s="268"/>
      <c r="FI46" s="268"/>
      <c r="FJ46" s="268"/>
      <c r="FK46" s="268"/>
      <c r="FL46" s="268"/>
      <c r="FM46" s="268"/>
      <c r="FN46" s="206"/>
      <c r="FO46" s="206"/>
      <c r="FP46" s="268"/>
      <c r="FQ46" s="268"/>
      <c r="FR46" s="268"/>
      <c r="FS46" s="268"/>
      <c r="FT46" s="268"/>
      <c r="FU46" s="268"/>
      <c r="FV46" s="268"/>
      <c r="FW46" s="268"/>
      <c r="FX46" s="268"/>
      <c r="FY46" s="268"/>
      <c r="FZ46" s="268"/>
      <c r="GA46" s="206"/>
      <c r="GB46" s="206"/>
      <c r="GC46" s="268"/>
      <c r="GD46" s="268"/>
      <c r="GE46" s="268"/>
      <c r="GF46" s="268"/>
      <c r="GG46" s="268"/>
      <c r="GH46" s="268"/>
      <c r="GI46" s="268"/>
      <c r="GJ46" s="268"/>
      <c r="GK46" s="268"/>
      <c r="GL46" s="268"/>
      <c r="GM46" s="268"/>
      <c r="GN46" s="206"/>
      <c r="GO46" s="206"/>
      <c r="GP46" s="268"/>
      <c r="GQ46" s="268"/>
      <c r="GR46" s="268"/>
      <c r="GS46" s="268"/>
      <c r="GT46" s="268"/>
      <c r="GU46" s="268"/>
      <c r="GV46" s="268"/>
      <c r="GW46" s="268"/>
      <c r="GX46" s="268"/>
      <c r="GY46" s="268"/>
      <c r="GZ46" s="268"/>
      <c r="HA46" s="206"/>
      <c r="HB46" s="206"/>
      <c r="HC46" s="268"/>
      <c r="HD46" s="268"/>
      <c r="HE46" s="268"/>
      <c r="HF46" s="268"/>
      <c r="HG46" s="268"/>
      <c r="HH46" s="268"/>
      <c r="HI46" s="268"/>
      <c r="HJ46" s="268"/>
      <c r="HK46" s="268"/>
      <c r="HL46" s="268"/>
      <c r="HM46" s="268"/>
      <c r="HN46" s="206"/>
      <c r="HO46" s="206"/>
      <c r="HP46" s="268"/>
      <c r="HQ46" s="268"/>
      <c r="HR46" s="268"/>
      <c r="HS46" s="268"/>
      <c r="HT46" s="268"/>
      <c r="HU46" s="268"/>
      <c r="HV46" s="268"/>
      <c r="HW46" s="268"/>
      <c r="HX46" s="268"/>
      <c r="HY46" s="268"/>
      <c r="HZ46" s="268"/>
      <c r="IA46" s="206"/>
      <c r="IB46" s="206"/>
      <c r="IC46" s="268"/>
      <c r="ID46" s="268"/>
      <c r="IE46" s="268"/>
      <c r="IF46" s="268"/>
      <c r="IG46" s="268"/>
      <c r="IH46" s="268"/>
      <c r="II46" s="268"/>
      <c r="IJ46" s="268"/>
      <c r="IK46" s="268"/>
      <c r="IL46" s="268"/>
      <c r="IM46" s="268"/>
      <c r="IN46" s="206"/>
      <c r="IO46" s="206"/>
      <c r="IP46" s="268"/>
      <c r="IQ46" s="268"/>
      <c r="IR46" s="268"/>
      <c r="IS46" s="268"/>
      <c r="IT46" s="268"/>
      <c r="IU46" s="268"/>
      <c r="IV46" s="268"/>
    </row>
    <row r="47" spans="1:256">
      <c r="A47" s="215"/>
      <c r="B47" s="216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0"/>
      <c r="O47" s="210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  <c r="AA47" s="206"/>
      <c r="AB47" s="206"/>
      <c r="AC47" s="268"/>
      <c r="AD47" s="268"/>
      <c r="AE47" s="268"/>
      <c r="AF47" s="268"/>
      <c r="AG47" s="268"/>
      <c r="AH47" s="268"/>
      <c r="AI47" s="268"/>
      <c r="AJ47" s="268"/>
      <c r="AK47" s="268"/>
      <c r="AL47" s="268"/>
      <c r="AM47" s="268"/>
      <c r="AN47" s="206"/>
      <c r="AO47" s="206"/>
      <c r="AP47" s="268"/>
      <c r="AQ47" s="268"/>
      <c r="AR47" s="268"/>
      <c r="AS47" s="268"/>
      <c r="AT47" s="268"/>
      <c r="AU47" s="268"/>
      <c r="AV47" s="268"/>
      <c r="AW47" s="268"/>
      <c r="AX47" s="268"/>
      <c r="AY47" s="268"/>
      <c r="AZ47" s="268"/>
      <c r="BA47" s="206"/>
      <c r="BB47" s="206"/>
      <c r="BC47" s="268"/>
      <c r="BD47" s="268"/>
      <c r="BE47" s="268"/>
      <c r="BF47" s="268"/>
      <c r="BG47" s="268"/>
      <c r="BH47" s="268"/>
      <c r="BI47" s="268"/>
      <c r="BJ47" s="268"/>
      <c r="BK47" s="268"/>
      <c r="BL47" s="268"/>
      <c r="BM47" s="268"/>
      <c r="BN47" s="206"/>
      <c r="BO47" s="206"/>
      <c r="BP47" s="268"/>
      <c r="BQ47" s="268"/>
      <c r="BR47" s="268"/>
      <c r="BS47" s="268"/>
      <c r="BT47" s="268"/>
      <c r="BU47" s="268"/>
      <c r="BV47" s="268"/>
      <c r="BW47" s="268"/>
      <c r="BX47" s="268"/>
      <c r="BY47" s="268"/>
      <c r="BZ47" s="268"/>
      <c r="CA47" s="206"/>
      <c r="CB47" s="206"/>
      <c r="CC47" s="268"/>
      <c r="CD47" s="268"/>
      <c r="CE47" s="268"/>
      <c r="CF47" s="268"/>
      <c r="CG47" s="268"/>
      <c r="CH47" s="268"/>
      <c r="CI47" s="268"/>
      <c r="CJ47" s="268"/>
      <c r="CK47" s="268"/>
      <c r="CL47" s="268"/>
      <c r="CM47" s="268"/>
      <c r="CN47" s="206"/>
      <c r="CO47" s="206"/>
      <c r="CP47" s="268"/>
      <c r="CQ47" s="268"/>
      <c r="CR47" s="268"/>
      <c r="CS47" s="268"/>
      <c r="CT47" s="268"/>
      <c r="CU47" s="268"/>
      <c r="CV47" s="268"/>
      <c r="CW47" s="268"/>
      <c r="CX47" s="268"/>
      <c r="CY47" s="268"/>
      <c r="CZ47" s="268"/>
      <c r="DA47" s="206"/>
      <c r="DB47" s="206"/>
      <c r="DC47" s="268"/>
      <c r="DD47" s="268"/>
      <c r="DE47" s="268"/>
      <c r="DF47" s="268"/>
      <c r="DG47" s="268"/>
      <c r="DH47" s="268"/>
      <c r="DI47" s="268"/>
      <c r="DJ47" s="268"/>
      <c r="DK47" s="268"/>
      <c r="DL47" s="268"/>
      <c r="DM47" s="268"/>
      <c r="DN47" s="206"/>
      <c r="DO47" s="206"/>
      <c r="DP47" s="268"/>
      <c r="DQ47" s="268"/>
      <c r="DR47" s="268"/>
      <c r="DS47" s="268"/>
      <c r="DT47" s="268"/>
      <c r="DU47" s="268"/>
      <c r="DV47" s="268"/>
      <c r="DW47" s="268"/>
      <c r="DX47" s="268"/>
      <c r="DY47" s="268"/>
      <c r="DZ47" s="268"/>
      <c r="EA47" s="206"/>
      <c r="EB47" s="206"/>
      <c r="EC47" s="268"/>
      <c r="ED47" s="268"/>
      <c r="EE47" s="268"/>
      <c r="EF47" s="268"/>
      <c r="EG47" s="268"/>
      <c r="EH47" s="268"/>
      <c r="EI47" s="268"/>
      <c r="EJ47" s="268"/>
      <c r="EK47" s="268"/>
      <c r="EL47" s="268"/>
      <c r="EM47" s="268"/>
      <c r="EN47" s="206"/>
      <c r="EO47" s="206"/>
      <c r="EP47" s="268"/>
      <c r="EQ47" s="268"/>
      <c r="ER47" s="268"/>
      <c r="ES47" s="268"/>
      <c r="ET47" s="268"/>
      <c r="EU47" s="268"/>
      <c r="EV47" s="268"/>
      <c r="EW47" s="268"/>
      <c r="EX47" s="268"/>
      <c r="EY47" s="268"/>
      <c r="EZ47" s="268"/>
      <c r="FA47" s="206"/>
      <c r="FB47" s="206"/>
      <c r="FC47" s="268"/>
      <c r="FD47" s="268"/>
      <c r="FE47" s="268"/>
      <c r="FF47" s="268"/>
      <c r="FG47" s="268"/>
      <c r="FH47" s="268"/>
      <c r="FI47" s="268"/>
      <c r="FJ47" s="268"/>
      <c r="FK47" s="268"/>
      <c r="FL47" s="268"/>
      <c r="FM47" s="268"/>
      <c r="FN47" s="206"/>
      <c r="FO47" s="206"/>
      <c r="FP47" s="268"/>
      <c r="FQ47" s="268"/>
      <c r="FR47" s="268"/>
      <c r="FS47" s="268"/>
      <c r="FT47" s="268"/>
      <c r="FU47" s="268"/>
      <c r="FV47" s="268"/>
      <c r="FW47" s="268"/>
      <c r="FX47" s="268"/>
      <c r="FY47" s="268"/>
      <c r="FZ47" s="268"/>
      <c r="GA47" s="206"/>
      <c r="GB47" s="206"/>
      <c r="GC47" s="268"/>
      <c r="GD47" s="268"/>
      <c r="GE47" s="268"/>
      <c r="GF47" s="268"/>
      <c r="GG47" s="268"/>
      <c r="GH47" s="268"/>
      <c r="GI47" s="268"/>
      <c r="GJ47" s="268"/>
      <c r="GK47" s="268"/>
      <c r="GL47" s="268"/>
      <c r="GM47" s="268"/>
      <c r="GN47" s="206"/>
      <c r="GO47" s="206"/>
      <c r="GP47" s="268"/>
      <c r="GQ47" s="268"/>
      <c r="GR47" s="268"/>
      <c r="GS47" s="268"/>
      <c r="GT47" s="268"/>
      <c r="GU47" s="268"/>
      <c r="GV47" s="268"/>
      <c r="GW47" s="268"/>
      <c r="GX47" s="268"/>
      <c r="GY47" s="268"/>
      <c r="GZ47" s="268"/>
      <c r="HA47" s="206"/>
      <c r="HB47" s="206"/>
      <c r="HC47" s="268"/>
      <c r="HD47" s="268"/>
      <c r="HE47" s="268"/>
      <c r="HF47" s="268"/>
      <c r="HG47" s="268"/>
      <c r="HH47" s="268"/>
      <c r="HI47" s="268"/>
      <c r="HJ47" s="268"/>
      <c r="HK47" s="268"/>
      <c r="HL47" s="268"/>
      <c r="HM47" s="268"/>
      <c r="HN47" s="206"/>
      <c r="HO47" s="206"/>
      <c r="HP47" s="268"/>
      <c r="HQ47" s="268"/>
      <c r="HR47" s="268"/>
      <c r="HS47" s="268"/>
      <c r="HT47" s="268"/>
      <c r="HU47" s="268"/>
      <c r="HV47" s="268"/>
      <c r="HW47" s="268"/>
      <c r="HX47" s="268"/>
      <c r="HY47" s="268"/>
      <c r="HZ47" s="268"/>
      <c r="IA47" s="206"/>
      <c r="IB47" s="206"/>
      <c r="IC47" s="268"/>
      <c r="ID47" s="268"/>
      <c r="IE47" s="268"/>
      <c r="IF47" s="268"/>
      <c r="IG47" s="268"/>
      <c r="IH47" s="268"/>
      <c r="II47" s="268"/>
      <c r="IJ47" s="268"/>
      <c r="IK47" s="268"/>
      <c r="IL47" s="268"/>
      <c r="IM47" s="268"/>
      <c r="IN47" s="206"/>
      <c r="IO47" s="206"/>
      <c r="IP47" s="268"/>
      <c r="IQ47" s="268"/>
      <c r="IR47" s="268"/>
      <c r="IS47" s="268"/>
      <c r="IT47" s="268"/>
      <c r="IU47" s="268"/>
      <c r="IV47" s="268"/>
    </row>
    <row r="48" spans="1:256">
      <c r="A48" s="215"/>
      <c r="B48" s="216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0"/>
      <c r="O48" s="210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  <c r="AA48" s="206"/>
      <c r="AB48" s="206"/>
      <c r="AC48" s="268"/>
      <c r="AD48" s="268"/>
      <c r="AE48" s="268"/>
      <c r="AF48" s="268"/>
      <c r="AG48" s="268"/>
      <c r="AH48" s="268"/>
      <c r="AI48" s="268"/>
      <c r="AJ48" s="268"/>
      <c r="AK48" s="268"/>
      <c r="AL48" s="268"/>
      <c r="AM48" s="268"/>
      <c r="AN48" s="206"/>
      <c r="AO48" s="206"/>
      <c r="AP48" s="268"/>
      <c r="AQ48" s="268"/>
      <c r="AR48" s="268"/>
      <c r="AS48" s="268"/>
      <c r="AT48" s="268"/>
      <c r="AU48" s="268"/>
      <c r="AV48" s="268"/>
      <c r="AW48" s="268"/>
      <c r="AX48" s="268"/>
      <c r="AY48" s="268"/>
      <c r="AZ48" s="268"/>
      <c r="BA48" s="206"/>
      <c r="BB48" s="206"/>
      <c r="BC48" s="268"/>
      <c r="BD48" s="268"/>
      <c r="BE48" s="268"/>
      <c r="BF48" s="268"/>
      <c r="BG48" s="268"/>
      <c r="BH48" s="268"/>
      <c r="BI48" s="268"/>
      <c r="BJ48" s="268"/>
      <c r="BK48" s="268"/>
      <c r="BL48" s="268"/>
      <c r="BM48" s="268"/>
      <c r="BN48" s="206"/>
      <c r="BO48" s="206"/>
      <c r="BP48" s="268"/>
      <c r="BQ48" s="268"/>
      <c r="BR48" s="268"/>
      <c r="BS48" s="268"/>
      <c r="BT48" s="268"/>
      <c r="BU48" s="268"/>
      <c r="BV48" s="268"/>
      <c r="BW48" s="268"/>
      <c r="BX48" s="268"/>
      <c r="BY48" s="268"/>
      <c r="BZ48" s="268"/>
      <c r="CA48" s="206"/>
      <c r="CB48" s="206"/>
      <c r="CC48" s="268"/>
      <c r="CD48" s="268"/>
      <c r="CE48" s="268"/>
      <c r="CF48" s="268"/>
      <c r="CG48" s="268"/>
      <c r="CH48" s="268"/>
      <c r="CI48" s="268"/>
      <c r="CJ48" s="268"/>
      <c r="CK48" s="268"/>
      <c r="CL48" s="268"/>
      <c r="CM48" s="268"/>
      <c r="CN48" s="206"/>
      <c r="CO48" s="206"/>
      <c r="CP48" s="268"/>
      <c r="CQ48" s="268"/>
      <c r="CR48" s="268"/>
      <c r="CS48" s="268"/>
      <c r="CT48" s="268"/>
      <c r="CU48" s="268"/>
      <c r="CV48" s="268"/>
      <c r="CW48" s="268"/>
      <c r="CX48" s="268"/>
      <c r="CY48" s="268"/>
      <c r="CZ48" s="268"/>
      <c r="DA48" s="206"/>
      <c r="DB48" s="206"/>
      <c r="DC48" s="268"/>
      <c r="DD48" s="268"/>
      <c r="DE48" s="268"/>
      <c r="DF48" s="268"/>
      <c r="DG48" s="268"/>
      <c r="DH48" s="268"/>
      <c r="DI48" s="268"/>
      <c r="DJ48" s="268"/>
      <c r="DK48" s="268"/>
      <c r="DL48" s="268"/>
      <c r="DM48" s="268"/>
      <c r="DN48" s="206"/>
      <c r="DO48" s="206"/>
      <c r="DP48" s="268"/>
      <c r="DQ48" s="268"/>
      <c r="DR48" s="268"/>
      <c r="DS48" s="268"/>
      <c r="DT48" s="268"/>
      <c r="DU48" s="268"/>
      <c r="DV48" s="268"/>
      <c r="DW48" s="268"/>
      <c r="DX48" s="268"/>
      <c r="DY48" s="268"/>
      <c r="DZ48" s="268"/>
      <c r="EA48" s="206"/>
      <c r="EB48" s="206"/>
      <c r="EC48" s="268"/>
      <c r="ED48" s="268"/>
      <c r="EE48" s="268"/>
      <c r="EF48" s="268"/>
      <c r="EG48" s="268"/>
      <c r="EH48" s="268"/>
      <c r="EI48" s="268"/>
      <c r="EJ48" s="268"/>
      <c r="EK48" s="268"/>
      <c r="EL48" s="268"/>
      <c r="EM48" s="268"/>
      <c r="EN48" s="206"/>
      <c r="EO48" s="206"/>
      <c r="EP48" s="268"/>
      <c r="EQ48" s="268"/>
      <c r="ER48" s="268"/>
      <c r="ES48" s="268"/>
      <c r="ET48" s="268"/>
      <c r="EU48" s="268"/>
      <c r="EV48" s="268"/>
      <c r="EW48" s="268"/>
      <c r="EX48" s="268"/>
      <c r="EY48" s="268"/>
      <c r="EZ48" s="268"/>
      <c r="FA48" s="206"/>
      <c r="FB48" s="206"/>
      <c r="FC48" s="268"/>
      <c r="FD48" s="268"/>
      <c r="FE48" s="268"/>
      <c r="FF48" s="268"/>
      <c r="FG48" s="268"/>
      <c r="FH48" s="268"/>
      <c r="FI48" s="268"/>
      <c r="FJ48" s="268"/>
      <c r="FK48" s="268"/>
      <c r="FL48" s="268"/>
      <c r="FM48" s="268"/>
      <c r="FN48" s="206"/>
      <c r="FO48" s="206"/>
      <c r="FP48" s="268"/>
      <c r="FQ48" s="268"/>
      <c r="FR48" s="268"/>
      <c r="FS48" s="268"/>
      <c r="FT48" s="268"/>
      <c r="FU48" s="268"/>
      <c r="FV48" s="268"/>
      <c r="FW48" s="268"/>
      <c r="FX48" s="268"/>
      <c r="FY48" s="268"/>
      <c r="FZ48" s="268"/>
      <c r="GA48" s="206"/>
      <c r="GB48" s="206"/>
      <c r="GC48" s="268"/>
      <c r="GD48" s="268"/>
      <c r="GE48" s="268"/>
      <c r="GF48" s="268"/>
      <c r="GG48" s="268"/>
      <c r="GH48" s="268"/>
      <c r="GI48" s="268"/>
      <c r="GJ48" s="268"/>
      <c r="GK48" s="268"/>
      <c r="GL48" s="268"/>
      <c r="GM48" s="268"/>
      <c r="GN48" s="206"/>
      <c r="GO48" s="206"/>
      <c r="GP48" s="268"/>
      <c r="GQ48" s="268"/>
      <c r="GR48" s="268"/>
      <c r="GS48" s="268"/>
      <c r="GT48" s="268"/>
      <c r="GU48" s="268"/>
      <c r="GV48" s="268"/>
      <c r="GW48" s="268"/>
      <c r="GX48" s="268"/>
      <c r="GY48" s="268"/>
      <c r="GZ48" s="268"/>
      <c r="HA48" s="206"/>
      <c r="HB48" s="206"/>
      <c r="HC48" s="268"/>
      <c r="HD48" s="268"/>
      <c r="HE48" s="268"/>
      <c r="HF48" s="268"/>
      <c r="HG48" s="268"/>
      <c r="HH48" s="268"/>
      <c r="HI48" s="268"/>
      <c r="HJ48" s="268"/>
      <c r="HK48" s="268"/>
      <c r="HL48" s="268"/>
      <c r="HM48" s="268"/>
      <c r="HN48" s="206"/>
      <c r="HO48" s="206"/>
      <c r="HP48" s="268"/>
      <c r="HQ48" s="268"/>
      <c r="HR48" s="268"/>
      <c r="HS48" s="268"/>
      <c r="HT48" s="268"/>
      <c r="HU48" s="268"/>
      <c r="HV48" s="268"/>
      <c r="HW48" s="268"/>
      <c r="HX48" s="268"/>
      <c r="HY48" s="268"/>
      <c r="HZ48" s="268"/>
      <c r="IA48" s="206"/>
      <c r="IB48" s="206"/>
      <c r="IC48" s="268"/>
      <c r="ID48" s="268"/>
      <c r="IE48" s="268"/>
      <c r="IF48" s="268"/>
      <c r="IG48" s="268"/>
      <c r="IH48" s="268"/>
      <c r="II48" s="268"/>
      <c r="IJ48" s="268"/>
      <c r="IK48" s="268"/>
      <c r="IL48" s="268"/>
      <c r="IM48" s="268"/>
      <c r="IN48" s="206"/>
      <c r="IO48" s="206"/>
      <c r="IP48" s="268"/>
      <c r="IQ48" s="268"/>
      <c r="IR48" s="268"/>
      <c r="IS48" s="268"/>
      <c r="IT48" s="268"/>
      <c r="IU48" s="268"/>
      <c r="IV48" s="268"/>
    </row>
    <row r="49" spans="1:256">
      <c r="A49" s="215"/>
      <c r="B49" s="216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0"/>
      <c r="O49" s="210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  <c r="AA49" s="206"/>
      <c r="AB49" s="206"/>
      <c r="AC49" s="268"/>
      <c r="AD49" s="268"/>
      <c r="AE49" s="268"/>
      <c r="AF49" s="268"/>
      <c r="AG49" s="268"/>
      <c r="AH49" s="268"/>
      <c r="AI49" s="268"/>
      <c r="AJ49" s="268"/>
      <c r="AK49" s="268"/>
      <c r="AL49" s="268"/>
      <c r="AM49" s="268"/>
      <c r="AN49" s="206"/>
      <c r="AO49" s="206"/>
      <c r="AP49" s="268"/>
      <c r="AQ49" s="268"/>
      <c r="AR49" s="268"/>
      <c r="AS49" s="268"/>
      <c r="AT49" s="268"/>
      <c r="AU49" s="268"/>
      <c r="AV49" s="268"/>
      <c r="AW49" s="268"/>
      <c r="AX49" s="268"/>
      <c r="AY49" s="268"/>
      <c r="AZ49" s="268"/>
      <c r="BA49" s="206"/>
      <c r="BB49" s="206"/>
      <c r="BC49" s="268"/>
      <c r="BD49" s="268"/>
      <c r="BE49" s="268"/>
      <c r="BF49" s="268"/>
      <c r="BG49" s="268"/>
      <c r="BH49" s="268"/>
      <c r="BI49" s="268"/>
      <c r="BJ49" s="268"/>
      <c r="BK49" s="268"/>
      <c r="BL49" s="268"/>
      <c r="BM49" s="268"/>
      <c r="BN49" s="206"/>
      <c r="BO49" s="206"/>
      <c r="BP49" s="268"/>
      <c r="BQ49" s="268"/>
      <c r="BR49" s="268"/>
      <c r="BS49" s="268"/>
      <c r="BT49" s="268"/>
      <c r="BU49" s="268"/>
      <c r="BV49" s="268"/>
      <c r="BW49" s="268"/>
      <c r="BX49" s="268"/>
      <c r="BY49" s="268"/>
      <c r="BZ49" s="268"/>
      <c r="CA49" s="206"/>
      <c r="CB49" s="206"/>
      <c r="CC49" s="268"/>
      <c r="CD49" s="268"/>
      <c r="CE49" s="268"/>
      <c r="CF49" s="268"/>
      <c r="CG49" s="268"/>
      <c r="CH49" s="268"/>
      <c r="CI49" s="268"/>
      <c r="CJ49" s="268"/>
      <c r="CK49" s="268"/>
      <c r="CL49" s="268"/>
      <c r="CM49" s="268"/>
      <c r="CN49" s="206"/>
      <c r="CO49" s="206"/>
      <c r="CP49" s="268"/>
      <c r="CQ49" s="268"/>
      <c r="CR49" s="268"/>
      <c r="CS49" s="268"/>
      <c r="CT49" s="268"/>
      <c r="CU49" s="268"/>
      <c r="CV49" s="268"/>
      <c r="CW49" s="268"/>
      <c r="CX49" s="268"/>
      <c r="CY49" s="268"/>
      <c r="CZ49" s="268"/>
      <c r="DA49" s="206"/>
      <c r="DB49" s="206"/>
      <c r="DC49" s="268"/>
      <c r="DD49" s="268"/>
      <c r="DE49" s="268"/>
      <c r="DF49" s="268"/>
      <c r="DG49" s="268"/>
      <c r="DH49" s="268"/>
      <c r="DI49" s="268"/>
      <c r="DJ49" s="268"/>
      <c r="DK49" s="268"/>
      <c r="DL49" s="268"/>
      <c r="DM49" s="268"/>
      <c r="DN49" s="206"/>
      <c r="DO49" s="206"/>
      <c r="DP49" s="268"/>
      <c r="DQ49" s="268"/>
      <c r="DR49" s="268"/>
      <c r="DS49" s="268"/>
      <c r="DT49" s="268"/>
      <c r="DU49" s="268"/>
      <c r="DV49" s="268"/>
      <c r="DW49" s="268"/>
      <c r="DX49" s="268"/>
      <c r="DY49" s="268"/>
      <c r="DZ49" s="268"/>
      <c r="EA49" s="206"/>
      <c r="EB49" s="206"/>
      <c r="EC49" s="268"/>
      <c r="ED49" s="268"/>
      <c r="EE49" s="268"/>
      <c r="EF49" s="268"/>
      <c r="EG49" s="268"/>
      <c r="EH49" s="268"/>
      <c r="EI49" s="268"/>
      <c r="EJ49" s="268"/>
      <c r="EK49" s="268"/>
      <c r="EL49" s="268"/>
      <c r="EM49" s="268"/>
      <c r="EN49" s="206"/>
      <c r="EO49" s="206"/>
      <c r="EP49" s="268"/>
      <c r="EQ49" s="268"/>
      <c r="ER49" s="268"/>
      <c r="ES49" s="268"/>
      <c r="ET49" s="268"/>
      <c r="EU49" s="268"/>
      <c r="EV49" s="268"/>
      <c r="EW49" s="268"/>
      <c r="EX49" s="268"/>
      <c r="EY49" s="268"/>
      <c r="EZ49" s="268"/>
      <c r="FA49" s="206"/>
      <c r="FB49" s="206"/>
      <c r="FC49" s="268"/>
      <c r="FD49" s="268"/>
      <c r="FE49" s="268"/>
      <c r="FF49" s="268"/>
      <c r="FG49" s="268"/>
      <c r="FH49" s="268"/>
      <c r="FI49" s="268"/>
      <c r="FJ49" s="268"/>
      <c r="FK49" s="268"/>
      <c r="FL49" s="268"/>
      <c r="FM49" s="268"/>
      <c r="FN49" s="206"/>
      <c r="FO49" s="206"/>
      <c r="FP49" s="268"/>
      <c r="FQ49" s="268"/>
      <c r="FR49" s="268"/>
      <c r="FS49" s="268"/>
      <c r="FT49" s="268"/>
      <c r="FU49" s="268"/>
      <c r="FV49" s="268"/>
      <c r="FW49" s="268"/>
      <c r="FX49" s="268"/>
      <c r="FY49" s="268"/>
      <c r="FZ49" s="268"/>
      <c r="GA49" s="206"/>
      <c r="GB49" s="206"/>
      <c r="GC49" s="268"/>
      <c r="GD49" s="268"/>
      <c r="GE49" s="268"/>
      <c r="GF49" s="268"/>
      <c r="GG49" s="268"/>
      <c r="GH49" s="268"/>
      <c r="GI49" s="268"/>
      <c r="GJ49" s="268"/>
      <c r="GK49" s="268"/>
      <c r="GL49" s="268"/>
      <c r="GM49" s="268"/>
      <c r="GN49" s="206"/>
      <c r="GO49" s="206"/>
      <c r="GP49" s="268"/>
      <c r="GQ49" s="268"/>
      <c r="GR49" s="268"/>
      <c r="GS49" s="268"/>
      <c r="GT49" s="268"/>
      <c r="GU49" s="268"/>
      <c r="GV49" s="268"/>
      <c r="GW49" s="268"/>
      <c r="GX49" s="268"/>
      <c r="GY49" s="268"/>
      <c r="GZ49" s="268"/>
      <c r="HA49" s="206"/>
      <c r="HB49" s="206"/>
      <c r="HC49" s="268"/>
      <c r="HD49" s="268"/>
      <c r="HE49" s="268"/>
      <c r="HF49" s="268"/>
      <c r="HG49" s="268"/>
      <c r="HH49" s="268"/>
      <c r="HI49" s="268"/>
      <c r="HJ49" s="268"/>
      <c r="HK49" s="268"/>
      <c r="HL49" s="268"/>
      <c r="HM49" s="268"/>
      <c r="HN49" s="206"/>
      <c r="HO49" s="206"/>
      <c r="HP49" s="268"/>
      <c r="HQ49" s="268"/>
      <c r="HR49" s="268"/>
      <c r="HS49" s="268"/>
      <c r="HT49" s="268"/>
      <c r="HU49" s="268"/>
      <c r="HV49" s="268"/>
      <c r="HW49" s="268"/>
      <c r="HX49" s="268"/>
      <c r="HY49" s="268"/>
      <c r="HZ49" s="268"/>
      <c r="IA49" s="206"/>
      <c r="IB49" s="206"/>
      <c r="IC49" s="268"/>
      <c r="ID49" s="268"/>
      <c r="IE49" s="268"/>
      <c r="IF49" s="268"/>
      <c r="IG49" s="268"/>
      <c r="IH49" s="268"/>
      <c r="II49" s="268"/>
      <c r="IJ49" s="268"/>
      <c r="IK49" s="268"/>
      <c r="IL49" s="268"/>
      <c r="IM49" s="268"/>
      <c r="IN49" s="206"/>
      <c r="IO49" s="206"/>
      <c r="IP49" s="268"/>
      <c r="IQ49" s="268"/>
      <c r="IR49" s="268"/>
      <c r="IS49" s="268"/>
      <c r="IT49" s="268"/>
      <c r="IU49" s="268"/>
      <c r="IV49" s="268"/>
    </row>
    <row r="50" spans="1:256">
      <c r="A50" s="215"/>
      <c r="B50" s="216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>
      <c r="A51" s="215"/>
      <c r="B51" s="216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>
      <c r="A52" s="215"/>
      <c r="B52" s="216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>
      <c r="A53" s="215"/>
      <c r="B53" s="216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>
      <c r="A54" s="215"/>
      <c r="B54" s="216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>
      <c r="A55" s="215"/>
      <c r="B55" s="216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>
      <c r="A56" s="215"/>
      <c r="B56" s="216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>
      <c r="A57" s="215"/>
      <c r="B57" s="216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>
      <c r="A58" s="215"/>
      <c r="B58" s="216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>
      <c r="A59" s="215"/>
      <c r="B59" s="216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>
      <c r="A60" s="215"/>
      <c r="B60" s="216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>
      <c r="A61" s="215"/>
      <c r="B61" s="216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>
      <c r="A62" s="215"/>
      <c r="B62" s="216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>
      <c r="A63" s="215"/>
      <c r="B63" s="216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>
      <c r="A64" s="215"/>
      <c r="B64" s="216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>
      <c r="A65" s="215"/>
      <c r="B65" s="216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>
      <c r="A66" s="215"/>
      <c r="B66" s="216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>
      <c r="A67" s="215"/>
      <c r="B67" s="216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>
      <c r="A68" s="215"/>
      <c r="B68" s="216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>
      <c r="A69" s="215"/>
      <c r="B69" s="216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>
      <c r="A70" s="217"/>
      <c r="B70" s="218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>
      <c r="A71" s="207"/>
      <c r="B71" s="207"/>
      <c r="C71" s="208"/>
      <c r="D71" s="208"/>
      <c r="E71" s="208"/>
      <c r="F71" s="208"/>
      <c r="G71" s="208"/>
      <c r="H71" s="208"/>
      <c r="I71" s="208"/>
      <c r="J71" s="208"/>
      <c r="K71" s="208"/>
      <c r="L71" s="208"/>
    </row>
    <row r="72" spans="1:13" ht="12.75">
      <c r="A72" s="285" t="s">
        <v>897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>
      <c r="A73" s="209" t="s">
        <v>895</v>
      </c>
      <c r="B73" s="209" t="s">
        <v>896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>
      <c r="A74" s="210"/>
      <c r="B74" s="210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>
      <c r="A75" s="210"/>
      <c r="B75" s="210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>
      <c r="A76" s="210"/>
      <c r="B76" s="210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>
      <c r="A77" s="210"/>
      <c r="B77" s="210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>
      <c r="A78" s="210"/>
      <c r="B78" s="210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>
      <c r="A79" s="210"/>
      <c r="B79" s="210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>
      <c r="A80" s="210"/>
      <c r="B80" s="210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>
      <c r="A81" s="210"/>
      <c r="B81" s="210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>
      <c r="A82" s="210"/>
      <c r="B82" s="210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>
      <c r="A83" s="210"/>
      <c r="B83" s="210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>
      <c r="A84" s="210"/>
      <c r="B84" s="210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>
      <c r="A85" s="210"/>
      <c r="B85" s="210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>
      <c r="A86" s="210"/>
      <c r="B86" s="210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>
      <c r="A87" s="210"/>
      <c r="B87" s="210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>
      <c r="A88" s="210"/>
      <c r="B88" s="210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>
      <c r="A89" s="210"/>
      <c r="B89" s="210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>
      <c r="A90" s="210"/>
      <c r="B90" s="210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30A" sheet="1" objects="1" scenarios="1"/>
  <mergeCells count="223">
    <mergeCell ref="DC40:DM40"/>
    <mergeCell ref="DP40:DZ40"/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IP38:IV38"/>
    <mergeCell ref="CC39:CM39"/>
    <mergeCell ref="CP39:CZ39"/>
    <mergeCell ref="IP39:IV39"/>
    <mergeCell ref="GP38:GZ38"/>
    <mergeCell ref="HC38:HM38"/>
    <mergeCell ref="HP38:HZ38"/>
    <mergeCell ref="BP39:BZ39"/>
    <mergeCell ref="BC40:BM40"/>
    <mergeCell ref="BP40:BZ40"/>
    <mergeCell ref="FC40:FM40"/>
    <mergeCell ref="HC39:HM39"/>
    <mergeCell ref="DC39:DM39"/>
    <mergeCell ref="DP39:DZ39"/>
    <mergeCell ref="EC39:EM39"/>
    <mergeCell ref="EP39:EZ39"/>
    <mergeCell ref="FC39:FM39"/>
    <mergeCell ref="IP40:IV40"/>
    <mergeCell ref="GC40:GM40"/>
    <mergeCell ref="GP40:GZ40"/>
    <mergeCell ref="HC40:HM40"/>
    <mergeCell ref="HP40:HZ40"/>
    <mergeCell ref="EC40:EM40"/>
    <mergeCell ref="EP40:EZ40"/>
    <mergeCell ref="DC38:DM38"/>
    <mergeCell ref="DP38:DZ38"/>
    <mergeCell ref="EC38:EM38"/>
    <mergeCell ref="C51:M51"/>
    <mergeCell ref="P39:Z39"/>
    <mergeCell ref="AC39:AM39"/>
    <mergeCell ref="AP39:AZ39"/>
    <mergeCell ref="HP39:HZ39"/>
    <mergeCell ref="IC39:IM39"/>
    <mergeCell ref="AP40:AZ40"/>
    <mergeCell ref="C42:M42"/>
    <mergeCell ref="FP39:FZ39"/>
    <mergeCell ref="GC39:GM39"/>
    <mergeCell ref="GP39:GZ39"/>
    <mergeCell ref="C45:M45"/>
    <mergeCell ref="C46:M46"/>
    <mergeCell ref="FP40:FZ40"/>
    <mergeCell ref="C50:M50"/>
    <mergeCell ref="C47:M47"/>
    <mergeCell ref="C48:M48"/>
    <mergeCell ref="C49:M49"/>
    <mergeCell ref="IC40:IM40"/>
    <mergeCell ref="CC40:CM40"/>
    <mergeCell ref="CP40:CZ40"/>
    <mergeCell ref="AC38:AM38"/>
    <mergeCell ref="AP38:AZ38"/>
    <mergeCell ref="C43:M43"/>
    <mergeCell ref="P40:Z40"/>
    <mergeCell ref="AC40:AM40"/>
    <mergeCell ref="HP31:HZ31"/>
    <mergeCell ref="GC31:GM31"/>
    <mergeCell ref="GP31:GZ31"/>
    <mergeCell ref="HC31:HM31"/>
    <mergeCell ref="DP31:DZ31"/>
    <mergeCell ref="HC32:HM32"/>
    <mergeCell ref="DC32:DM32"/>
    <mergeCell ref="DP32:DZ32"/>
    <mergeCell ref="EC32:EM32"/>
    <mergeCell ref="EP32:EZ32"/>
    <mergeCell ref="P32:Z32"/>
    <mergeCell ref="AC32:AM32"/>
    <mergeCell ref="AP32:AZ32"/>
    <mergeCell ref="P38:Z38"/>
    <mergeCell ref="BP32:BZ32"/>
    <mergeCell ref="BC38:BM38"/>
    <mergeCell ref="BP38:BZ38"/>
    <mergeCell ref="CC38:CM38"/>
    <mergeCell ref="CC32:CM32"/>
    <mergeCell ref="IP31:IV31"/>
    <mergeCell ref="CP32:CZ32"/>
    <mergeCell ref="HP32:HZ32"/>
    <mergeCell ref="IC32:IM32"/>
    <mergeCell ref="IP32:IV32"/>
    <mergeCell ref="FC32:FM32"/>
    <mergeCell ref="FP32:FZ32"/>
    <mergeCell ref="GC32:GM32"/>
    <mergeCell ref="FP31:FZ31"/>
    <mergeCell ref="GP32:GZ32"/>
    <mergeCell ref="BC31:BM31"/>
    <mergeCell ref="BC32:BM32"/>
    <mergeCell ref="BC39:BM39"/>
    <mergeCell ref="HC30:HM30"/>
    <mergeCell ref="HP30:HZ30"/>
    <mergeCell ref="IC30:IM30"/>
    <mergeCell ref="BC30:BM30"/>
    <mergeCell ref="BP30:BZ30"/>
    <mergeCell ref="CC30:CM30"/>
    <mergeCell ref="CP30:CZ30"/>
    <mergeCell ref="EC31:EM31"/>
    <mergeCell ref="EP31:EZ31"/>
    <mergeCell ref="FC31:FM31"/>
    <mergeCell ref="BP31:BZ31"/>
    <mergeCell ref="CC31:CM31"/>
    <mergeCell ref="CP31:CZ31"/>
    <mergeCell ref="DC31:DM31"/>
    <mergeCell ref="IC31:IM31"/>
    <mergeCell ref="IC38:IM38"/>
    <mergeCell ref="EP38:EZ38"/>
    <mergeCell ref="FC38:FM38"/>
    <mergeCell ref="FP38:FZ38"/>
    <mergeCell ref="GC38:GM38"/>
    <mergeCell ref="CP38:CZ38"/>
    <mergeCell ref="HP29:HZ29"/>
    <mergeCell ref="IC29:IM29"/>
    <mergeCell ref="IP29:IV29"/>
    <mergeCell ref="FC29:FM29"/>
    <mergeCell ref="FP29:FZ29"/>
    <mergeCell ref="GC29:GM29"/>
    <mergeCell ref="GP29:GZ29"/>
    <mergeCell ref="P30:Z30"/>
    <mergeCell ref="AC30:AM30"/>
    <mergeCell ref="AP30:AZ30"/>
    <mergeCell ref="IP30:IV30"/>
    <mergeCell ref="FC30:FM30"/>
    <mergeCell ref="FP30:FZ30"/>
    <mergeCell ref="GC30:GM30"/>
    <mergeCell ref="GP30:GZ30"/>
    <mergeCell ref="DC30:DM30"/>
    <mergeCell ref="DP30:DZ30"/>
    <mergeCell ref="EC30:EM30"/>
    <mergeCell ref="EP30:EZ30"/>
    <mergeCell ref="DC29:DM29"/>
    <mergeCell ref="DP29:DZ29"/>
    <mergeCell ref="EC29:EM29"/>
    <mergeCell ref="EP29:EZ29"/>
    <mergeCell ref="BC29:BM29"/>
    <mergeCell ref="BP29:BZ29"/>
    <mergeCell ref="CC29:CM29"/>
    <mergeCell ref="CP29:CZ29"/>
    <mergeCell ref="HC29:HM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C6:M6"/>
    <mergeCell ref="C7:M7"/>
    <mergeCell ref="C8:M8"/>
    <mergeCell ref="C9:M9"/>
    <mergeCell ref="C10:M10"/>
    <mergeCell ref="C11:M11"/>
    <mergeCell ref="A2:E2"/>
    <mergeCell ref="A1:I1"/>
    <mergeCell ref="C3:M3"/>
    <mergeCell ref="C4:M4"/>
    <mergeCell ref="F2:I2"/>
    <mergeCell ref="C5:M5"/>
    <mergeCell ref="C12:M12"/>
    <mergeCell ref="C13:M13"/>
    <mergeCell ref="C34:M34"/>
    <mergeCell ref="C35:M35"/>
    <mergeCell ref="C36:M36"/>
    <mergeCell ref="C14:M14"/>
    <mergeCell ref="C15:M15"/>
    <mergeCell ref="C16:M16"/>
    <mergeCell ref="C17:M17"/>
    <mergeCell ref="C18:M18"/>
    <mergeCell ref="C33:M33"/>
    <mergeCell ref="C68:M68"/>
    <mergeCell ref="C69:M69"/>
    <mergeCell ref="C70:M70"/>
    <mergeCell ref="A72:E72"/>
    <mergeCell ref="C73:M73"/>
    <mergeCell ref="C19:M19"/>
    <mergeCell ref="C62:M62"/>
    <mergeCell ref="C63:M63"/>
    <mergeCell ref="C64:M64"/>
    <mergeCell ref="C65:M65"/>
    <mergeCell ref="C66:M66"/>
    <mergeCell ref="C28:M28"/>
    <mergeCell ref="C21:M21"/>
    <mergeCell ref="C22:M22"/>
    <mergeCell ref="C23:M23"/>
    <mergeCell ref="C41:M41"/>
    <mergeCell ref="C37:M37"/>
    <mergeCell ref="C38:M38"/>
    <mergeCell ref="C39:M39"/>
    <mergeCell ref="C40:M40"/>
    <mergeCell ref="C44:M44"/>
    <mergeCell ref="C52:M52"/>
    <mergeCell ref="C24:M24"/>
    <mergeCell ref="C86:M86"/>
    <mergeCell ref="C87:M87"/>
    <mergeCell ref="C88:M88"/>
    <mergeCell ref="C89:M89"/>
    <mergeCell ref="C90:M90"/>
    <mergeCell ref="C20:M20"/>
    <mergeCell ref="C29:M29"/>
    <mergeCell ref="C25:M25"/>
    <mergeCell ref="C26:M26"/>
    <mergeCell ref="C27:M27"/>
    <mergeCell ref="C80:M80"/>
    <mergeCell ref="C81:M81"/>
    <mergeCell ref="C82:M82"/>
    <mergeCell ref="C83:M83"/>
    <mergeCell ref="C84:M84"/>
    <mergeCell ref="C85:M85"/>
    <mergeCell ref="C74:M74"/>
    <mergeCell ref="C75:M75"/>
    <mergeCell ref="C76:M76"/>
    <mergeCell ref="C77:M77"/>
    <mergeCell ref="C78:M78"/>
    <mergeCell ref="C79:M79"/>
    <mergeCell ref="C67:M67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 H Department of Education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cp:keywords/>
  <dc:description>Version for FY2006-07 School Year.</dc:description>
  <cp:lastModifiedBy>Eaton, Brian</cp:lastModifiedBy>
  <cp:revision/>
  <dcterms:created xsi:type="dcterms:W3CDTF">1997-12-04T19:04:30Z</dcterms:created>
  <dcterms:modified xsi:type="dcterms:W3CDTF">2025-01-13T18:52:31Z</dcterms:modified>
  <cp:category/>
  <cp:contentStatus/>
</cp:coreProperties>
</file>