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39767437-9658-4F97-8900-9E67EB5DE689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8A3F5825-A8B8-477F-8195-451350422F9E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1" l="1"/>
  <c r="F128" i="1"/>
  <c r="F132" i="1"/>
  <c r="G128" i="1"/>
  <c r="G132" i="1" s="1"/>
  <c r="C37" i="10"/>
  <c r="C60" i="2"/>
  <c r="B2" i="13"/>
  <c r="F8" i="13"/>
  <c r="G8" i="13"/>
  <c r="L196" i="1"/>
  <c r="C112" i="2" s="1"/>
  <c r="L214" i="1"/>
  <c r="L232" i="1"/>
  <c r="E8" i="13"/>
  <c r="D39" i="13"/>
  <c r="F13" i="13"/>
  <c r="E13" i="13" s="1"/>
  <c r="C13" i="13" s="1"/>
  <c r="G13" i="13"/>
  <c r="L198" i="1"/>
  <c r="L216" i="1"/>
  <c r="L234" i="1"/>
  <c r="F16" i="13"/>
  <c r="G16" i="13"/>
  <c r="L201" i="1"/>
  <c r="L219" i="1"/>
  <c r="L237" i="1"/>
  <c r="E16" i="13" s="1"/>
  <c r="C16" i="13" s="1"/>
  <c r="F5" i="13"/>
  <c r="D5" i="13" s="1"/>
  <c r="G5" i="13"/>
  <c r="L189" i="1"/>
  <c r="L190" i="1"/>
  <c r="L203" i="1" s="1"/>
  <c r="L191" i="1"/>
  <c r="L192" i="1"/>
  <c r="C13" i="10" s="1"/>
  <c r="L207" i="1"/>
  <c r="L208" i="1"/>
  <c r="L221" i="1" s="1"/>
  <c r="L209" i="1"/>
  <c r="C103" i="2" s="1"/>
  <c r="L210" i="1"/>
  <c r="L225" i="1"/>
  <c r="L239" i="1" s="1"/>
  <c r="L226" i="1"/>
  <c r="L227" i="1"/>
  <c r="L228" i="1"/>
  <c r="F6" i="13"/>
  <c r="G6" i="13"/>
  <c r="L194" i="1"/>
  <c r="C15" i="10" s="1"/>
  <c r="L212" i="1"/>
  <c r="L230" i="1"/>
  <c r="D6" i="13"/>
  <c r="C6" i="13" s="1"/>
  <c r="F7" i="13"/>
  <c r="G7" i="13"/>
  <c r="L195" i="1"/>
  <c r="C16" i="10" s="1"/>
  <c r="L213" i="1"/>
  <c r="L231" i="1"/>
  <c r="F12" i="13"/>
  <c r="G12" i="13"/>
  <c r="L197" i="1"/>
  <c r="C113" i="2" s="1"/>
  <c r="L215" i="1"/>
  <c r="L233" i="1"/>
  <c r="D12" i="13"/>
  <c r="C12" i="13" s="1"/>
  <c r="F14" i="13"/>
  <c r="G14" i="13"/>
  <c r="L199" i="1"/>
  <c r="D14" i="13" s="1"/>
  <c r="C14" i="13" s="1"/>
  <c r="L217" i="1"/>
  <c r="L235" i="1"/>
  <c r="F15" i="13"/>
  <c r="G15" i="13"/>
  <c r="L200" i="1"/>
  <c r="C21" i="10" s="1"/>
  <c r="L218" i="1"/>
  <c r="L236" i="1"/>
  <c r="G641" i="1" s="1"/>
  <c r="J641" i="1" s="1"/>
  <c r="D15" i="13"/>
  <c r="C15" i="13" s="1"/>
  <c r="F17" i="13"/>
  <c r="G17" i="13"/>
  <c r="L243" i="1"/>
  <c r="D17" i="13" s="1"/>
  <c r="C17" i="13" s="1"/>
  <c r="F18" i="13"/>
  <c r="G18" i="13"/>
  <c r="L244" i="1"/>
  <c r="C24" i="10" s="1"/>
  <c r="F19" i="13"/>
  <c r="G19" i="13"/>
  <c r="L245" i="1"/>
  <c r="D19" i="13"/>
  <c r="C19" i="13" s="1"/>
  <c r="F29" i="13"/>
  <c r="D29" i="13" s="1"/>
  <c r="C29" i="13" s="1"/>
  <c r="G29" i="13"/>
  <c r="L350" i="1"/>
  <c r="L354" i="1" s="1"/>
  <c r="L351" i="1"/>
  <c r="L352" i="1"/>
  <c r="I359" i="1"/>
  <c r="J282" i="1"/>
  <c r="J301" i="1"/>
  <c r="F31" i="13" s="1"/>
  <c r="J320" i="1"/>
  <c r="K282" i="1"/>
  <c r="G31" i="13" s="1"/>
  <c r="G33" i="13" s="1"/>
  <c r="K301" i="1"/>
  <c r="K320" i="1"/>
  <c r="L268" i="1"/>
  <c r="L269" i="1"/>
  <c r="L270" i="1"/>
  <c r="L271" i="1"/>
  <c r="L282" i="1" s="1"/>
  <c r="L273" i="1"/>
  <c r="L274" i="1"/>
  <c r="L275" i="1"/>
  <c r="L276" i="1"/>
  <c r="E113" i="2" s="1"/>
  <c r="L277" i="1"/>
  <c r="C19" i="10" s="1"/>
  <c r="L278" i="1"/>
  <c r="E115" i="2" s="1"/>
  <c r="L279" i="1"/>
  <c r="L280" i="1"/>
  <c r="L287" i="1"/>
  <c r="L288" i="1"/>
  <c r="L289" i="1"/>
  <c r="L301" i="1" s="1"/>
  <c r="L290" i="1"/>
  <c r="L292" i="1"/>
  <c r="L293" i="1"/>
  <c r="L294" i="1"/>
  <c r="E112" i="2" s="1"/>
  <c r="L295" i="1"/>
  <c r="L296" i="1"/>
  <c r="L297" i="1"/>
  <c r="L298" i="1"/>
  <c r="G652" i="1" s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H25" i="13" s="1"/>
  <c r="L253" i="1"/>
  <c r="C124" i="2" s="1"/>
  <c r="L333" i="1"/>
  <c r="L334" i="1"/>
  <c r="L247" i="1"/>
  <c r="F22" i="13" s="1"/>
  <c r="C22" i="13" s="1"/>
  <c r="L328" i="1"/>
  <c r="E122" i="2" s="1"/>
  <c r="C11" i="13"/>
  <c r="C10" i="13"/>
  <c r="C9" i="13"/>
  <c r="L353" i="1"/>
  <c r="B4" i="12"/>
  <c r="B36" i="12"/>
  <c r="C36" i="12"/>
  <c r="B40" i="12"/>
  <c r="C40" i="12"/>
  <c r="A40" i="12"/>
  <c r="B27" i="12"/>
  <c r="C27" i="12"/>
  <c r="B31" i="12"/>
  <c r="C31" i="12"/>
  <c r="A31" i="12"/>
  <c r="B9" i="12"/>
  <c r="B13" i="12"/>
  <c r="C9" i="12"/>
  <c r="C13" i="12"/>
  <c r="A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 s="1"/>
  <c r="L387" i="1"/>
  <c r="L388" i="1"/>
  <c r="L389" i="1"/>
  <c r="L390" i="1"/>
  <c r="L391" i="1"/>
  <c r="L392" i="1"/>
  <c r="L393" i="1"/>
  <c r="C131" i="2" s="1"/>
  <c r="L395" i="1"/>
  <c r="L399" i="1" s="1"/>
  <c r="C132" i="2" s="1"/>
  <c r="L396" i="1"/>
  <c r="L397" i="1"/>
  <c r="L398" i="1"/>
  <c r="L258" i="1"/>
  <c r="J52" i="1"/>
  <c r="J104" i="1" s="1"/>
  <c r="G51" i="2"/>
  <c r="G54" i="2" s="1"/>
  <c r="G53" i="2"/>
  <c r="F2" i="11"/>
  <c r="L603" i="1"/>
  <c r="H653" i="1" s="1"/>
  <c r="L602" i="1"/>
  <c r="G653" i="1" s="1"/>
  <c r="L601" i="1"/>
  <c r="F653" i="1"/>
  <c r="C40" i="10"/>
  <c r="F52" i="1"/>
  <c r="F104" i="1" s="1"/>
  <c r="F185" i="1" s="1"/>
  <c r="G617" i="1" s="1"/>
  <c r="J617" i="1" s="1"/>
  <c r="G52" i="1"/>
  <c r="H52" i="1"/>
  <c r="I52" i="1"/>
  <c r="C35" i="10" s="1"/>
  <c r="F71" i="1"/>
  <c r="F86" i="1"/>
  <c r="F103" i="1"/>
  <c r="G103" i="1"/>
  <c r="G104" i="1"/>
  <c r="H71" i="1"/>
  <c r="H86" i="1"/>
  <c r="H104" i="1" s="1"/>
  <c r="H185" i="1" s="1"/>
  <c r="G619" i="1" s="1"/>
  <c r="J619" i="1" s="1"/>
  <c r="H103" i="1"/>
  <c r="I103" i="1"/>
  <c r="J103" i="1"/>
  <c r="G113" i="1"/>
  <c r="H113" i="1"/>
  <c r="H128" i="1"/>
  <c r="H132" i="1" s="1"/>
  <c r="I113" i="1"/>
  <c r="I132" i="1" s="1"/>
  <c r="I128" i="1"/>
  <c r="J113" i="1"/>
  <c r="J132" i="1" s="1"/>
  <c r="J128" i="1"/>
  <c r="F139" i="1"/>
  <c r="F161" i="1" s="1"/>
  <c r="F154" i="1"/>
  <c r="G139" i="1"/>
  <c r="G154" i="1"/>
  <c r="G161" i="1" s="1"/>
  <c r="H139" i="1"/>
  <c r="H161" i="1" s="1"/>
  <c r="H154" i="1"/>
  <c r="I139" i="1"/>
  <c r="I161" i="1" s="1"/>
  <c r="I154" i="1"/>
  <c r="C10" i="10"/>
  <c r="C11" i="10"/>
  <c r="C12" i="10"/>
  <c r="C20" i="10"/>
  <c r="L242" i="1"/>
  <c r="L324" i="1"/>
  <c r="C23" i="10" s="1"/>
  <c r="L246" i="1"/>
  <c r="C116" i="2" s="1"/>
  <c r="L260" i="1"/>
  <c r="L261" i="1"/>
  <c r="L341" i="1"/>
  <c r="E134" i="2" s="1"/>
  <c r="L342" i="1"/>
  <c r="C26" i="10"/>
  <c r="I655" i="1"/>
  <c r="I660" i="1"/>
  <c r="F651" i="1"/>
  <c r="I651" i="1" s="1"/>
  <c r="G651" i="1"/>
  <c r="H651" i="1"/>
  <c r="H652" i="1"/>
  <c r="I659" i="1"/>
  <c r="C4" i="10"/>
  <c r="C42" i="10"/>
  <c r="C32" i="10"/>
  <c r="L366" i="1"/>
  <c r="L367" i="1"/>
  <c r="L368" i="1"/>
  <c r="L369" i="1"/>
  <c r="L370" i="1"/>
  <c r="L371" i="1"/>
  <c r="L372" i="1"/>
  <c r="B2" i="10"/>
  <c r="L336" i="1"/>
  <c r="L343" i="1" s="1"/>
  <c r="L337" i="1"/>
  <c r="E127" i="2" s="1"/>
  <c r="L338" i="1"/>
  <c r="L339" i="1"/>
  <c r="K343" i="1"/>
  <c r="L511" i="1"/>
  <c r="F539" i="1"/>
  <c r="K539" i="1" s="1"/>
  <c r="L512" i="1"/>
  <c r="L514" i="1" s="1"/>
  <c r="F540" i="1"/>
  <c r="L513" i="1"/>
  <c r="F541" i="1" s="1"/>
  <c r="L516" i="1"/>
  <c r="G539" i="1"/>
  <c r="L517" i="1"/>
  <c r="L519" i="1" s="1"/>
  <c r="G540" i="1"/>
  <c r="L518" i="1"/>
  <c r="G541" i="1"/>
  <c r="G542" i="1"/>
  <c r="L521" i="1"/>
  <c r="H539" i="1"/>
  <c r="L522" i="1"/>
  <c r="H540" i="1" s="1"/>
  <c r="L523" i="1"/>
  <c r="H541" i="1" s="1"/>
  <c r="L526" i="1"/>
  <c r="I539" i="1"/>
  <c r="L527" i="1"/>
  <c r="I540" i="1"/>
  <c r="L528" i="1"/>
  <c r="I541" i="1" s="1"/>
  <c r="I542" i="1" s="1"/>
  <c r="L531" i="1"/>
  <c r="J539" i="1" s="1"/>
  <c r="L532" i="1"/>
  <c r="J540" i="1" s="1"/>
  <c r="L533" i="1"/>
  <c r="L534" i="1" s="1"/>
  <c r="E124" i="2"/>
  <c r="E123" i="2"/>
  <c r="K262" i="1"/>
  <c r="J262" i="1"/>
  <c r="I262" i="1"/>
  <c r="H262" i="1"/>
  <c r="G262" i="1"/>
  <c r="F262" i="1"/>
  <c r="C123" i="2"/>
  <c r="A1" i="2"/>
  <c r="A2" i="2"/>
  <c r="C9" i="2"/>
  <c r="C19" i="2" s="1"/>
  <c r="D9" i="2"/>
  <c r="D19" i="2" s="1"/>
  <c r="E9" i="2"/>
  <c r="F9" i="2"/>
  <c r="I431" i="1"/>
  <c r="J9" i="1"/>
  <c r="C10" i="2"/>
  <c r="D10" i="2"/>
  <c r="E10" i="2"/>
  <c r="F10" i="2"/>
  <c r="I432" i="1"/>
  <c r="J10" i="1"/>
  <c r="G10" i="2" s="1"/>
  <c r="C11" i="2"/>
  <c r="C12" i="2"/>
  <c r="D12" i="2"/>
  <c r="E12" i="2"/>
  <c r="F12" i="2"/>
  <c r="I433" i="1"/>
  <c r="J12" i="1" s="1"/>
  <c r="G12" i="2" s="1"/>
  <c r="C13" i="2"/>
  <c r="D13" i="2"/>
  <c r="E13" i="2"/>
  <c r="E19" i="2" s="1"/>
  <c r="F13" i="2"/>
  <c r="I434" i="1"/>
  <c r="J13" i="1" s="1"/>
  <c r="G13" i="2" s="1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 s="1"/>
  <c r="F19" i="2"/>
  <c r="C22" i="2"/>
  <c r="D22" i="2"/>
  <c r="E22" i="2"/>
  <c r="F22" i="2"/>
  <c r="I440" i="1"/>
  <c r="J23" i="1"/>
  <c r="G22" i="2" s="1"/>
  <c r="C23" i="2"/>
  <c r="D23" i="2"/>
  <c r="E23" i="2"/>
  <c r="E32" i="2" s="1"/>
  <c r="F23" i="2"/>
  <c r="F32" i="2" s="1"/>
  <c r="I441" i="1"/>
  <c r="I444" i="1" s="1"/>
  <c r="J24" i="1"/>
  <c r="G23" i="2" s="1"/>
  <c r="C24" i="2"/>
  <c r="D24" i="2"/>
  <c r="E24" i="2"/>
  <c r="F24" i="2"/>
  <c r="I442" i="1"/>
  <c r="J25" i="1"/>
  <c r="G24" i="2" s="1"/>
  <c r="C25" i="2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2" i="2"/>
  <c r="C34" i="2"/>
  <c r="D34" i="2"/>
  <c r="E34" i="2"/>
  <c r="F34" i="2"/>
  <c r="C35" i="2"/>
  <c r="D35" i="2"/>
  <c r="D42" i="2" s="1"/>
  <c r="E35" i="2"/>
  <c r="F35" i="2"/>
  <c r="C36" i="2"/>
  <c r="D36" i="2"/>
  <c r="E36" i="2"/>
  <c r="F36" i="2"/>
  <c r="I446" i="1"/>
  <c r="J37" i="1" s="1"/>
  <c r="C37" i="2"/>
  <c r="D37" i="2"/>
  <c r="E37" i="2"/>
  <c r="E42" i="2" s="1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C42" i="2" s="1"/>
  <c r="C43" i="2" s="1"/>
  <c r="D40" i="2"/>
  <c r="E40" i="2"/>
  <c r="F40" i="2"/>
  <c r="I449" i="1"/>
  <c r="J41" i="1" s="1"/>
  <c r="G40" i="2" s="1"/>
  <c r="C41" i="2"/>
  <c r="D41" i="2"/>
  <c r="E41" i="2"/>
  <c r="F41" i="2"/>
  <c r="F42" i="2"/>
  <c r="C48" i="2"/>
  <c r="C55" i="2" s="1"/>
  <c r="D48" i="2"/>
  <c r="E48" i="2"/>
  <c r="F48" i="2"/>
  <c r="F55" i="2" s="1"/>
  <c r="C49" i="2"/>
  <c r="E49" i="2"/>
  <c r="C50" i="2"/>
  <c r="C51" i="2"/>
  <c r="D51" i="2"/>
  <c r="E51" i="2"/>
  <c r="F51" i="2"/>
  <c r="F54" i="2" s="1"/>
  <c r="D52" i="2"/>
  <c r="D54" i="2" s="1"/>
  <c r="D55" i="2" s="1"/>
  <c r="C53" i="2"/>
  <c r="D53" i="2"/>
  <c r="E53" i="2"/>
  <c r="F53" i="2"/>
  <c r="C54" i="2"/>
  <c r="C58" i="2"/>
  <c r="C62" i="2" s="1"/>
  <c r="C59" i="2"/>
  <c r="C61" i="2"/>
  <c r="D61" i="2"/>
  <c r="D62" i="2" s="1"/>
  <c r="E61" i="2"/>
  <c r="E62" i="2" s="1"/>
  <c r="F61" i="2"/>
  <c r="G61" i="2"/>
  <c r="F62" i="2"/>
  <c r="G62" i="2"/>
  <c r="C64" i="2"/>
  <c r="F64" i="2"/>
  <c r="F70" i="2" s="1"/>
  <c r="F73" i="2" s="1"/>
  <c r="C65" i="2"/>
  <c r="F65" i="2"/>
  <c r="C66" i="2"/>
  <c r="C70" i="2" s="1"/>
  <c r="C67" i="2"/>
  <c r="C68" i="2"/>
  <c r="E68" i="2"/>
  <c r="F68" i="2"/>
  <c r="C69" i="2"/>
  <c r="D69" i="2"/>
  <c r="E69" i="2"/>
  <c r="F69" i="2"/>
  <c r="G69" i="2"/>
  <c r="G70" i="2" s="1"/>
  <c r="G73" i="2" s="1"/>
  <c r="D70" i="2"/>
  <c r="D73" i="2" s="1"/>
  <c r="E70" i="2"/>
  <c r="C71" i="2"/>
  <c r="D71" i="2"/>
  <c r="E71" i="2"/>
  <c r="C72" i="2"/>
  <c r="E72" i="2"/>
  <c r="C77" i="2"/>
  <c r="D77" i="2"/>
  <c r="C79" i="2"/>
  <c r="E79" i="2"/>
  <c r="F79" i="2"/>
  <c r="C80" i="2"/>
  <c r="D80" i="2"/>
  <c r="D83" i="2" s="1"/>
  <c r="E80" i="2"/>
  <c r="F80" i="2"/>
  <c r="C81" i="2"/>
  <c r="C83" i="2" s="1"/>
  <c r="D81" i="2"/>
  <c r="E81" i="2"/>
  <c r="F81" i="2"/>
  <c r="C82" i="2"/>
  <c r="C85" i="2"/>
  <c r="C95" i="2" s="1"/>
  <c r="F85" i="2"/>
  <c r="F95" i="2" s="1"/>
  <c r="C86" i="2"/>
  <c r="F86" i="2"/>
  <c r="D88" i="2"/>
  <c r="E88" i="2"/>
  <c r="F88" i="2"/>
  <c r="G88" i="2"/>
  <c r="C89" i="2"/>
  <c r="D89" i="2"/>
  <c r="E89" i="2"/>
  <c r="E95" i="2" s="1"/>
  <c r="F89" i="2"/>
  <c r="G89" i="2"/>
  <c r="C90" i="2"/>
  <c r="D90" i="2"/>
  <c r="D95" i="2" s="1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E101" i="2"/>
  <c r="E102" i="2"/>
  <c r="E103" i="2"/>
  <c r="C104" i="2"/>
  <c r="E104" i="2"/>
  <c r="C105" i="2"/>
  <c r="D107" i="2"/>
  <c r="F107" i="2"/>
  <c r="F137" i="2" s="1"/>
  <c r="G107" i="2"/>
  <c r="C110" i="2"/>
  <c r="E110" i="2"/>
  <c r="C111" i="2"/>
  <c r="E111" i="2"/>
  <c r="C114" i="2"/>
  <c r="C115" i="2"/>
  <c r="E116" i="2"/>
  <c r="C117" i="2"/>
  <c r="E117" i="2"/>
  <c r="D119" i="2"/>
  <c r="D120" i="2" s="1"/>
  <c r="F120" i="2"/>
  <c r="G120" i="2"/>
  <c r="C122" i="2"/>
  <c r="F122" i="2"/>
  <c r="D126" i="2"/>
  <c r="D136" i="2" s="1"/>
  <c r="E126" i="2"/>
  <c r="F126" i="2"/>
  <c r="F136" i="2" s="1"/>
  <c r="K411" i="1"/>
  <c r="K426" i="1" s="1"/>
  <c r="G126" i="2" s="1"/>
  <c r="G136" i="2" s="1"/>
  <c r="K419" i="1"/>
  <c r="K425" i="1"/>
  <c r="L255" i="1"/>
  <c r="C127" i="2"/>
  <c r="L256" i="1"/>
  <c r="C128" i="2"/>
  <c r="L257" i="1"/>
  <c r="C129" i="2"/>
  <c r="E129" i="2"/>
  <c r="C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F490" i="1"/>
  <c r="K490" i="1" s="1"/>
  <c r="B153" i="2"/>
  <c r="G490" i="1"/>
  <c r="C153" i="2" s="1"/>
  <c r="H490" i="1"/>
  <c r="D153" i="2" s="1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G155" i="2" s="1"/>
  <c r="F155" i="2"/>
  <c r="F493" i="1"/>
  <c r="B156" i="2" s="1"/>
  <c r="G493" i="1"/>
  <c r="C156" i="2" s="1"/>
  <c r="H493" i="1"/>
  <c r="D156" i="2" s="1"/>
  <c r="I493" i="1"/>
  <c r="E156" i="2"/>
  <c r="J493" i="1"/>
  <c r="F156" i="2"/>
  <c r="F19" i="1"/>
  <c r="G19" i="1"/>
  <c r="G608" i="1" s="1"/>
  <c r="H19" i="1"/>
  <c r="G609" i="1" s="1"/>
  <c r="I19" i="1"/>
  <c r="G610" i="1" s="1"/>
  <c r="J610" i="1" s="1"/>
  <c r="F33" i="1"/>
  <c r="G33" i="1"/>
  <c r="H33" i="1"/>
  <c r="I33" i="1"/>
  <c r="F43" i="1"/>
  <c r="G612" i="1" s="1"/>
  <c r="J612" i="1" s="1"/>
  <c r="G43" i="1"/>
  <c r="H43" i="1"/>
  <c r="H44" i="1" s="1"/>
  <c r="H609" i="1" s="1"/>
  <c r="I43" i="1"/>
  <c r="I44" i="1" s="1"/>
  <c r="H610" i="1" s="1"/>
  <c r="F44" i="1"/>
  <c r="H607" i="1" s="1"/>
  <c r="G44" i="1"/>
  <c r="H608" i="1" s="1"/>
  <c r="F169" i="1"/>
  <c r="F184" i="1" s="1"/>
  <c r="I169" i="1"/>
  <c r="F175" i="1"/>
  <c r="G175" i="1"/>
  <c r="H175" i="1"/>
  <c r="H184" i="1" s="1"/>
  <c r="I175" i="1"/>
  <c r="I184" i="1" s="1"/>
  <c r="J175" i="1"/>
  <c r="J184" i="1" s="1"/>
  <c r="F180" i="1"/>
  <c r="G180" i="1"/>
  <c r="H180" i="1"/>
  <c r="I180" i="1"/>
  <c r="G184" i="1"/>
  <c r="F203" i="1"/>
  <c r="F249" i="1" s="1"/>
  <c r="F263" i="1" s="1"/>
  <c r="G203" i="1"/>
  <c r="H203" i="1"/>
  <c r="I203" i="1"/>
  <c r="I249" i="1" s="1"/>
  <c r="I263" i="1" s="1"/>
  <c r="J203" i="1"/>
  <c r="K203" i="1"/>
  <c r="K249" i="1" s="1"/>
  <c r="K263" i="1" s="1"/>
  <c r="F221" i="1"/>
  <c r="G221" i="1"/>
  <c r="G249" i="1" s="1"/>
  <c r="G263" i="1" s="1"/>
  <c r="H221" i="1"/>
  <c r="H249" i="1" s="1"/>
  <c r="H263" i="1" s="1"/>
  <c r="I221" i="1"/>
  <c r="J221" i="1"/>
  <c r="J249" i="1" s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L262" i="1"/>
  <c r="F282" i="1"/>
  <c r="F330" i="1" s="1"/>
  <c r="F344" i="1" s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G329" i="1"/>
  <c r="H329" i="1"/>
  <c r="I329" i="1"/>
  <c r="J329" i="1"/>
  <c r="J330" i="1" s="1"/>
  <c r="J344" i="1" s="1"/>
  <c r="K329" i="1"/>
  <c r="L329" i="1"/>
  <c r="F354" i="1"/>
  <c r="G354" i="1"/>
  <c r="H354" i="1"/>
  <c r="I354" i="1"/>
  <c r="G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L374" i="1"/>
  <c r="F385" i="1"/>
  <c r="G385" i="1"/>
  <c r="H385" i="1"/>
  <c r="I385" i="1"/>
  <c r="F393" i="1"/>
  <c r="G393" i="1"/>
  <c r="H393" i="1"/>
  <c r="I393" i="1"/>
  <c r="I400" i="1" s="1"/>
  <c r="F399" i="1"/>
  <c r="G399" i="1"/>
  <c r="H399" i="1"/>
  <c r="I399" i="1"/>
  <c r="F400" i="1"/>
  <c r="H633" i="1" s="1"/>
  <c r="G400" i="1"/>
  <c r="H635" i="1" s="1"/>
  <c r="H400" i="1"/>
  <c r="H634" i="1" s="1"/>
  <c r="J634" i="1" s="1"/>
  <c r="L405" i="1"/>
  <c r="L406" i="1"/>
  <c r="L407" i="1"/>
  <c r="L411" i="1" s="1"/>
  <c r="L426" i="1" s="1"/>
  <c r="G628" i="1" s="1"/>
  <c r="J628" i="1" s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J426" i="1" s="1"/>
  <c r="L425" i="1"/>
  <c r="F438" i="1"/>
  <c r="G629" i="1" s="1"/>
  <c r="G438" i="1"/>
  <c r="H438" i="1"/>
  <c r="I438" i="1"/>
  <c r="G632" i="1" s="1"/>
  <c r="F444" i="1"/>
  <c r="F451" i="1" s="1"/>
  <c r="H629" i="1" s="1"/>
  <c r="G444" i="1"/>
  <c r="G451" i="1" s="1"/>
  <c r="H630" i="1" s="1"/>
  <c r="J630" i="1" s="1"/>
  <c r="H444" i="1"/>
  <c r="F450" i="1"/>
  <c r="G450" i="1"/>
  <c r="H450" i="1"/>
  <c r="H451" i="1"/>
  <c r="H631" i="1" s="1"/>
  <c r="F460" i="1"/>
  <c r="F466" i="1" s="1"/>
  <c r="H612" i="1" s="1"/>
  <c r="G460" i="1"/>
  <c r="G466" i="1" s="1"/>
  <c r="H613" i="1" s="1"/>
  <c r="H460" i="1"/>
  <c r="I460" i="1"/>
  <c r="J460" i="1"/>
  <c r="F464" i="1"/>
  <c r="G464" i="1"/>
  <c r="H464" i="1"/>
  <c r="I464" i="1"/>
  <c r="J464" i="1"/>
  <c r="H466" i="1"/>
  <c r="I466" i="1"/>
  <c r="H615" i="1" s="1"/>
  <c r="J466" i="1"/>
  <c r="H616" i="1" s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G514" i="1"/>
  <c r="H514" i="1"/>
  <c r="H535" i="1" s="1"/>
  <c r="I514" i="1"/>
  <c r="J514" i="1"/>
  <c r="J535" i="1" s="1"/>
  <c r="K514" i="1"/>
  <c r="F519" i="1"/>
  <c r="F535" i="1" s="1"/>
  <c r="G519" i="1"/>
  <c r="G535" i="1" s="1"/>
  <c r="H519" i="1"/>
  <c r="I519" i="1"/>
  <c r="J519" i="1"/>
  <c r="K519" i="1"/>
  <c r="F524" i="1"/>
  <c r="G524" i="1"/>
  <c r="H524" i="1"/>
  <c r="I524" i="1"/>
  <c r="J524" i="1"/>
  <c r="K524" i="1"/>
  <c r="K535" i="1" s="1"/>
  <c r="L524" i="1"/>
  <c r="F529" i="1"/>
  <c r="G529" i="1"/>
  <c r="H529" i="1"/>
  <c r="I529" i="1"/>
  <c r="J529" i="1"/>
  <c r="K529" i="1"/>
  <c r="F534" i="1"/>
  <c r="G534" i="1"/>
  <c r="H534" i="1"/>
  <c r="I534" i="1"/>
  <c r="I535" i="1" s="1"/>
  <c r="J534" i="1"/>
  <c r="K534" i="1"/>
  <c r="L547" i="1"/>
  <c r="L550" i="1" s="1"/>
  <c r="L561" i="1" s="1"/>
  <c r="L548" i="1"/>
  <c r="L549" i="1"/>
  <c r="F550" i="1"/>
  <c r="F561" i="1" s="1"/>
  <c r="G550" i="1"/>
  <c r="G561" i="1" s="1"/>
  <c r="H550" i="1"/>
  <c r="I550" i="1"/>
  <c r="J550" i="1"/>
  <c r="K550" i="1"/>
  <c r="K561" i="1" s="1"/>
  <c r="L552" i="1"/>
  <c r="L555" i="1" s="1"/>
  <c r="L553" i="1"/>
  <c r="L554" i="1"/>
  <c r="F555" i="1"/>
  <c r="G555" i="1"/>
  <c r="H555" i="1"/>
  <c r="H561" i="1" s="1"/>
  <c r="I555" i="1"/>
  <c r="J555" i="1"/>
  <c r="K555" i="1"/>
  <c r="L557" i="1"/>
  <c r="L560" i="1" s="1"/>
  <c r="L558" i="1"/>
  <c r="L559" i="1"/>
  <c r="F560" i="1"/>
  <c r="G560" i="1"/>
  <c r="H560" i="1"/>
  <c r="I560" i="1"/>
  <c r="I561" i="1" s="1"/>
  <c r="J560" i="1"/>
  <c r="J561" i="1" s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I588" i="1"/>
  <c r="H640" i="1" s="1"/>
  <c r="J640" i="1" s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7" i="1"/>
  <c r="G613" i="1"/>
  <c r="G614" i="1"/>
  <c r="H614" i="1"/>
  <c r="J614" i="1"/>
  <c r="G615" i="1"/>
  <c r="H617" i="1"/>
  <c r="H618" i="1"/>
  <c r="H619" i="1"/>
  <c r="H620" i="1"/>
  <c r="H621" i="1"/>
  <c r="H622" i="1"/>
  <c r="H623" i="1"/>
  <c r="H625" i="1"/>
  <c r="G626" i="1"/>
  <c r="H626" i="1"/>
  <c r="J626" i="1"/>
  <c r="H627" i="1"/>
  <c r="H628" i="1"/>
  <c r="G630" i="1"/>
  <c r="G631" i="1"/>
  <c r="J631" i="1" s="1"/>
  <c r="G633" i="1"/>
  <c r="J633" i="1" s="1"/>
  <c r="G634" i="1"/>
  <c r="G635" i="1"/>
  <c r="J635" i="1" s="1"/>
  <c r="H637" i="1"/>
  <c r="G639" i="1"/>
  <c r="J639" i="1" s="1"/>
  <c r="H639" i="1"/>
  <c r="G640" i="1"/>
  <c r="H641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L249" i="1" l="1"/>
  <c r="L263" i="1" s="1"/>
  <c r="G622" i="1" s="1"/>
  <c r="J622" i="1" s="1"/>
  <c r="F650" i="1"/>
  <c r="J629" i="1"/>
  <c r="H542" i="1"/>
  <c r="J613" i="1"/>
  <c r="J609" i="1"/>
  <c r="G153" i="2"/>
  <c r="C120" i="2"/>
  <c r="D43" i="2"/>
  <c r="E120" i="2"/>
  <c r="K542" i="1"/>
  <c r="J624" i="1"/>
  <c r="J608" i="1"/>
  <c r="G137" i="2"/>
  <c r="J185" i="1"/>
  <c r="F33" i="13"/>
  <c r="J43" i="1"/>
  <c r="G36" i="2"/>
  <c r="G42" i="2" s="1"/>
  <c r="G43" i="2" s="1"/>
  <c r="H650" i="1"/>
  <c r="H654" i="1" s="1"/>
  <c r="J263" i="1"/>
  <c r="H638" i="1"/>
  <c r="J638" i="1" s="1"/>
  <c r="C73" i="2"/>
  <c r="E43" i="2"/>
  <c r="C130" i="2"/>
  <c r="C133" i="2" s="1"/>
  <c r="L400" i="1"/>
  <c r="C25" i="13"/>
  <c r="H33" i="13"/>
  <c r="D31" i="13"/>
  <c r="C31" i="13" s="1"/>
  <c r="L330" i="1"/>
  <c r="L344" i="1" s="1"/>
  <c r="G623" i="1" s="1"/>
  <c r="J623" i="1" s="1"/>
  <c r="G650" i="1"/>
  <c r="G654" i="1" s="1"/>
  <c r="D137" i="2"/>
  <c r="E73" i="2"/>
  <c r="E54" i="2"/>
  <c r="E55" i="2" s="1"/>
  <c r="E96" i="2" s="1"/>
  <c r="J542" i="1"/>
  <c r="C27" i="10"/>
  <c r="G625" i="1"/>
  <c r="J625" i="1" s="1"/>
  <c r="G185" i="1"/>
  <c r="G618" i="1" s="1"/>
  <c r="J618" i="1" s="1"/>
  <c r="C39" i="10"/>
  <c r="C38" i="10"/>
  <c r="J615" i="1"/>
  <c r="C96" i="2"/>
  <c r="J19" i="1"/>
  <c r="G611" i="1" s="1"/>
  <c r="K541" i="1"/>
  <c r="I653" i="1"/>
  <c r="G156" i="2"/>
  <c r="E107" i="2"/>
  <c r="E137" i="2" s="1"/>
  <c r="D96" i="2"/>
  <c r="F43" i="2"/>
  <c r="G32" i="2"/>
  <c r="K540" i="1"/>
  <c r="E136" i="2"/>
  <c r="C5" i="13"/>
  <c r="E33" i="13"/>
  <c r="D35" i="13" s="1"/>
  <c r="L529" i="1"/>
  <c r="L535" i="1" s="1"/>
  <c r="I450" i="1"/>
  <c r="I451" i="1" s="1"/>
  <c r="H632" i="1" s="1"/>
  <c r="J632" i="1" s="1"/>
  <c r="K330" i="1"/>
  <c r="K344" i="1" s="1"/>
  <c r="J33" i="1"/>
  <c r="E114" i="2"/>
  <c r="C102" i="2"/>
  <c r="G9" i="2"/>
  <c r="G19" i="2" s="1"/>
  <c r="J541" i="1"/>
  <c r="G48" i="2"/>
  <c r="G55" i="2" s="1"/>
  <c r="G96" i="2" s="1"/>
  <c r="D18" i="13"/>
  <c r="C18" i="13" s="1"/>
  <c r="C101" i="2"/>
  <c r="C107" i="2" s="1"/>
  <c r="F77" i="2"/>
  <c r="F83" i="2" s="1"/>
  <c r="F96" i="2" s="1"/>
  <c r="C17" i="10"/>
  <c r="D7" i="13"/>
  <c r="C7" i="13" s="1"/>
  <c r="C18" i="10"/>
  <c r="E77" i="2"/>
  <c r="E83" i="2" s="1"/>
  <c r="F542" i="1"/>
  <c r="F652" i="1"/>
  <c r="I652" i="1" s="1"/>
  <c r="J607" i="1"/>
  <c r="C106" i="2"/>
  <c r="E50" i="2"/>
  <c r="C25" i="10"/>
  <c r="E105" i="2"/>
  <c r="C8" i="13"/>
  <c r="I104" i="1"/>
  <c r="I185" i="1" s="1"/>
  <c r="G620" i="1" s="1"/>
  <c r="J620" i="1" s="1"/>
  <c r="C29" i="10"/>
  <c r="C36" i="10" l="1"/>
  <c r="C136" i="2"/>
  <c r="C137" i="2" s="1"/>
  <c r="G662" i="1"/>
  <c r="C5" i="10" s="1"/>
  <c r="G657" i="1"/>
  <c r="H662" i="1"/>
  <c r="C6" i="10" s="1"/>
  <c r="H657" i="1"/>
  <c r="C28" i="10"/>
  <c r="D27" i="10" s="1"/>
  <c r="D33" i="13"/>
  <c r="D36" i="13" s="1"/>
  <c r="G627" i="1"/>
  <c r="J627" i="1" s="1"/>
  <c r="H636" i="1"/>
  <c r="G616" i="1"/>
  <c r="J44" i="1"/>
  <c r="H611" i="1" s="1"/>
  <c r="J611" i="1" s="1"/>
  <c r="I650" i="1"/>
  <c r="I654" i="1" s="1"/>
  <c r="F654" i="1"/>
  <c r="G636" i="1"/>
  <c r="J636" i="1" s="1"/>
  <c r="G621" i="1"/>
  <c r="J621" i="1" s="1"/>
  <c r="F662" i="1" l="1"/>
  <c r="F657" i="1"/>
  <c r="C30" i="10"/>
  <c r="D26" i="10"/>
  <c r="D11" i="10"/>
  <c r="D22" i="10"/>
  <c r="D23" i="10"/>
  <c r="D19" i="10"/>
  <c r="D20" i="10"/>
  <c r="D24" i="10"/>
  <c r="D21" i="10"/>
  <c r="D10" i="10"/>
  <c r="D28" i="10" s="1"/>
  <c r="D15" i="10"/>
  <c r="D13" i="10"/>
  <c r="D12" i="10"/>
  <c r="D16" i="10"/>
  <c r="C41" i="10"/>
  <c r="D36" i="10" s="1"/>
  <c r="I662" i="1"/>
  <c r="C7" i="10" s="1"/>
  <c r="I657" i="1"/>
  <c r="D18" i="10"/>
  <c r="J616" i="1"/>
  <c r="H646" i="1"/>
  <c r="D25" i="10"/>
  <c r="D17" i="10"/>
  <c r="D37" i="10" l="1"/>
  <c r="D40" i="10"/>
  <c r="D35" i="10"/>
  <c r="D38" i="10"/>
  <c r="D39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F78DD99-B194-4C05-BC75-199E1C7FCBA8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9D9993E-AB25-4A08-AA1E-CBD1F7264A01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BBF03605-8531-4F25-A3AF-2DE28FC2BE0C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54BAD995-8741-4548-B39D-A052923C0394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1F223B65-959D-4F77-AC4E-BBDD6C659517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B7335597-2651-4A80-B863-A59AF483A8D2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8CCEE925-BE8F-4732-83FD-75B0B10CE590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54EE1945-CAA4-4181-A71D-06ABD14C73F2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78B83351-3C8D-4DFC-8335-432DC4754C96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FBE2C35D-4040-4EE6-A35B-C69AE9FD2B1E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C0D3A5B8-5AAC-46CF-BBFE-D772A435340E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F80A09F-CFD7-4AFE-B825-E3E03082E70B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<sst xmlns="http://schemas.openxmlformats.org/spreadsheetml/2006/main" count="3860" uniqueCount="897">
  <si>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</si>
  <si>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</si>
  <si>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</si>
  <si>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</si>
  <si>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</si>
  <si>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</si>
  <si>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</si>
  <si>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</si>
  <si>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</si>
  <si>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</si>
  <si>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</si>
  <si>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</si>
  <si>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</si>
  <si>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</si>
  <si>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</si>
  <si>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</si>
  <si>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</si>
  <si>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</si>
  <si>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</si>
  <si>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</si>
  <si>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</si>
  <si>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</si>
  <si>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</si>
  <si>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</si>
  <si>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</si>
  <si>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</si>
  <si>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</si>
  <si>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</si>
  <si>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</si>
  <si>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</si>
  <si>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</si>
  <si>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</si>
  <si>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</si>
  <si>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</si>
  <si>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</si>
  <si>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</si>
  <si>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</si>
  <si>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</si>
  <si>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</si>
  <si>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</si>
  <si>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</si>
  <si>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</si>
  <si>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</si>
  <si>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</si>
  <si>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</si>
  <si>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</si>
  <si>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</si>
  <si>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</si>
  <si>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</si>
  <si>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</si>
  <si>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</si>
  <si>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</si>
  <si>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</si>
  <si>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</si>
  <si>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</si>
  <si>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</si>
  <si>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</si>
  <si>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</si>
  <si>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</si>
  <si>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</si>
  <si>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</si>
  <si>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</si>
  <si>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</si>
  <si>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</si>
  <si>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</si>
  <si>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</si>
  <si>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</si>
  <si>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</si>
  <si>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</si>
  <si>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</si>
  <si>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</si>
  <si>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</si>
  <si>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</si>
  <si>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</si>
  <si>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</si>
  <si>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</si>
  <si>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</si>
  <si>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</si>
  <si>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</si>
  <si>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</si>
  <si>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</si>
  <si>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</si>
  <si>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</si>
  <si>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</si>
  <si>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</si>
  <si>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</si>
  <si>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</si>
  <si>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</si>
  <si>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</si>
  <si>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</si>
  <si>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</si>
  <si>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</si>
  <si>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</si>
  <si>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</si>
  <si>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</si>
  <si>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</si>
  <si>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</si>
  <si>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</si>
  <si>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</si>
  <si>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</si>
  <si>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</si>
  <si>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</si>
  <si>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</si>
  <si>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</si>
  <si>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</si>
  <si>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</si>
  <si>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</si>
  <si>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</si>
  <si>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</si>
  <si>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</si>
  <si>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</si>
  <si>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</si>
  <si>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</si>
  <si>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</si>
  <si>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</si>
  <si>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</si>
  <si>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</si>
  <si>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</si>
  <si>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</si>
  <si>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</si>
  <si>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</si>
  <si>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</si>
  <si>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</si>
  <si>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</si>
  <si>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</si>
  <si>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</si>
  <si>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</si>
  <si>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</si>
  <si>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</si>
  <si>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</si>
  <si>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</si>
  <si>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</si>
  <si>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</si>
  <si>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</si>
  <si>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</si>
  <si>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</si>
  <si>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</si>
  <si>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</si>
  <si>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</si>
  <si>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</si>
  <si>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</si>
  <si>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</si>
  <si>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</si>
  <si>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</si>
  <si>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</si>
  <si>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</si>
  <si>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</si>
  <si>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</si>
  <si>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</si>
  <si>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</si>
  <si>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</si>
  <si>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</si>
  <si>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</si>
  <si>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</si>
  <si>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</si>
  <si>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</si>
  <si>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</si>
  <si>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</si>
  <si>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</si>
  <si>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</si>
  <si>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</si>
  <si>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</si>
  <si>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</si>
  <si>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</si>
  <si>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</si>
  <si>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</si>
  <si>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</si>
  <si>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</si>
  <si>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</si>
  <si>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</si>
  <si>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</si>
  <si>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</si>
  <si>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</si>
  <si>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</si>
  <si>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</si>
  <si>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</si>
  <si>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</si>
  <si>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</si>
  <si>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</si>
  <si>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</si>
  <si>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</si>
  <si>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</si>
  <si>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</si>
  <si>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</si>
  <si>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</si>
  <si>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</si>
  <si>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</si>
  <si>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</si>
  <si>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</si>
  <si>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</si>
  <si>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</si>
  <si>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</si>
  <si>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</si>
  <si>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</si>
  <si>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</si>
  <si>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</si>
  <si>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</si>
  <si>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</si>
  <si>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</si>
  <si>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</si>
  <si>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</si>
  <si>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</si>
  <si>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</si>
  <si>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</si>
  <si>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</si>
  <si>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</si>
  <si>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</si>
  <si>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</si>
  <si>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</si>
  <si>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</si>
  <si>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</si>
  <si>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</si>
  <si>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</si>
  <si>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</si>
  <si>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</si>
  <si>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</si>
  <si>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</si>
  <si>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</si>
  <si>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</si>
  <si>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</si>
  <si>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</si>
  <si>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</si>
  <si>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</si>
  <si>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</si>
  <si>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</si>
  <si>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</si>
  <si>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</si>
  <si>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</si>
  <si>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</si>
  <si>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</si>
  <si>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</si>
  <si>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</si>
  <si>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</si>
  <si>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</si>
  <si>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</si>
  <si>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</si>
  <si>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</si>
  <si>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</si>
  <si>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</si>
  <si>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</si>
  <si>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</si>
  <si>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</si>
  <si>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</si>
  <si>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</si>
  <si>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</si>
  <si>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</si>
  <si>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</si>
  <si>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</si>
  <si>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</si>
  <si>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</si>
  <si>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</si>
  <si>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</si>
  <si>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</si>
  <si>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</si>
  <si>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</si>
  <si>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</si>
  <si>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</si>
  <si>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</si>
  <si>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</si>
  <si>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</si>
  <si>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</si>
  <si>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</si>
  <si>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</si>
  <si>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</si>
  <si>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</si>
  <si>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</si>
  <si>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</si>
  <si>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</si>
  <si>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</si>
  <si>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</si>
  <si>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</si>
  <si>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</si>
  <si>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</si>
  <si>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</si>
  <si>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</si>
  <si>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</si>
  <si>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</si>
  <si>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</si>
  <si>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</si>
  <si>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</si>
  <si>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</si>
  <si>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</si>
  <si>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</si>
  <si>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</si>
  <si>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</si>
  <si>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</si>
  <si>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</si>
  <si>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</si>
  <si>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</si>
  <si>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</si>
  <si>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</si>
  <si>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</si>
  <si>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</si>
  <si>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</si>
  <si>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</si>
  <si>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</si>
  <si>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</si>
  <si>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</si>
  <si>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</si>
  <si>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</si>
  <si>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</si>
  <si>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</si>
  <si>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</si>
  <si>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</si>
  <si>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</si>
  <si>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</si>
  <si>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</si>
  <si>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</si>
  <si>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</si>
  <si>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</si>
  <si>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</si>
  <si>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</si>
  <si>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</si>
  <si>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</si>
  <si>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</si>
  <si>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</si>
  <si>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</si>
  <si>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</si>
  <si>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</si>
  <si>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</si>
  <si>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</si>
  <si>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</si>
  <si>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</si>
  <si>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</si>
  <si>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</si>
  <si>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</si>
  <si>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</si>
  <si>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</si>
  <si>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</si>
  <si>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</si>
  <si>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</si>
  <si>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</si>
  <si>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</si>
  <si>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</si>
  <si>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</si>
  <si>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</si>
  <si>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</si>
  <si>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</si>
  <si>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</si>
  <si>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</si>
  <si>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</si>
  <si>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</si>
  <si>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</si>
  <si>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</si>
  <si>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</si>
  <si>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</si>
  <si>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</si>
  <si>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</si>
  <si>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</si>
  <si>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</si>
  <si>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</si>
  <si>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</si>
  <si>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</si>
  <si>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</si>
  <si>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</si>
  <si>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</si>
  <si>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</si>
  <si>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</si>
  <si>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</si>
  <si>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</si>
  <si>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</si>
  <si>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</si>
  <si>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</si>
  <si>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</si>
  <si>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</si>
  <si>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</si>
  <si>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</si>
  <si>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</si>
  <si>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</si>
  <si>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</si>
  <si>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</si>
  <si>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</si>
  <si>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</si>
  <si>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</si>
  <si>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</si>
  <si>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</si>
  <si>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</si>
  <si>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</si>
  <si>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</si>
  <si>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</si>
  <si>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</si>
  <si>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</si>
  <si>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</si>
  <si>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</si>
  <si>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</si>
  <si>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</si>
  <si>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</si>
  <si>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</si>
  <si>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</si>
  <si>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</si>
  <si>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</si>
  <si>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</si>
  <si>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</si>
  <si>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</si>
  <si>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</si>
  <si>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</si>
  <si>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</si>
  <si>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</si>
  <si>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</si>
  <si>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</si>
  <si>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</si>
  <si>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</si>
  <si>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</si>
  <si>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</si>
  <si>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</si>
  <si>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</si>
  <si>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</si>
  <si>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</si>
  <si>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</si>
  <si>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</si>
  <si>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</si>
  <si>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</si>
  <si>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</si>
  <si>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</si>
  <si>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</si>
  <si>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</si>
  <si>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</si>
  <si>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</si>
  <si>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</si>
  <si>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</si>
  <si>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</si>
  <si>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</si>
  <si>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</si>
  <si>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</si>
  <si>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</si>
  <si>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</si>
  <si>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</si>
  <si>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</si>
  <si>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</si>
  <si>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</si>
  <si>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</si>
  <si>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</si>
  <si>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</si>
  <si>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</si>
  <si>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</si>
  <si>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</si>
  <si>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</si>
  <si>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</si>
  <si>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</si>
  <si>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</si>
  <si>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</si>
  <si>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</si>
  <si>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</si>
  <si>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</si>
  <si>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</si>
  <si>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</si>
  <si>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</si>
  <si>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</si>
  <si>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</si>
  <si>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</si>
  <si>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</si>
  <si>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</si>
  <si>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</si>
  <si>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</si>
  <si>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</si>
  <si>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</si>
  <si>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</si>
  <si>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</si>
  <si>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</si>
  <si>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</si>
  <si>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</si>
  <si>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</si>
  <si>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</si>
  <si>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</si>
  <si>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</si>
  <si>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</si>
  <si>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</si>
  <si>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</si>
  <si>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</si>
  <si>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</si>
  <si>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</si>
  <si>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</si>
  <si>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</si>
  <si>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</si>
  <si>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</si>
  <si>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</si>
  <si>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</si>
  <si>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</si>
  <si>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</si>
  <si>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</si>
  <si>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</si>
  <si>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</si>
  <si>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</si>
  <si>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</si>
  <si>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</si>
  <si>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</si>
  <si>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</si>
  <si>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</si>
  <si>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</si>
  <si>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</si>
  <si>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</si>
  <si>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</si>
  <si>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</si>
  <si>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</si>
  <si>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</si>
  <si>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</si>
  <si>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</si>
  <si>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</si>
  <si>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</si>
  <si>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</si>
  <si>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</si>
  <si>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</si>
  <si>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</si>
  <si>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</si>
  <si>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</si>
  <si>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</si>
  <si>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</si>
  <si>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</si>
  <si>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</si>
  <si>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</si>
  <si>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</si>
  <si>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</si>
  <si>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</si>
  <si>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</si>
  <si>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</si>
  <si>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</si>
  <si>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</si>
  <si>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</si>
  <si>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</si>
  <si>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</si>
  <si>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</si>
  <si>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</si>
  <si>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</si>
  <si>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</si>
  <si>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</si>
  <si>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</si>
  <si>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</si>
  <si>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</si>
  <si>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</si>
  <si>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</si>
  <si>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</si>
  <si>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</si>
  <si>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</si>
  <si>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</si>
  <si>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</si>
  <si>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</si>
  <si>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</si>
  <si>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</si>
  <si>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</si>
  <si>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</si>
  <si>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</si>
  <si>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</si>
  <si>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</si>
  <si>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</si>
  <si>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</si>
  <si>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</si>
  <si>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</si>
  <si>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</si>
  <si>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</si>
  <si>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</si>
  <si>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</si>
  <si>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</si>
  <si>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</si>
  <si>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</si>
  <si>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</si>
  <si>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</si>
  <si>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</si>
  <si>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</si>
  <si>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</si>
  <si>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</si>
  <si>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</si>
  <si>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</si>
  <si>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</si>
  <si>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</si>
  <si>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</si>
  <si>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</si>
  <si>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</si>
  <si>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</si>
  <si>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</si>
  <si>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</si>
  <si>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</si>
  <si>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</si>
  <si>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</si>
  <si>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</si>
  <si>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</si>
  <si>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</si>
  <si>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</si>
  <si>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</si>
  <si>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</si>
  <si>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</si>
  <si>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</si>
  <si>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</si>
  <si>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</si>
  <si>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</si>
  <si>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</si>
  <si>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</si>
  <si>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</si>
  <si>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</si>
  <si>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</si>
  <si>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</si>
  <si>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</si>
  <si>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</si>
  <si>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</si>
  <si>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</si>
  <si>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</si>
  <si>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</si>
  <si>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</si>
  <si>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</si>
  <si>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</si>
  <si>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</si>
  <si>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</si>
  <si>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</si>
  <si>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</si>
  <si>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</si>
  <si>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</si>
  <si>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</si>
  <si>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</si>
  <si>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</si>
  <si>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</si>
  <si>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</si>
  <si>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</si>
  <si>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</si>
  <si>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</si>
  <si>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</si>
  <si>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</si>
  <si>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</si>
  <si>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</si>
  <si>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</si>
  <si>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</si>
  <si>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</si>
  <si>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</si>
  <si>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</si>
  <si>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</si>
  <si>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</si>
  <si>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</si>
  <si>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</si>
  <si>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</si>
  <si>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</si>
  <si>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</si>
  <si>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</si>
  <si>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</si>
  <si>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</si>
  <si>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</si>
  <si>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</si>
  <si>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</si>
  <si>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</si>
  <si>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</si>
  <si>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</si>
  <si>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</si>
  <si>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</si>
  <si>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</si>
  <si>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</si>
  <si>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</si>
  <si>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</si>
  <si>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</si>
  <si>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</si>
  <si>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</si>
  <si>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</si>
  <si>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</si>
  <si>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</si>
  <si>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</si>
  <si>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</si>
  <si>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</si>
  <si>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</si>
  <si>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</si>
  <si>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</si>
  <si>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</si>
  <si>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</si>
  <si>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</si>
  <si>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</si>
  <si>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</si>
  <si>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</si>
  <si>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</si>
  <si>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</si>
  <si>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</si>
  <si>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</si>
  <si>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</si>
  <si>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</si>
  <si>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</si>
  <si>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</si>
  <si>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</si>
  <si>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</si>
  <si>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</si>
  <si>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</si>
  <si>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</si>
  <si>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</si>
  <si>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</si>
  <si>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</si>
  <si>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</si>
  <si>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</si>
  <si>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</si>
  <si>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</si>
  <si>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</si>
  <si>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</si>
  <si>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</si>
  <si>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</si>
  <si>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</si>
  <si>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</si>
  <si>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</si>
  <si>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</si>
  <si>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</si>
  <si>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</si>
  <si>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</si>
  <si>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</si>
  <si>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</si>
  <si>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</si>
  <si>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</si>
  <si>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</si>
  <si>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</si>
  <si>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</si>
  <si>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</si>
  <si>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</si>
  <si>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</si>
  <si>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</si>
  <si>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</si>
  <si>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</si>
  <si>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</si>
  <si>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</si>
  <si>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</si>
  <si>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</si>
  <si>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</si>
  <si>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</si>
  <si>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</si>
  <si>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</si>
  <si>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</si>
  <si>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</si>
  <si>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</si>
  <si>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</si>
  <si>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</si>
  <si>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</si>
  <si>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</si>
  <si>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</si>
  <si>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</si>
  <si>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</si>
  <si>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</si>
  <si>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</si>
  <si>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</si>
  <si>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</si>
  <si>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</si>
  <si>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</si>
  <si>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</si>
  <si>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</si>
  <si>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</si>
  <si>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</si>
  <si>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</si>
  <si>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</si>
  <si>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</si>
  <si>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</si>
  <si>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</si>
  <si>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</si>
  <si>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</si>
  <si>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</si>
  <si>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</si>
  <si>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</si>
  <si>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</si>
  <si>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</si>
  <si>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</si>
  <si>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</si>
  <si>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</si>
  <si>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</si>
  <si>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</si>
  <si>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</si>
  <si>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</si>
  <si>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</si>
  <si>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</si>
  <si>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</si>
  <si>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</si>
  <si>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</si>
  <si>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</si>
  <si>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</si>
  <si>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</si>
  <si>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</si>
  <si>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</si>
  <si>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</si>
  <si>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</si>
  <si>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</si>
  <si>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</si>
  <si>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</si>
  <si>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</si>
  <si>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</si>
  <si>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</si>
  <si>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</si>
  <si>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</si>
  <si>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</si>
  <si>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</si>
  <si>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</si>
  <si>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</si>
  <si>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</si>
  <si>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</si>
  <si>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</si>
  <si>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</si>
  <si>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</si>
  <si>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</si>
  <si>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</si>
  <si>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</si>
  <si>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</si>
  <si>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</si>
  <si>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</si>
  <si>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</si>
  <si>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</si>
  <si>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</si>
  <si>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</si>
  <si>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</si>
  <si>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</si>
  <si>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</si>
  <si>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</si>
  <si>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</si>
  <si>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</si>
  <si>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</si>
  <si>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</si>
  <si>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</si>
  <si>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</si>
  <si>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</si>
  <si>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</si>
  <si>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</si>
  <si>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</si>
  <si>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</si>
  <si>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</si>
  <si>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</si>
  <si>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</si>
  <si>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</si>
  <si>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</si>
  <si>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</si>
  <si>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</si>
  <si>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</si>
  <si>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</si>
  <si>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</si>
  <si>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</si>
  <si>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</si>
  <si>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</si>
  <si>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</si>
  <si>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</si>
  <si>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</si>
  <si>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</si>
  <si>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</si>
  <si>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</si>
  <si>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</si>
  <si>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</si>
  <si>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</si>
  <si>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</si>
  <si>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</si>
  <si>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</si>
  <si>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</si>
  <si>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</si>
  <si>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</si>
  <si>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</si>
  <si>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</si>
  <si>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</si>
  <si>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</si>
  <si>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</si>
  <si>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</si>
  <si>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</si>
  <si>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</si>
  <si>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</si>
  <si>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</si>
  <si>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</si>
  <si>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</si>
  <si>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</si>
  <si>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</si>
  <si>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</si>
  <si>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</si>
  <si>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</si>
  <si>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</si>
  <si>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</si>
  <si>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</si>
  <si>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</si>
  <si>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</si>
  <si>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</si>
  <si>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</si>
  <si>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</si>
  <si>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</si>
  <si>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</si>
  <si>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</si>
  <si>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</si>
  <si>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</si>
  <si>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</si>
  <si>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</si>
  <si>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</si>
  <si>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</si>
  <si>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</si>
  <si>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</si>
  <si>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</si>
  <si>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</si>
  <si>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</si>
  <si>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</si>
  <si>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</si>
  <si>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</si>
  <si>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</si>
  <si>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</si>
  <si>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</si>
  <si>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</si>
  <si>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</si>
  <si>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</si>
  <si>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</si>
  <si>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</si>
  <si>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</si>
  <si>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</si>
  <si>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</si>
  <si>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</si>
  <si>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</si>
  <si>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</si>
  <si>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</si>
  <si>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</si>
  <si>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</si>
  <si>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01/07</t>
  </si>
  <si>
    <t>01/27</t>
  </si>
  <si>
    <t>Profile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</si>
</sst>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A654-2B13-4EC2-8B36-02E6E93BD8E3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450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478265.97</v>
      </c>
      <c r="G9" s="18">
        <v>-9374.77</v>
      </c>
      <c r="H9" s="18">
        <v>-49541.1</v>
      </c>
      <c r="I9" s="18"/>
      <c r="J9" s="67">
        <f>SUM(I431)</f>
        <v>206243.03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0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0</v>
      </c>
      <c r="G13" s="18">
        <v>6676.93</v>
      </c>
      <c r="H13" s="18">
        <v>49541.1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784.05</v>
      </c>
      <c r="G14" s="18">
        <v>4243.05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479050.01999999996</v>
      </c>
      <c r="G19" s="41">
        <f>SUM(G9:G18)</f>
        <v>1545.21</v>
      </c>
      <c r="H19" s="41">
        <f>SUM(H9:H18)</f>
        <v>0</v>
      </c>
      <c r="I19" s="41">
        <f>SUM(I9:I18)</f>
        <v>0</v>
      </c>
      <c r="J19" s="41">
        <f>SUM(J9:J18)</f>
        <v>206243.03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0</v>
      </c>
      <c r="H23" s="18">
        <v>0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156894.72</v>
      </c>
      <c r="G25" s="18">
        <v>0</v>
      </c>
      <c r="H25" s="18">
        <v>0</v>
      </c>
      <c r="I25" s="18">
        <v>0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0</v>
      </c>
      <c r="G30" s="18"/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156894.72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25000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0</v>
      </c>
      <c r="G41" s="18">
        <v>1545.21</v>
      </c>
      <c r="H41" s="18">
        <v>0</v>
      </c>
      <c r="I41" s="18">
        <v>0</v>
      </c>
      <c r="J41" s="13">
        <f>SUM(I449)</f>
        <v>206243.03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297155.3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322155.3</v>
      </c>
      <c r="G43" s="41">
        <f>SUM(G35:G42)</f>
        <v>1545.21</v>
      </c>
      <c r="H43" s="41">
        <f>SUM(H35:H42)</f>
        <v>0</v>
      </c>
      <c r="I43" s="41">
        <f>SUM(I35:I42)</f>
        <v>0</v>
      </c>
      <c r="J43" s="41">
        <f>SUM(J35:J42)</f>
        <v>206243.03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479050.02</v>
      </c>
      <c r="G44" s="41">
        <f>G43+G33</f>
        <v>1545.21</v>
      </c>
      <c r="H44" s="41">
        <f>H43+H33</f>
        <v>0</v>
      </c>
      <c r="I44" s="41">
        <f>I43+I33</f>
        <v>0</v>
      </c>
      <c r="J44" s="41">
        <f>J43+J33</f>
        <v>206243.03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3736991.5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3736991.5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2059.75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11645.9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13705.65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3634.2</v>
      </c>
      <c r="G88" s="18">
        <v>0</v>
      </c>
      <c r="H88" s="18"/>
      <c r="I88" s="18">
        <v>435.43</v>
      </c>
      <c r="J88" s="18">
        <v>302.14999999999998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92885.92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0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21820.78</v>
      </c>
      <c r="G102" s="18"/>
      <c r="H102" s="18"/>
      <c r="I102" s="18">
        <v>0</v>
      </c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25454.98</v>
      </c>
      <c r="G103" s="41">
        <f>SUM(G88:G102)</f>
        <v>92885.92</v>
      </c>
      <c r="H103" s="41">
        <f>SUM(H88:H102)</f>
        <v>0</v>
      </c>
      <c r="I103" s="41">
        <f>SUM(I88:I102)</f>
        <v>435.43</v>
      </c>
      <c r="J103" s="41">
        <f>SUM(J88:J102)</f>
        <v>302.14999999999998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3776152.13</v>
      </c>
      <c r="G104" s="41">
        <f>G52+G103</f>
        <v>92885.92</v>
      </c>
      <c r="H104" s="41">
        <f>H52+H71+H86+H103</f>
        <v>0</v>
      </c>
      <c r="I104" s="41">
        <f>I52+I103</f>
        <v>435.43</v>
      </c>
      <c r="J104" s="41">
        <f>J52+J103</f>
        <v>302.14999999999998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626722.93999999994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865308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22731.06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1514762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356030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144539.35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4200.74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1015.47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3150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507920.08999999997</v>
      </c>
      <c r="G128" s="41">
        <f>SUM(G115:G127)</f>
        <v>1015.47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2022682.0899999999</v>
      </c>
      <c r="G132" s="41">
        <f>G113+SUM(G128:G129)</f>
        <v>1015.47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136421.21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54045.43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37206.730000000003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48239.37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147277.18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147277.18</v>
      </c>
      <c r="G154" s="41">
        <f>SUM(G142:G153)</f>
        <v>37206.730000000003</v>
      </c>
      <c r="H154" s="41">
        <f>SUM(H142:H153)</f>
        <v>238706.00999999998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701.08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147978.25999999998</v>
      </c>
      <c r="G161" s="41">
        <f>G139+G154+SUM(G155:G160)</f>
        <v>37206.730000000003</v>
      </c>
      <c r="H161" s="41">
        <f>H139+H154+SUM(H155:H160)</f>
        <v>238706.00999999998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0</v>
      </c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>
        <v>0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0</v>
      </c>
      <c r="H171" s="18"/>
      <c r="I171" s="18"/>
      <c r="J171" s="18">
        <v>55000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55000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/>
      <c r="H177" s="18"/>
      <c r="I177" s="18">
        <v>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55000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5946812.4799999995</v>
      </c>
      <c r="G185" s="47">
        <f>G104+G132+G161+G184</f>
        <v>131108.12</v>
      </c>
      <c r="H185" s="47">
        <f>H104+H132+H161+H184</f>
        <v>238706.00999999998</v>
      </c>
      <c r="I185" s="47">
        <f>I104+I132+I161+I184</f>
        <v>435.43</v>
      </c>
      <c r="J185" s="47">
        <f>J104+J132+J184</f>
        <v>55302.15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/>
      <c r="I189" s="18"/>
      <c r="J189" s="18"/>
      <c r="K189" s="18"/>
      <c r="L189" s="19">
        <f>SUM(F189:K189)</f>
        <v>0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/>
      <c r="I190" s="18"/>
      <c r="J190" s="18"/>
      <c r="K190" s="18"/>
      <c r="L190" s="19">
        <f>SUM(F190:K190)</f>
        <v>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/>
      <c r="I196" s="18"/>
      <c r="J196" s="18"/>
      <c r="K196" s="18"/>
      <c r="L196" s="19">
        <f t="shared" si="0"/>
        <v>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/>
      <c r="I200" s="18"/>
      <c r="J200" s="18"/>
      <c r="K200" s="18"/>
      <c r="L200" s="19">
        <f t="shared" si="0"/>
        <v>0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0</v>
      </c>
      <c r="I203" s="41">
        <f t="shared" si="1"/>
        <v>0</v>
      </c>
      <c r="J203" s="41">
        <f t="shared" si="1"/>
        <v>0</v>
      </c>
      <c r="K203" s="41">
        <f t="shared" si="1"/>
        <v>0</v>
      </c>
      <c r="L203" s="41">
        <f t="shared" si="1"/>
        <v>0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412871.22</v>
      </c>
      <c r="G207" s="18">
        <v>149841.23000000001</v>
      </c>
      <c r="H207" s="18">
        <v>12348.1</v>
      </c>
      <c r="I207" s="18">
        <v>33018.57</v>
      </c>
      <c r="J207" s="18">
        <v>23402.6</v>
      </c>
      <c r="K207" s="18"/>
      <c r="L207" s="19">
        <f>SUM(F207:K207)</f>
        <v>631481.71999999986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261794.7</v>
      </c>
      <c r="G208" s="18">
        <v>195972.28</v>
      </c>
      <c r="H208" s="18">
        <v>1739.13</v>
      </c>
      <c r="I208" s="18">
        <v>2348.4499999999998</v>
      </c>
      <c r="J208" s="18">
        <v>195.01</v>
      </c>
      <c r="K208" s="18"/>
      <c r="L208" s="19">
        <f>SUM(F208:K208)</f>
        <v>462049.57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34359.89</v>
      </c>
      <c r="G209" s="18">
        <v>13066.03</v>
      </c>
      <c r="H209" s="18">
        <v>66.13</v>
      </c>
      <c r="I209" s="18">
        <v>4677.45</v>
      </c>
      <c r="J209" s="18">
        <v>1132.95</v>
      </c>
      <c r="K209" s="18"/>
      <c r="L209" s="19">
        <f>SUM(F209:K209)</f>
        <v>53302.44999999999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31436.21</v>
      </c>
      <c r="G210" s="18">
        <v>4835.59</v>
      </c>
      <c r="H210" s="18">
        <v>18011.349999999999</v>
      </c>
      <c r="I210" s="18">
        <v>2246.7199999999998</v>
      </c>
      <c r="J210" s="18">
        <v>5232.84</v>
      </c>
      <c r="K210" s="18">
        <v>6552.82</v>
      </c>
      <c r="L210" s="19">
        <f>SUM(F210:K210)</f>
        <v>68315.53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51674.400000000001</v>
      </c>
      <c r="G212" s="18">
        <v>18990.84</v>
      </c>
      <c r="H212" s="18">
        <v>23779</v>
      </c>
      <c r="I212" s="18">
        <v>2615.06</v>
      </c>
      <c r="J212" s="18">
        <v>87.15</v>
      </c>
      <c r="K212" s="18"/>
      <c r="L212" s="19">
        <f t="shared" ref="L212:L218" si="2">SUM(F212:K212)</f>
        <v>97146.45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38510.019999999997</v>
      </c>
      <c r="G213" s="18">
        <v>17625.54</v>
      </c>
      <c r="H213" s="18">
        <v>0</v>
      </c>
      <c r="I213" s="18">
        <v>2859.91</v>
      </c>
      <c r="J213" s="18">
        <v>2404.75</v>
      </c>
      <c r="K213" s="18">
        <v>9741.4</v>
      </c>
      <c r="L213" s="19">
        <f t="shared" si="2"/>
        <v>71141.62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3036.25</v>
      </c>
      <c r="G214" s="18">
        <v>258.73</v>
      </c>
      <c r="H214" s="18">
        <v>90624.98</v>
      </c>
      <c r="I214" s="18"/>
      <c r="J214" s="18"/>
      <c r="K214" s="18">
        <v>5954.84</v>
      </c>
      <c r="L214" s="19">
        <f t="shared" si="2"/>
        <v>99874.799999999988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71115.81</v>
      </c>
      <c r="G215" s="18">
        <v>28697.52</v>
      </c>
      <c r="H215" s="18">
        <v>20318.13</v>
      </c>
      <c r="I215" s="18">
        <v>3372.78</v>
      </c>
      <c r="J215" s="18">
        <v>0</v>
      </c>
      <c r="K215" s="18">
        <v>1001.5</v>
      </c>
      <c r="L215" s="19">
        <f t="shared" si="2"/>
        <v>124505.74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41313.019999999997</v>
      </c>
      <c r="G217" s="18">
        <v>19035.240000000002</v>
      </c>
      <c r="H217" s="18">
        <v>74462.67</v>
      </c>
      <c r="I217" s="18">
        <v>69841.34</v>
      </c>
      <c r="J217" s="18">
        <v>13508.67</v>
      </c>
      <c r="K217" s="18">
        <v>0</v>
      </c>
      <c r="L217" s="19">
        <f t="shared" si="2"/>
        <v>218160.94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0</v>
      </c>
      <c r="G218" s="18">
        <v>0</v>
      </c>
      <c r="H218" s="18">
        <v>18547.47</v>
      </c>
      <c r="I218" s="18">
        <v>0</v>
      </c>
      <c r="J218" s="18"/>
      <c r="K218" s="18"/>
      <c r="L218" s="19">
        <f t="shared" si="2"/>
        <v>18547.47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946111.52</v>
      </c>
      <c r="G221" s="41">
        <f>SUM(G207:G220)</f>
        <v>448323.00000000006</v>
      </c>
      <c r="H221" s="41">
        <f>SUM(H207:H220)</f>
        <v>259896.95999999999</v>
      </c>
      <c r="I221" s="41">
        <f>SUM(I207:I220)</f>
        <v>120980.27999999998</v>
      </c>
      <c r="J221" s="41">
        <f>SUM(J207:J220)</f>
        <v>45963.97</v>
      </c>
      <c r="K221" s="41">
        <f t="shared" si="3"/>
        <v>23250.559999999998</v>
      </c>
      <c r="L221" s="41">
        <f t="shared" si="3"/>
        <v>1844526.2899999998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757981.15</v>
      </c>
      <c r="G225" s="18">
        <v>320519.46000000002</v>
      </c>
      <c r="H225" s="18">
        <v>24811.9</v>
      </c>
      <c r="I225" s="18">
        <v>53689.11</v>
      </c>
      <c r="J225" s="18">
        <v>44540.45</v>
      </c>
      <c r="K225" s="18"/>
      <c r="L225" s="19">
        <f>SUM(F225:K225)</f>
        <v>1201542.07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192901.88</v>
      </c>
      <c r="G226" s="18">
        <v>134124.22</v>
      </c>
      <c r="H226" s="18">
        <v>310686.49</v>
      </c>
      <c r="I226" s="18">
        <v>4395.71</v>
      </c>
      <c r="J226" s="18">
        <v>368.62</v>
      </c>
      <c r="K226" s="18"/>
      <c r="L226" s="19">
        <f>SUM(F226:K226)</f>
        <v>642476.91999999993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63811.44</v>
      </c>
      <c r="G227" s="18">
        <v>24263.63</v>
      </c>
      <c r="H227" s="18">
        <v>12319.16</v>
      </c>
      <c r="I227" s="18">
        <v>8686.5499999999993</v>
      </c>
      <c r="J227" s="18">
        <v>2104.0500000000002</v>
      </c>
      <c r="K227" s="18"/>
      <c r="L227" s="19">
        <f>SUM(F227:K227)</f>
        <v>111184.83000000002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64134.32</v>
      </c>
      <c r="G228" s="18">
        <v>8283.44</v>
      </c>
      <c r="H228" s="18">
        <v>33449.65</v>
      </c>
      <c r="I228" s="18">
        <v>4172.2299999999996</v>
      </c>
      <c r="J228" s="18">
        <v>9182.23</v>
      </c>
      <c r="K228" s="18">
        <v>9456.7900000000009</v>
      </c>
      <c r="L228" s="19">
        <f>SUM(F228:K228)</f>
        <v>128678.66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96386.03</v>
      </c>
      <c r="G230" s="18">
        <v>32859.51</v>
      </c>
      <c r="H230" s="18">
        <v>42245.61</v>
      </c>
      <c r="I230" s="18">
        <v>5308.08</v>
      </c>
      <c r="J230" s="18">
        <v>161.85</v>
      </c>
      <c r="K230" s="18"/>
      <c r="L230" s="19">
        <f t="shared" ref="L230:L236" si="4">SUM(F230:K230)</f>
        <v>176961.08000000002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71518.740000000005</v>
      </c>
      <c r="G231" s="18">
        <v>32734.400000000001</v>
      </c>
      <c r="H231" s="18">
        <v>0</v>
      </c>
      <c r="I231" s="18">
        <v>5316.49</v>
      </c>
      <c r="J231" s="18">
        <v>4465.95</v>
      </c>
      <c r="K231" s="18">
        <v>17888.7</v>
      </c>
      <c r="L231" s="19">
        <f t="shared" si="4"/>
        <v>131924.28000000003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5638.75</v>
      </c>
      <c r="G232" s="18">
        <v>480.51</v>
      </c>
      <c r="H232" s="18">
        <v>168303.53</v>
      </c>
      <c r="I232" s="18"/>
      <c r="J232" s="18"/>
      <c r="K232" s="18">
        <v>11058.99</v>
      </c>
      <c r="L232" s="19">
        <f t="shared" si="4"/>
        <v>185481.78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132072.39000000001</v>
      </c>
      <c r="G233" s="18">
        <v>53296.72</v>
      </c>
      <c r="H233" s="18">
        <v>34880.550000000003</v>
      </c>
      <c r="I233" s="18">
        <v>6263.67</v>
      </c>
      <c r="J233" s="18">
        <v>0</v>
      </c>
      <c r="K233" s="18">
        <v>4217.78</v>
      </c>
      <c r="L233" s="19">
        <f t="shared" si="4"/>
        <v>230731.11000000004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83164.149999999994</v>
      </c>
      <c r="G235" s="18">
        <v>38671.22</v>
      </c>
      <c r="H235" s="18">
        <v>136924.07</v>
      </c>
      <c r="I235" s="18">
        <v>129705.54</v>
      </c>
      <c r="J235" s="18">
        <v>24623.200000000001</v>
      </c>
      <c r="K235" s="18">
        <v>0</v>
      </c>
      <c r="L235" s="19">
        <f t="shared" si="4"/>
        <v>413088.18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v>64684.7</v>
      </c>
      <c r="I236" s="18">
        <v>4285.3999999999996</v>
      </c>
      <c r="J236" s="18"/>
      <c r="K236" s="18"/>
      <c r="L236" s="19">
        <f t="shared" si="4"/>
        <v>68970.099999999991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1467608.85</v>
      </c>
      <c r="G239" s="41">
        <f t="shared" si="5"/>
        <v>645233.11</v>
      </c>
      <c r="H239" s="41">
        <f t="shared" si="5"/>
        <v>828305.65999999992</v>
      </c>
      <c r="I239" s="41">
        <f t="shared" si="5"/>
        <v>221822.78</v>
      </c>
      <c r="J239" s="41">
        <f t="shared" si="5"/>
        <v>85446.35</v>
      </c>
      <c r="K239" s="41">
        <f t="shared" si="5"/>
        <v>42622.26</v>
      </c>
      <c r="L239" s="41">
        <f t="shared" si="5"/>
        <v>3291039.01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0</v>
      </c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2413720.37</v>
      </c>
      <c r="G249" s="41">
        <f t="shared" si="8"/>
        <v>1093556.1100000001</v>
      </c>
      <c r="H249" s="41">
        <f t="shared" si="8"/>
        <v>1088202.6199999999</v>
      </c>
      <c r="I249" s="41">
        <f t="shared" si="8"/>
        <v>342803.06</v>
      </c>
      <c r="J249" s="41">
        <f t="shared" si="8"/>
        <v>131410.32</v>
      </c>
      <c r="K249" s="41">
        <f t="shared" si="8"/>
        <v>65872.820000000007</v>
      </c>
      <c r="L249" s="41">
        <f t="shared" si="8"/>
        <v>5135565.3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650000</v>
      </c>
      <c r="L252" s="19">
        <f>SUM(F252:K252)</f>
        <v>650000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492731.26</v>
      </c>
      <c r="L253" s="19">
        <f>SUM(F253:K253)</f>
        <v>492731.26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55000</v>
      </c>
      <c r="L258" s="19">
        <f t="shared" si="9"/>
        <v>55000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21800</v>
      </c>
      <c r="L260" s="19">
        <f t="shared" si="9"/>
        <v>21800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0</v>
      </c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1219531.26</v>
      </c>
      <c r="L262" s="41">
        <f t="shared" si="9"/>
        <v>1219531.26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2413720.37</v>
      </c>
      <c r="G263" s="42">
        <f t="shared" si="11"/>
        <v>1093556.1100000001</v>
      </c>
      <c r="H263" s="42">
        <f t="shared" si="11"/>
        <v>1088202.6199999999</v>
      </c>
      <c r="I263" s="42">
        <f t="shared" si="11"/>
        <v>342803.06</v>
      </c>
      <c r="J263" s="42">
        <f t="shared" si="11"/>
        <v>131410.32</v>
      </c>
      <c r="K263" s="42">
        <f t="shared" si="11"/>
        <v>1285404.08</v>
      </c>
      <c r="L263" s="42">
        <f t="shared" si="11"/>
        <v>6355096.5599999996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3929.92</v>
      </c>
      <c r="G287" s="18">
        <v>579.41999999999996</v>
      </c>
      <c r="H287" s="18">
        <v>4708.3</v>
      </c>
      <c r="I287" s="18">
        <v>1216.27</v>
      </c>
      <c r="J287" s="18">
        <v>99.87</v>
      </c>
      <c r="K287" s="18"/>
      <c r="L287" s="19">
        <f>SUM(F287:K287)</f>
        <v>10533.78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36009.339999999997</v>
      </c>
      <c r="G288" s="18">
        <v>13740.83</v>
      </c>
      <c r="H288" s="18">
        <v>1022.52</v>
      </c>
      <c r="I288" s="18">
        <v>1918.15</v>
      </c>
      <c r="J288" s="18">
        <v>5791.91</v>
      </c>
      <c r="K288" s="18">
        <v>0</v>
      </c>
      <c r="L288" s="19">
        <f>SUM(F288:K288)</f>
        <v>58482.75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1662.5</v>
      </c>
      <c r="G290" s="18">
        <v>260.52</v>
      </c>
      <c r="H290" s="18">
        <v>0</v>
      </c>
      <c r="I290" s="18">
        <v>0</v>
      </c>
      <c r="J290" s="18"/>
      <c r="K290" s="18"/>
      <c r="L290" s="19">
        <f>SUM(F290:K290)</f>
        <v>1923.02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0</v>
      </c>
      <c r="G292" s="18">
        <v>0</v>
      </c>
      <c r="H292" s="18">
        <v>0</v>
      </c>
      <c r="I292" s="18">
        <v>0</v>
      </c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2620.8000000000002</v>
      </c>
      <c r="G293" s="18">
        <v>399.43</v>
      </c>
      <c r="H293" s="18">
        <v>6817.8</v>
      </c>
      <c r="I293" s="18">
        <v>390.25</v>
      </c>
      <c r="J293" s="18">
        <v>0</v>
      </c>
      <c r="K293" s="18">
        <v>0</v>
      </c>
      <c r="L293" s="19">
        <f t="shared" si="14"/>
        <v>10228.280000000001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>
        <v>0</v>
      </c>
      <c r="I294" s="18">
        <v>0</v>
      </c>
      <c r="J294" s="18"/>
      <c r="K294" s="18">
        <v>1894.14</v>
      </c>
      <c r="L294" s="19">
        <f t="shared" si="14"/>
        <v>1894.14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44222.559999999998</v>
      </c>
      <c r="G301" s="42">
        <f t="shared" si="15"/>
        <v>14980.2</v>
      </c>
      <c r="H301" s="42">
        <f t="shared" si="15"/>
        <v>12548.619999999999</v>
      </c>
      <c r="I301" s="42">
        <f t="shared" si="15"/>
        <v>3524.67</v>
      </c>
      <c r="J301" s="42">
        <f t="shared" si="15"/>
        <v>5891.78</v>
      </c>
      <c r="K301" s="42">
        <f t="shared" si="15"/>
        <v>1894.14</v>
      </c>
      <c r="L301" s="41">
        <f t="shared" si="15"/>
        <v>83061.97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7298.44</v>
      </c>
      <c r="G306" s="18">
        <v>1076.04</v>
      </c>
      <c r="H306" s="18">
        <v>8744</v>
      </c>
      <c r="I306" s="18">
        <v>2258.8000000000002</v>
      </c>
      <c r="J306" s="18">
        <v>185.48</v>
      </c>
      <c r="K306" s="18"/>
      <c r="L306" s="19">
        <f>SUM(F306:K306)</f>
        <v>19562.759999999998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66874.5</v>
      </c>
      <c r="G307" s="18">
        <v>25518.7</v>
      </c>
      <c r="H307" s="18">
        <v>1898.95</v>
      </c>
      <c r="I307" s="18">
        <v>3562.28</v>
      </c>
      <c r="J307" s="18">
        <v>10756.43</v>
      </c>
      <c r="K307" s="18">
        <v>0</v>
      </c>
      <c r="L307" s="19">
        <f>SUM(F307:K307)</f>
        <v>108610.85999999999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2962.5</v>
      </c>
      <c r="G309" s="18">
        <v>2720.02</v>
      </c>
      <c r="H309" s="18">
        <v>0</v>
      </c>
      <c r="I309" s="18">
        <v>0</v>
      </c>
      <c r="J309" s="18"/>
      <c r="K309" s="18"/>
      <c r="L309" s="19">
        <f>SUM(F309:K309)</f>
        <v>5682.52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4867.2</v>
      </c>
      <c r="G312" s="18">
        <v>741.8</v>
      </c>
      <c r="H312" s="18">
        <v>12661.64</v>
      </c>
      <c r="I312" s="18">
        <v>724.73</v>
      </c>
      <c r="J312" s="18">
        <v>0</v>
      </c>
      <c r="K312" s="18"/>
      <c r="L312" s="19">
        <f t="shared" si="16"/>
        <v>18995.37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>
        <v>0</v>
      </c>
      <c r="I313" s="18">
        <v>0</v>
      </c>
      <c r="J313" s="18"/>
      <c r="K313" s="18">
        <v>3517.68</v>
      </c>
      <c r="L313" s="19">
        <f t="shared" si="16"/>
        <v>3517.68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82002.64</v>
      </c>
      <c r="G320" s="42">
        <f t="shared" si="17"/>
        <v>30056.560000000001</v>
      </c>
      <c r="H320" s="42">
        <f t="shared" si="17"/>
        <v>23304.59</v>
      </c>
      <c r="I320" s="42">
        <f t="shared" si="17"/>
        <v>6545.8099999999995</v>
      </c>
      <c r="J320" s="42">
        <f t="shared" si="17"/>
        <v>10941.91</v>
      </c>
      <c r="K320" s="42">
        <f t="shared" si="17"/>
        <v>3517.68</v>
      </c>
      <c r="L320" s="41">
        <f t="shared" si="17"/>
        <v>156369.18999999997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126225.2</v>
      </c>
      <c r="G330" s="41">
        <f t="shared" si="20"/>
        <v>45036.76</v>
      </c>
      <c r="H330" s="41">
        <f t="shared" si="20"/>
        <v>35853.21</v>
      </c>
      <c r="I330" s="41">
        <f t="shared" si="20"/>
        <v>10070.48</v>
      </c>
      <c r="J330" s="41">
        <f t="shared" si="20"/>
        <v>16833.689999999999</v>
      </c>
      <c r="K330" s="41">
        <f t="shared" si="20"/>
        <v>5411.82</v>
      </c>
      <c r="L330" s="41">
        <f t="shared" si="20"/>
        <v>239431.15999999997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126225.2</v>
      </c>
      <c r="G344" s="41">
        <f>G330</f>
        <v>45036.76</v>
      </c>
      <c r="H344" s="41">
        <f>H330</f>
        <v>35853.21</v>
      </c>
      <c r="I344" s="41">
        <f>I330</f>
        <v>10070.48</v>
      </c>
      <c r="J344" s="41">
        <f>J330</f>
        <v>16833.689999999999</v>
      </c>
      <c r="K344" s="47">
        <f>K330+K343</f>
        <v>5411.82</v>
      </c>
      <c r="L344" s="41">
        <f>L330+L343</f>
        <v>239431.15999999997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0</v>
      </c>
      <c r="G351" s="18">
        <v>0</v>
      </c>
      <c r="H351" s="18">
        <v>45646.48</v>
      </c>
      <c r="I351" s="18">
        <v>0</v>
      </c>
      <c r="J351" s="18">
        <v>0</v>
      </c>
      <c r="K351" s="18"/>
      <c r="L351" s="19">
        <f>SUM(F351:K351)</f>
        <v>45646.48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0</v>
      </c>
      <c r="G352" s="18">
        <v>0</v>
      </c>
      <c r="H352" s="18">
        <v>84772.02</v>
      </c>
      <c r="I352" s="18">
        <v>0</v>
      </c>
      <c r="J352" s="18">
        <v>0</v>
      </c>
      <c r="K352" s="18"/>
      <c r="L352" s="19">
        <f>SUM(F352:K352)</f>
        <v>84772.02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130418.5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130418.5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>
        <v>0</v>
      </c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>
        <v>0</v>
      </c>
      <c r="H360" s="63">
        <v>0</v>
      </c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0</v>
      </c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>
        <v>0</v>
      </c>
      <c r="G371" s="18">
        <v>0</v>
      </c>
      <c r="H371" s="18">
        <v>60396</v>
      </c>
      <c r="I371" s="18"/>
      <c r="J371" s="18">
        <v>4987</v>
      </c>
      <c r="K371" s="18">
        <v>3453.88</v>
      </c>
      <c r="L371" s="13">
        <f t="shared" si="23"/>
        <v>68836.88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60396</v>
      </c>
      <c r="I374" s="41">
        <f t="shared" si="24"/>
        <v>0</v>
      </c>
      <c r="J374" s="47">
        <f t="shared" si="24"/>
        <v>4987</v>
      </c>
      <c r="K374" s="47">
        <f t="shared" si="24"/>
        <v>3453.88</v>
      </c>
      <c r="L374" s="47">
        <f t="shared" si="24"/>
        <v>68836.88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81.92</v>
      </c>
      <c r="I388" s="18"/>
      <c r="J388" s="24" t="s">
        <v>312</v>
      </c>
      <c r="K388" s="24" t="s">
        <v>312</v>
      </c>
      <c r="L388" s="56">
        <f t="shared" si="26"/>
        <v>81.92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55000</v>
      </c>
      <c r="H389" s="18">
        <v>220.23</v>
      </c>
      <c r="I389" s="18"/>
      <c r="J389" s="24" t="s">
        <v>312</v>
      </c>
      <c r="K389" s="24" t="s">
        <v>312</v>
      </c>
      <c r="L389" s="56">
        <f t="shared" si="26"/>
        <v>55220.23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55000</v>
      </c>
      <c r="H393" s="47">
        <f>SUM(H387:H392)</f>
        <v>302.14999999999998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55302.15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55000</v>
      </c>
      <c r="H400" s="47">
        <f>H385+H393+H399</f>
        <v>302.14999999999998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55302.15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151103.71</v>
      </c>
      <c r="G431" s="18">
        <v>55139.32</v>
      </c>
      <c r="H431" s="18"/>
      <c r="I431" s="56">
        <f t="shared" ref="I431:I437" si="33">SUM(F431:H431)</f>
        <v>206243.03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151103.71</v>
      </c>
      <c r="G438" s="13">
        <f>SUM(G431:G437)</f>
        <v>55139.32</v>
      </c>
      <c r="H438" s="13">
        <f>SUM(H431:H437)</f>
        <v>0</v>
      </c>
      <c r="I438" s="13">
        <f>SUM(I431:I437)</f>
        <v>206243.03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151103.71</v>
      </c>
      <c r="G449" s="18">
        <v>55139.32</v>
      </c>
      <c r="H449" s="18"/>
      <c r="I449" s="56">
        <f>SUM(F449:H449)</f>
        <v>206243.03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151103.71</v>
      </c>
      <c r="G450" s="83">
        <f>SUM(G446:G449)</f>
        <v>55139.32</v>
      </c>
      <c r="H450" s="83">
        <f>SUM(H446:H449)</f>
        <v>0</v>
      </c>
      <c r="I450" s="83">
        <f>SUM(I446:I449)</f>
        <v>206243.03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151103.71</v>
      </c>
      <c r="G451" s="42">
        <f>G444+G450</f>
        <v>55139.32</v>
      </c>
      <c r="H451" s="42">
        <f>H444+H450</f>
        <v>0</v>
      </c>
      <c r="I451" s="42">
        <f>I444+I450</f>
        <v>206243.03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730439.38</v>
      </c>
      <c r="G455" s="18">
        <v>855.59</v>
      </c>
      <c r="H455" s="18">
        <v>725.15</v>
      </c>
      <c r="I455" s="18">
        <v>68401.45</v>
      </c>
      <c r="J455" s="18">
        <v>150940.88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5946812.4800000004</v>
      </c>
      <c r="G458" s="18">
        <v>131108.12</v>
      </c>
      <c r="H458" s="18">
        <v>238706.01</v>
      </c>
      <c r="I458" s="18">
        <v>435.43</v>
      </c>
      <c r="J458" s="18">
        <v>55302.15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5946812.4800000004</v>
      </c>
      <c r="G460" s="53">
        <f>SUM(G458:G459)</f>
        <v>131108.12</v>
      </c>
      <c r="H460" s="53">
        <f>SUM(H458:H459)</f>
        <v>238706.01</v>
      </c>
      <c r="I460" s="53">
        <f>SUM(I458:I459)</f>
        <v>435.43</v>
      </c>
      <c r="J460" s="53">
        <f>SUM(J458:J459)</f>
        <v>55302.15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6355096.5599999996</v>
      </c>
      <c r="G462" s="18">
        <v>130418.5</v>
      </c>
      <c r="H462" s="18">
        <v>239431.16</v>
      </c>
      <c r="I462" s="18">
        <v>68836.88</v>
      </c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6355096.5599999996</v>
      </c>
      <c r="G464" s="53">
        <f>SUM(G462:G463)</f>
        <v>130418.5</v>
      </c>
      <c r="H464" s="53">
        <f>SUM(H462:H463)</f>
        <v>239431.16</v>
      </c>
      <c r="I464" s="53">
        <f>SUM(I462:I463)</f>
        <v>68836.88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322155.30000000075</v>
      </c>
      <c r="G466" s="53">
        <f>(G455+G460)- G464</f>
        <v>1545.2099999999919</v>
      </c>
      <c r="H466" s="53">
        <f>(H455+H460)- H464</f>
        <v>0</v>
      </c>
      <c r="I466" s="53">
        <f>(I455+I460)- I464</f>
        <v>0</v>
      </c>
      <c r="J466" s="53">
        <f>(J455+J460)- J464</f>
        <v>206243.03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12948800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4.04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11000000</v>
      </c>
      <c r="G485" s="18"/>
      <c r="H485" s="18"/>
      <c r="I485" s="18"/>
      <c r="J485" s="18"/>
      <c r="K485" s="53">
        <f>SUM(F485:J485)</f>
        <v>11000000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650000</v>
      </c>
      <c r="G487" s="18"/>
      <c r="H487" s="18"/>
      <c r="I487" s="18"/>
      <c r="J487" s="18"/>
      <c r="K487" s="53">
        <f t="shared" si="34"/>
        <v>650000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10350000</v>
      </c>
      <c r="G488" s="205"/>
      <c r="H488" s="205"/>
      <c r="I488" s="205"/>
      <c r="J488" s="205"/>
      <c r="K488" s="206">
        <f t="shared" si="34"/>
        <v>10350000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3747056.38</v>
      </c>
      <c r="G489" s="18"/>
      <c r="H489" s="18"/>
      <c r="I489" s="18"/>
      <c r="J489" s="18"/>
      <c r="K489" s="53">
        <f t="shared" si="34"/>
        <v>3747056.38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14097056.379999999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14097056.379999999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650000</v>
      </c>
      <c r="G491" s="205"/>
      <c r="H491" s="205"/>
      <c r="I491" s="205"/>
      <c r="J491" s="205"/>
      <c r="K491" s="206">
        <f t="shared" si="34"/>
        <v>650000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463481.26</v>
      </c>
      <c r="G492" s="18"/>
      <c r="H492" s="18"/>
      <c r="I492" s="18"/>
      <c r="J492" s="18"/>
      <c r="K492" s="53">
        <f t="shared" si="34"/>
        <v>463481.26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1113481.26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1113481.26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>
        <v>10305075.640000001</v>
      </c>
      <c r="G503" s="24" t="s">
        <v>312</v>
      </c>
      <c r="H503" s="18">
        <v>208020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>
        <v>136314.67000000001</v>
      </c>
      <c r="G504" s="24" t="s">
        <v>312</v>
      </c>
      <c r="H504" s="18">
        <v>7169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10441390.310000001</v>
      </c>
      <c r="G507" s="42">
        <f>SUM(G501:G506)</f>
        <v>0</v>
      </c>
      <c r="H507" s="42">
        <f>SUM(H501:H506)</f>
        <v>215189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297804.03999999998</v>
      </c>
      <c r="G512" s="18">
        <v>209713.11</v>
      </c>
      <c r="H512" s="18">
        <v>2761.65</v>
      </c>
      <c r="I512" s="18">
        <v>2860.4</v>
      </c>
      <c r="J512" s="18">
        <v>5986.92</v>
      </c>
      <c r="K512" s="18"/>
      <c r="L512" s="88">
        <f>SUM(F512:K512)</f>
        <v>519126.12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259776.38</v>
      </c>
      <c r="G513" s="18">
        <v>159642.92000000001</v>
      </c>
      <c r="H513" s="18">
        <v>312405.44</v>
      </c>
      <c r="I513" s="18">
        <v>5012.1899999999996</v>
      </c>
      <c r="J513" s="18">
        <v>11125.05</v>
      </c>
      <c r="K513" s="18"/>
      <c r="L513" s="88">
        <f>SUM(F513:K513)</f>
        <v>747961.98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557580.41999999993</v>
      </c>
      <c r="G514" s="108">
        <f t="shared" ref="G514:L514" si="35">SUM(G511:G513)</f>
        <v>369356.03</v>
      </c>
      <c r="H514" s="108">
        <f t="shared" si="35"/>
        <v>315167.09000000003</v>
      </c>
      <c r="I514" s="108">
        <f t="shared" si="35"/>
        <v>7872.59</v>
      </c>
      <c r="J514" s="108">
        <f t="shared" si="35"/>
        <v>17111.97</v>
      </c>
      <c r="K514" s="108">
        <f t="shared" si="35"/>
        <v>0</v>
      </c>
      <c r="L514" s="89">
        <f t="shared" si="35"/>
        <v>1267088.1000000001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>
        <v>23779</v>
      </c>
      <c r="I517" s="18"/>
      <c r="J517" s="18"/>
      <c r="K517" s="18"/>
      <c r="L517" s="88">
        <f>SUM(F517:K517)</f>
        <v>23779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42245.61</v>
      </c>
      <c r="I518" s="18"/>
      <c r="J518" s="18"/>
      <c r="K518" s="18"/>
      <c r="L518" s="88">
        <f>SUM(F518:K518)</f>
        <v>42245.61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66024.61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66024.61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63.57</v>
      </c>
      <c r="I532" s="18"/>
      <c r="J532" s="18"/>
      <c r="K532" s="18"/>
      <c r="L532" s="88">
        <f>SUM(F532:K532)</f>
        <v>63.57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3008.37</v>
      </c>
      <c r="I533" s="18"/>
      <c r="J533" s="18"/>
      <c r="K533" s="18"/>
      <c r="L533" s="88">
        <f>SUM(F533:K533)</f>
        <v>3008.37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3071.94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3071.94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557580.41999999993</v>
      </c>
      <c r="G535" s="89">
        <f t="shared" ref="G535:L535" si="40">G514+G519+G524+G529+G534</f>
        <v>369356.03</v>
      </c>
      <c r="H535" s="89">
        <f t="shared" si="40"/>
        <v>384263.64</v>
      </c>
      <c r="I535" s="89">
        <f t="shared" si="40"/>
        <v>7872.59</v>
      </c>
      <c r="J535" s="89">
        <f t="shared" si="40"/>
        <v>17111.97</v>
      </c>
      <c r="K535" s="89">
        <f t="shared" si="40"/>
        <v>0</v>
      </c>
      <c r="L535" s="89">
        <f t="shared" si="40"/>
        <v>1336184.6500000001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0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0</v>
      </c>
      <c r="K539" s="87">
        <f>SUM(F539:J539)</f>
        <v>0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519126.12</v>
      </c>
      <c r="G540" s="87">
        <f>L517</f>
        <v>23779</v>
      </c>
      <c r="H540" s="87">
        <f>L522</f>
        <v>0</v>
      </c>
      <c r="I540" s="87">
        <f>L527</f>
        <v>0</v>
      </c>
      <c r="J540" s="87">
        <f>L532</f>
        <v>63.57</v>
      </c>
      <c r="K540" s="87">
        <f>SUM(F540:J540)</f>
        <v>542968.68999999994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747961.98</v>
      </c>
      <c r="G541" s="87">
        <f>L518</f>
        <v>42245.61</v>
      </c>
      <c r="H541" s="87">
        <f>L523</f>
        <v>0</v>
      </c>
      <c r="I541" s="87">
        <f>L528</f>
        <v>0</v>
      </c>
      <c r="J541" s="87">
        <f>L533</f>
        <v>3008.37</v>
      </c>
      <c r="K541" s="87">
        <f>SUM(F541:J541)</f>
        <v>793215.96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1267088.1000000001</v>
      </c>
      <c r="G542" s="89">
        <f t="shared" si="41"/>
        <v>66024.61</v>
      </c>
      <c r="H542" s="89">
        <f t="shared" si="41"/>
        <v>0</v>
      </c>
      <c r="I542" s="89">
        <f t="shared" si="41"/>
        <v>0</v>
      </c>
      <c r="J542" s="89">
        <f t="shared" si="41"/>
        <v>3071.94</v>
      </c>
      <c r="K542" s="89">
        <f t="shared" si="41"/>
        <v>1336184.6499999999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>
        <v>1586.2</v>
      </c>
      <c r="J558" s="18"/>
      <c r="K558" s="18"/>
      <c r="L558" s="88">
        <f>SUM(F558:K558)</f>
        <v>1586.2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>
        <v>0</v>
      </c>
      <c r="I559" s="18">
        <v>2945.8</v>
      </c>
      <c r="J559" s="18"/>
      <c r="K559" s="18"/>
      <c r="L559" s="88">
        <f>SUM(F559:K559)</f>
        <v>2945.8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4532</v>
      </c>
      <c r="J560" s="194">
        <f t="shared" si="44"/>
        <v>0</v>
      </c>
      <c r="K560" s="194">
        <f t="shared" si="44"/>
        <v>0</v>
      </c>
      <c r="L560" s="194">
        <f t="shared" si="44"/>
        <v>4532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4532</v>
      </c>
      <c r="J561" s="89">
        <f t="shared" si="45"/>
        <v>0</v>
      </c>
      <c r="K561" s="89">
        <f t="shared" si="45"/>
        <v>0</v>
      </c>
      <c r="L561" s="89">
        <f t="shared" si="45"/>
        <v>4532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>
        <v>0</v>
      </c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>
        <v>0</v>
      </c>
      <c r="H569" s="18">
        <v>0</v>
      </c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200691.24</v>
      </c>
      <c r="I572" s="87">
        <f t="shared" si="46"/>
        <v>200691.24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99803.5</v>
      </c>
      <c r="I573" s="87">
        <f t="shared" si="46"/>
        <v>99803.5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12196.34</v>
      </c>
      <c r="I574" s="87">
        <f t="shared" si="46"/>
        <v>12196.34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/>
      <c r="I581" s="18">
        <v>1371.88</v>
      </c>
      <c r="J581" s="18">
        <v>8439.14</v>
      </c>
      <c r="K581" s="104">
        <f t="shared" ref="K581:K587" si="47">SUM(H581:J581)</f>
        <v>9811.02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>
        <v>63.57</v>
      </c>
      <c r="J582" s="18">
        <v>3008.37</v>
      </c>
      <c r="K582" s="104">
        <f t="shared" si="47"/>
        <v>3071.94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25743</v>
      </c>
      <c r="K583" s="104">
        <f t="shared" si="47"/>
        <v>25743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13792.75</v>
      </c>
      <c r="J584" s="18">
        <v>25615.24</v>
      </c>
      <c r="K584" s="104">
        <f t="shared" si="47"/>
        <v>39407.990000000005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>
        <v>3319.27</v>
      </c>
      <c r="J585" s="18">
        <v>6164.35</v>
      </c>
      <c r="K585" s="104">
        <f t="shared" si="47"/>
        <v>9483.6200000000008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0</v>
      </c>
      <c r="I588" s="108">
        <f>SUM(I581:I587)</f>
        <v>18547.47</v>
      </c>
      <c r="J588" s="108">
        <f>SUM(J581:J587)</f>
        <v>68970.100000000006</v>
      </c>
      <c r="K588" s="108">
        <f>SUM(K581:K587)</f>
        <v>87517.57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>
        <v>51855.75</v>
      </c>
      <c r="J594" s="18">
        <v>96388.26</v>
      </c>
      <c r="K594" s="104">
        <f>SUM(H594:J594)</f>
        <v>148244.01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51855.75</v>
      </c>
      <c r="J595" s="108">
        <f>SUM(J592:J594)</f>
        <v>96388.26</v>
      </c>
      <c r="K595" s="108">
        <f>SUM(K592:K594)</f>
        <v>148244.01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23470.34</v>
      </c>
      <c r="G602" s="18">
        <v>3680.63</v>
      </c>
      <c r="H602" s="18">
        <v>0</v>
      </c>
      <c r="I602" s="18">
        <v>0</v>
      </c>
      <c r="J602" s="18"/>
      <c r="K602" s="18"/>
      <c r="L602" s="88">
        <f>SUM(F602:K602)</f>
        <v>27150.97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2090.3000000000002</v>
      </c>
      <c r="G603" s="18">
        <v>229.74</v>
      </c>
      <c r="H603" s="18">
        <v>1250</v>
      </c>
      <c r="I603" s="18">
        <v>0</v>
      </c>
      <c r="J603" s="18"/>
      <c r="K603" s="18"/>
      <c r="L603" s="88">
        <f>SUM(F603:K603)</f>
        <v>3570.04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25560.639999999999</v>
      </c>
      <c r="G604" s="108">
        <f t="shared" si="48"/>
        <v>3910.37</v>
      </c>
      <c r="H604" s="108">
        <f t="shared" si="48"/>
        <v>1250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30721.010000000002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479050.01999999996</v>
      </c>
      <c r="H607" s="109">
        <f>SUM(F44)</f>
        <v>479050.02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1545.21</v>
      </c>
      <c r="H608" s="109">
        <f>SUM(G44)</f>
        <v>1545.21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206243.03</v>
      </c>
      <c r="H611" s="109">
        <f>SUM(J44)</f>
        <v>206243.03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322155.3</v>
      </c>
      <c r="H612" s="109">
        <f>F466</f>
        <v>322155.30000000075</v>
      </c>
      <c r="I612" s="121" t="s">
        <v>106</v>
      </c>
      <c r="J612" s="109">
        <f t="shared" ref="J612:J645" si="49">G612-H612</f>
        <v>-7.5669959187507629E-10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1545.21</v>
      </c>
      <c r="H613" s="109">
        <f>G466</f>
        <v>1545.2099999999919</v>
      </c>
      <c r="I613" s="121" t="s">
        <v>108</v>
      </c>
      <c r="J613" s="109">
        <f t="shared" si="49"/>
        <v>8.1854523159563541E-12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206243.03</v>
      </c>
      <c r="H616" s="109">
        <f>J466</f>
        <v>206243.03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5946812.4799999995</v>
      </c>
      <c r="H617" s="104">
        <f>SUM(F458)</f>
        <v>5946812.4800000004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131108.12</v>
      </c>
      <c r="H618" s="104">
        <f>SUM(G458)</f>
        <v>131108.12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238706.00999999998</v>
      </c>
      <c r="H619" s="104">
        <f>SUM(H458)</f>
        <v>238706.01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435.43</v>
      </c>
      <c r="H620" s="104">
        <f>SUM(I458)</f>
        <v>435.43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55302.15</v>
      </c>
      <c r="H621" s="104">
        <f>SUM(J458)</f>
        <v>55302.15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6355096.5599999996</v>
      </c>
      <c r="H622" s="104">
        <f>SUM(F462)</f>
        <v>6355096.5599999996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239431.15999999997</v>
      </c>
      <c r="H623" s="104">
        <f>SUM(H462)</f>
        <v>239431.16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130418.5</v>
      </c>
      <c r="H625" s="104">
        <f>SUM(G462)</f>
        <v>130418.5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68836.88</v>
      </c>
      <c r="H626" s="104">
        <f>SUM(I462)</f>
        <v>68836.88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55302.15</v>
      </c>
      <c r="H627" s="164">
        <f>SUM(J458)</f>
        <v>55302.15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151103.71</v>
      </c>
      <c r="H629" s="104">
        <f>SUM(F451)</f>
        <v>151103.71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55139.32</v>
      </c>
      <c r="H630" s="104">
        <f>SUM(G451)</f>
        <v>55139.32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206243.03</v>
      </c>
      <c r="H632" s="104">
        <f>SUM(I451)</f>
        <v>206243.03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302.14999999999998</v>
      </c>
      <c r="H634" s="104">
        <f>H400</f>
        <v>302.14999999999998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55000</v>
      </c>
      <c r="H635" s="104">
        <f>G400</f>
        <v>55000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55302.15</v>
      </c>
      <c r="H636" s="104">
        <f>L400</f>
        <v>55302.15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87517.57</v>
      </c>
      <c r="H637" s="104">
        <f>L200+L218+L236</f>
        <v>87517.569999999992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148244.01</v>
      </c>
      <c r="H638" s="104">
        <f>(J249+J330)-(J247+J328)</f>
        <v>148244.01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0</v>
      </c>
      <c r="H639" s="104">
        <f>H588</f>
        <v>0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18547.47</v>
      </c>
      <c r="H640" s="104">
        <f>I588</f>
        <v>18547.47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68970.099999999991</v>
      </c>
      <c r="H641" s="104">
        <f>J588</f>
        <v>68970.100000000006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55000</v>
      </c>
      <c r="H645" s="104">
        <f>K258+K339</f>
        <v>55000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0</v>
      </c>
      <c r="G650" s="19">
        <f>(L221+L301+L351)</f>
        <v>1973234.7399999998</v>
      </c>
      <c r="H650" s="19">
        <f>(L239+L320+L352)</f>
        <v>3532180.2199999997</v>
      </c>
      <c r="I650" s="19">
        <f>SUM(F650:H650)</f>
        <v>5505414.959999999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32510.075561071473</v>
      </c>
      <c r="H651" s="19">
        <f>(L352/IF(SUM(L350:L352)=0,1,SUM(L350:L352))*(SUM(G89:G102)))</f>
        <v>60375.844438928521</v>
      </c>
      <c r="I651" s="19">
        <f>SUM(F651:H651)</f>
        <v>92885.92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0</v>
      </c>
      <c r="G652" s="19">
        <f>(L218+L298)-(J218+J298)</f>
        <v>18547.47</v>
      </c>
      <c r="H652" s="19">
        <f>(L236+L317)-(J236+J317)</f>
        <v>68970.099999999991</v>
      </c>
      <c r="I652" s="19">
        <f>SUM(F652:H652)</f>
        <v>87517.569999999992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0</v>
      </c>
      <c r="G653" s="200">
        <f>SUM(G565:G577)+SUM(I592:I594)+L602</f>
        <v>79006.720000000001</v>
      </c>
      <c r="H653" s="200">
        <f>SUM(H565:H577)+SUM(J592:J594)+L603</f>
        <v>412649.38</v>
      </c>
      <c r="I653" s="19">
        <f>SUM(F653:H653)</f>
        <v>491656.1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0</v>
      </c>
      <c r="G654" s="19">
        <f>G650-SUM(G651:G653)</f>
        <v>1843170.4744389283</v>
      </c>
      <c r="H654" s="19">
        <f>H650-SUM(H651:H653)</f>
        <v>2990184.8955610711</v>
      </c>
      <c r="I654" s="19">
        <f>I650-SUM(I651:I653)</f>
        <v>4833355.3699999992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>
        <v>101.68</v>
      </c>
      <c r="H655" s="249">
        <v>168.22</v>
      </c>
      <c r="I655" s="19">
        <f>SUM(F655:H655)</f>
        <v>269.89999999999998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>
        <f>ROUND(G654/G655,2)</f>
        <v>18127.169999999998</v>
      </c>
      <c r="H657" s="19">
        <f>ROUND(H654/H655,2)</f>
        <v>17775.439999999999</v>
      </c>
      <c r="I657" s="19">
        <f>ROUND(I654/I655,2)</f>
        <v>17907.95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-2.2599999999999998</v>
      </c>
      <c r="I660" s="19">
        <f>SUM(F660:H660)</f>
        <v>-2.2599999999999998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>
        <f>ROUND((G654+G659)/(G655+G660),2)</f>
        <v>18127.169999999998</v>
      </c>
      <c r="H662" s="19">
        <f>ROUND((H654+H659)/(H655+H660),2)</f>
        <v>18017.5</v>
      </c>
      <c r="I662" s="19">
        <f>ROUND((I654+I659)/(I655+I660),2)</f>
        <v>18059.169999999998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62555-1DE3-48E3-B8BB-8A93A09D71C3}">
  <sheetPr>
    <tabColor indexed="20"/>
  </sheetPr>
  <dimension ref="A1:C52"/>
  <sheetViews>
    <sheetView workbookViewId="0">
      <selection activeCell="B40" sqref="B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Profile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1182080.73</v>
      </c>
      <c r="C9" s="230">
        <f>'DOE25'!G189+'DOE25'!G207+'DOE25'!G225+'DOE25'!G268+'DOE25'!G287+'DOE25'!G306</f>
        <v>472016.15</v>
      </c>
    </row>
    <row r="10" spans="1:3" x14ac:dyDescent="0.2">
      <c r="A10" t="s">
        <v>810</v>
      </c>
      <c r="B10" s="241">
        <v>1131790.58</v>
      </c>
      <c r="C10" s="241">
        <v>446581.68</v>
      </c>
    </row>
    <row r="11" spans="1:3" x14ac:dyDescent="0.2">
      <c r="A11" t="s">
        <v>811</v>
      </c>
      <c r="B11" s="241">
        <v>21657.62</v>
      </c>
      <c r="C11" s="241">
        <v>23244.080000000002</v>
      </c>
    </row>
    <row r="12" spans="1:3" x14ac:dyDescent="0.2">
      <c r="A12" t="s">
        <v>812</v>
      </c>
      <c r="B12" s="241">
        <v>28632.53</v>
      </c>
      <c r="C12" s="241">
        <v>2190.39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1182080.7300000002</v>
      </c>
      <c r="C13" s="232">
        <f>SUM(C10:C12)</f>
        <v>472016.15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557580.42000000004</v>
      </c>
      <c r="C18" s="230">
        <f>'DOE25'!G190+'DOE25'!G208+'DOE25'!G226+'DOE25'!G269+'DOE25'!G288+'DOE25'!G307</f>
        <v>369356.03</v>
      </c>
    </row>
    <row r="19" spans="1:3" x14ac:dyDescent="0.2">
      <c r="A19" t="s">
        <v>810</v>
      </c>
      <c r="B19" s="241">
        <v>245462.79</v>
      </c>
      <c r="C19" s="241">
        <v>103441.94</v>
      </c>
    </row>
    <row r="20" spans="1:3" x14ac:dyDescent="0.2">
      <c r="A20" t="s">
        <v>811</v>
      </c>
      <c r="B20" s="241">
        <v>308267.63</v>
      </c>
      <c r="C20" s="241">
        <v>265267</v>
      </c>
    </row>
    <row r="21" spans="1:3" x14ac:dyDescent="0.2">
      <c r="A21" t="s">
        <v>812</v>
      </c>
      <c r="B21" s="241">
        <v>3850</v>
      </c>
      <c r="C21" s="241">
        <v>647.09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557580.42000000004</v>
      </c>
      <c r="C22" s="232">
        <f>SUM(C19:C21)</f>
        <v>369356.03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98171.33</v>
      </c>
      <c r="C27" s="235">
        <f>'DOE25'!G191+'DOE25'!G209+'DOE25'!G227+'DOE25'!G270+'DOE25'!G289+'DOE25'!G308</f>
        <v>37329.660000000003</v>
      </c>
    </row>
    <row r="28" spans="1:3" x14ac:dyDescent="0.2">
      <c r="A28" t="s">
        <v>810</v>
      </c>
      <c r="B28" s="241">
        <v>98171.33</v>
      </c>
      <c r="C28" s="241">
        <v>37329.660000000003</v>
      </c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98171.33</v>
      </c>
      <c r="C31" s="232">
        <f>SUM(C28:C30)</f>
        <v>37329.660000000003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100195.53</v>
      </c>
      <c r="C36" s="236">
        <f>'DOE25'!G192+'DOE25'!G210+'DOE25'!G228+'DOE25'!G271+'DOE25'!G290+'DOE25'!G309</f>
        <v>16099.570000000002</v>
      </c>
    </row>
    <row r="37" spans="1:3" x14ac:dyDescent="0.2">
      <c r="A37" t="s">
        <v>810</v>
      </c>
      <c r="B37" s="241">
        <v>38043.03</v>
      </c>
      <c r="C37" s="241">
        <v>8778.5</v>
      </c>
    </row>
    <row r="38" spans="1:3" x14ac:dyDescent="0.2">
      <c r="A38" t="s">
        <v>811</v>
      </c>
      <c r="B38" s="241">
        <v>24489</v>
      </c>
      <c r="C38" s="241">
        <v>4243.96</v>
      </c>
    </row>
    <row r="39" spans="1:3" x14ac:dyDescent="0.2">
      <c r="A39" t="s">
        <v>812</v>
      </c>
      <c r="B39" s="241">
        <v>37663.5</v>
      </c>
      <c r="C39" s="241">
        <v>3077.11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100195.53</v>
      </c>
      <c r="C40" s="232">
        <f>SUM(C37:C39)</f>
        <v>16099.57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F40D1-DDED-4E68-99A9-E0035D8CA7FC}">
  <sheetPr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Profile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3299031.75</v>
      </c>
      <c r="D5" s="20">
        <f>SUM('DOE25'!L189:L192)+SUM('DOE25'!L207:L210)+SUM('DOE25'!L225:L228)-F5-G5</f>
        <v>3196863.39</v>
      </c>
      <c r="E5" s="244"/>
      <c r="F5" s="256">
        <f>SUM('DOE25'!J189:J192)+SUM('DOE25'!J207:J210)+SUM('DOE25'!J225:J228)</f>
        <v>86158.75</v>
      </c>
      <c r="G5" s="53">
        <f>SUM('DOE25'!K189:K192)+SUM('DOE25'!K207:K210)+SUM('DOE25'!K225:K228)</f>
        <v>16009.61</v>
      </c>
      <c r="H5" s="260"/>
    </row>
    <row r="6" spans="1:9" x14ac:dyDescent="0.2">
      <c r="A6" s="32">
        <v>2100</v>
      </c>
      <c r="B6" t="s">
        <v>832</v>
      </c>
      <c r="C6" s="246">
        <f t="shared" si="0"/>
        <v>274107.53000000003</v>
      </c>
      <c r="D6" s="20">
        <f>'DOE25'!L194+'DOE25'!L212+'DOE25'!L230-F6-G6</f>
        <v>273858.53000000003</v>
      </c>
      <c r="E6" s="244"/>
      <c r="F6" s="256">
        <f>'DOE25'!J194+'DOE25'!J212+'DOE25'!J230</f>
        <v>249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203065.90000000002</v>
      </c>
      <c r="D7" s="20">
        <f>'DOE25'!L195+'DOE25'!L213+'DOE25'!L231-F7-G7</f>
        <v>168565.1</v>
      </c>
      <c r="E7" s="244"/>
      <c r="F7" s="256">
        <f>'DOE25'!J195+'DOE25'!J213+'DOE25'!J231</f>
        <v>6870.7</v>
      </c>
      <c r="G7" s="53">
        <f>'DOE25'!K195+'DOE25'!K213+'DOE25'!K231</f>
        <v>27630.1</v>
      </c>
      <c r="H7" s="260"/>
    </row>
    <row r="8" spans="1:9" x14ac:dyDescent="0.2">
      <c r="A8" s="32">
        <v>2300</v>
      </c>
      <c r="B8" t="s">
        <v>833</v>
      </c>
      <c r="C8" s="246">
        <f t="shared" si="0"/>
        <v>190443.35999999993</v>
      </c>
      <c r="D8" s="244"/>
      <c r="E8" s="20">
        <f>'DOE25'!L196+'DOE25'!L214+'DOE25'!L232-F8-G8-D9-D11</f>
        <v>173429.52999999994</v>
      </c>
      <c r="F8" s="256">
        <f>'DOE25'!J196+'DOE25'!J214+'DOE25'!J232</f>
        <v>0</v>
      </c>
      <c r="G8" s="53">
        <f>'DOE25'!K196+'DOE25'!K214+'DOE25'!K232</f>
        <v>17013.830000000002</v>
      </c>
      <c r="H8" s="260"/>
    </row>
    <row r="9" spans="1:9" x14ac:dyDescent="0.2">
      <c r="A9" s="32">
        <v>2310</v>
      </c>
      <c r="B9" t="s">
        <v>849</v>
      </c>
      <c r="C9" s="246">
        <f t="shared" si="0"/>
        <v>61305.57</v>
      </c>
      <c r="D9" s="245">
        <v>61305.57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7450.75</v>
      </c>
      <c r="D10" s="244"/>
      <c r="E10" s="245">
        <v>7450.75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33607.65</v>
      </c>
      <c r="D11" s="245">
        <v>33607.65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355236.85000000003</v>
      </c>
      <c r="D12" s="20">
        <f>'DOE25'!L197+'DOE25'!L215+'DOE25'!L233-F12-G12</f>
        <v>350017.57</v>
      </c>
      <c r="E12" s="244"/>
      <c r="F12" s="256">
        <f>'DOE25'!J197+'DOE25'!J215+'DOE25'!J233</f>
        <v>0</v>
      </c>
      <c r="G12" s="53">
        <f>'DOE25'!K197+'DOE25'!K215+'DOE25'!K233</f>
        <v>5219.28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631249.12</v>
      </c>
      <c r="D14" s="20">
        <f>'DOE25'!L199+'DOE25'!L217+'DOE25'!L235-F14-G14</f>
        <v>593117.25</v>
      </c>
      <c r="E14" s="244"/>
      <c r="F14" s="256">
        <f>'DOE25'!J199+'DOE25'!J217+'DOE25'!J235</f>
        <v>38131.870000000003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87517.569999999992</v>
      </c>
      <c r="D15" s="20">
        <f>'DOE25'!L200+'DOE25'!L218+'DOE25'!L236-F15-G15</f>
        <v>87517.569999999992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1142731.26</v>
      </c>
      <c r="D25" s="244"/>
      <c r="E25" s="244"/>
      <c r="F25" s="259"/>
      <c r="G25" s="257"/>
      <c r="H25" s="258">
        <f>'DOE25'!L252+'DOE25'!L253+'DOE25'!L333+'DOE25'!L334</f>
        <v>1142731.26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130418.5</v>
      </c>
      <c r="D29" s="20">
        <f>'DOE25'!L350+'DOE25'!L351+'DOE25'!L352-'DOE25'!I359-F29-G29</f>
        <v>130418.5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239431.15999999997</v>
      </c>
      <c r="D31" s="20">
        <f>'DOE25'!L282+'DOE25'!L301+'DOE25'!L320+'DOE25'!L325+'DOE25'!L326+'DOE25'!L327-F31-G31</f>
        <v>217185.64999999997</v>
      </c>
      <c r="E31" s="244"/>
      <c r="F31" s="256">
        <f>'DOE25'!J282+'DOE25'!J301+'DOE25'!J320+'DOE25'!J325+'DOE25'!J326+'DOE25'!J327</f>
        <v>16833.689999999999</v>
      </c>
      <c r="G31" s="53">
        <f>'DOE25'!K282+'DOE25'!K301+'DOE25'!K320+'DOE25'!K325+'DOE25'!K326+'DOE25'!K327</f>
        <v>5411.82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5112456.78</v>
      </c>
      <c r="E33" s="247">
        <f>SUM(E5:E31)</f>
        <v>180880.27999999994</v>
      </c>
      <c r="F33" s="247">
        <f>SUM(F5:F31)</f>
        <v>148244.01</v>
      </c>
      <c r="G33" s="247">
        <f>SUM(G5:G31)</f>
        <v>71284.640000000014</v>
      </c>
      <c r="H33" s="247">
        <f>SUM(H5:H31)</f>
        <v>1142731.26</v>
      </c>
    </row>
    <row r="35" spans="2:8" ht="12" thickBot="1" x14ac:dyDescent="0.25">
      <c r="B35" s="254" t="s">
        <v>878</v>
      </c>
      <c r="D35" s="255">
        <f>E33</f>
        <v>180880.27999999994</v>
      </c>
      <c r="E35" s="250"/>
    </row>
    <row r="36" spans="2:8" ht="12" thickTop="1" x14ac:dyDescent="0.2">
      <c r="B36" t="s">
        <v>846</v>
      </c>
      <c r="D36" s="20">
        <f>D33</f>
        <v>5112456.78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D5F5-A740-4702-B1EC-D1F41EC5C203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Profile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478265.97</v>
      </c>
      <c r="D9" s="95">
        <f>'DOE25'!G9</f>
        <v>-9374.77</v>
      </c>
      <c r="E9" s="95">
        <f>'DOE25'!H9</f>
        <v>-49541.1</v>
      </c>
      <c r="F9" s="95">
        <f>'DOE25'!I9</f>
        <v>0</v>
      </c>
      <c r="G9" s="95">
        <f>'DOE25'!J9</f>
        <v>206243.03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6676.93</v>
      </c>
      <c r="E13" s="95">
        <f>'DOE25'!H13</f>
        <v>49541.1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784.05</v>
      </c>
      <c r="D14" s="95">
        <f>'DOE25'!G14</f>
        <v>4243.05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479050.01999999996</v>
      </c>
      <c r="D19" s="41">
        <f>SUM(D9:D18)</f>
        <v>1545.21</v>
      </c>
      <c r="E19" s="41">
        <f>SUM(E9:E18)</f>
        <v>0</v>
      </c>
      <c r="F19" s="41">
        <f>SUM(F9:F18)</f>
        <v>0</v>
      </c>
      <c r="G19" s="41">
        <f>SUM(G9:G18)</f>
        <v>206243.03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156894.72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156894.72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25000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1545.21</v>
      </c>
      <c r="E40" s="95">
        <f>'DOE25'!H41</f>
        <v>0</v>
      </c>
      <c r="F40" s="95">
        <f>'DOE25'!I41</f>
        <v>0</v>
      </c>
      <c r="G40" s="95">
        <f>'DOE25'!J41</f>
        <v>206243.03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297155.3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322155.3</v>
      </c>
      <c r="D42" s="41">
        <f>SUM(D34:D41)</f>
        <v>1545.21</v>
      </c>
      <c r="E42" s="41">
        <f>SUM(E34:E41)</f>
        <v>0</v>
      </c>
      <c r="F42" s="41">
        <f>SUM(F34:F41)</f>
        <v>0</v>
      </c>
      <c r="G42" s="41">
        <f>SUM(G34:G41)</f>
        <v>206243.03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479050.02</v>
      </c>
      <c r="D43" s="41">
        <f>D42+D32</f>
        <v>1545.21</v>
      </c>
      <c r="E43" s="41">
        <f>E42+E32</f>
        <v>0</v>
      </c>
      <c r="F43" s="41">
        <f>F42+F32</f>
        <v>0</v>
      </c>
      <c r="G43" s="41">
        <f>G42+G32</f>
        <v>206243.03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3736991.5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13705.65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3634.2</v>
      </c>
      <c r="D51" s="95">
        <f>'DOE25'!G88</f>
        <v>0</v>
      </c>
      <c r="E51" s="95">
        <f>'DOE25'!H88</f>
        <v>0</v>
      </c>
      <c r="F51" s="95">
        <f>'DOE25'!I88</f>
        <v>435.43</v>
      </c>
      <c r="G51" s="95">
        <f>'DOE25'!J88</f>
        <v>302.14999999999998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92885.92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21820.78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39160.629999999997</v>
      </c>
      <c r="D54" s="130">
        <f>SUM(D49:D53)</f>
        <v>92885.92</v>
      </c>
      <c r="E54" s="130">
        <f>SUM(E49:E53)</f>
        <v>0</v>
      </c>
      <c r="F54" s="130">
        <f>SUM(F49:F53)</f>
        <v>435.43</v>
      </c>
      <c r="G54" s="130">
        <f>SUM(G49:G53)</f>
        <v>302.14999999999998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3776152.13</v>
      </c>
      <c r="D55" s="22">
        <f>D48+D54</f>
        <v>92885.92</v>
      </c>
      <c r="E55" s="22">
        <f>E48+E54</f>
        <v>0</v>
      </c>
      <c r="F55" s="22">
        <f>F48+F54</f>
        <v>435.43</v>
      </c>
      <c r="G55" s="22">
        <f>G48+G54</f>
        <v>302.14999999999998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626722.93999999994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865308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22731.06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1514762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356030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144539.35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4200.74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3150</v>
      </c>
      <c r="D69" s="95">
        <f>SUM('DOE25'!G123:G127)</f>
        <v>1015.47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507920.08999999997</v>
      </c>
      <c r="D70" s="130">
        <f>SUM(D64:D69)</f>
        <v>1015.47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2022682.0899999999</v>
      </c>
      <c r="D73" s="130">
        <f>SUM(D71:D72)+D70+D62</f>
        <v>1015.47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147277.18</v>
      </c>
      <c r="D80" s="95">
        <f>SUM('DOE25'!G145:G153)</f>
        <v>37206.730000000003</v>
      </c>
      <c r="E80" s="95">
        <f>SUM('DOE25'!H145:H153)</f>
        <v>238706.00999999998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701.08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147978.25999999998</v>
      </c>
      <c r="D83" s="131">
        <f>SUM(D77:D82)</f>
        <v>37206.730000000003</v>
      </c>
      <c r="E83" s="131">
        <f>SUM(E77:E82)</f>
        <v>238706.00999999998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55000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55000</v>
      </c>
    </row>
    <row r="96" spans="1:7" ht="12.75" thickTop="1" thickBot="1" x14ac:dyDescent="0.25">
      <c r="A96" s="33" t="s">
        <v>796</v>
      </c>
      <c r="C96" s="86">
        <f>C55+C73+C83+C95</f>
        <v>5946812.4799999995</v>
      </c>
      <c r="D96" s="86">
        <f>D55+D73+D83+D95</f>
        <v>131108.12</v>
      </c>
      <c r="E96" s="86">
        <f>E55+E73+E83+E95</f>
        <v>238706.00999999998</v>
      </c>
      <c r="F96" s="86">
        <f>F55+F73+F83+F95</f>
        <v>435.43</v>
      </c>
      <c r="G96" s="86">
        <f>G55+G73+G95</f>
        <v>55302.15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1833023.79</v>
      </c>
      <c r="D101" s="24" t="s">
        <v>312</v>
      </c>
      <c r="E101" s="95">
        <f>('DOE25'!L268)+('DOE25'!L287)+('DOE25'!L306)</f>
        <v>30096.54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1104526.49</v>
      </c>
      <c r="D102" s="24" t="s">
        <v>312</v>
      </c>
      <c r="E102" s="95">
        <f>('DOE25'!L269)+('DOE25'!L288)+('DOE25'!L307)</f>
        <v>167093.60999999999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164487.28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196994.19</v>
      </c>
      <c r="D104" s="24" t="s">
        <v>312</v>
      </c>
      <c r="E104" s="95">
        <f>+('DOE25'!L271)+('DOE25'!L290)+('DOE25'!L309)</f>
        <v>7605.5400000000009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3299031.75</v>
      </c>
      <c r="D107" s="86">
        <f>SUM(D101:D106)</f>
        <v>0</v>
      </c>
      <c r="E107" s="86">
        <f>SUM(E101:E106)</f>
        <v>204795.69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274107.53000000003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203065.90000000002</v>
      </c>
      <c r="D111" s="24" t="s">
        <v>312</v>
      </c>
      <c r="E111" s="95">
        <f>+('DOE25'!L274)+('DOE25'!L293)+('DOE25'!L312)</f>
        <v>29223.65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285356.57999999996</v>
      </c>
      <c r="D112" s="24" t="s">
        <v>312</v>
      </c>
      <c r="E112" s="95">
        <f>+('DOE25'!L275)+('DOE25'!L294)+('DOE25'!L313)</f>
        <v>5411.82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355236.85000000003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631249.12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87517.569999999992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130418.5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1836533.55</v>
      </c>
      <c r="D120" s="86">
        <f>SUM(D110:D119)</f>
        <v>130418.5</v>
      </c>
      <c r="E120" s="86">
        <f>SUM(E110:E119)</f>
        <v>34635.47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68836.88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650000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492731.26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55302.15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-302.15000000000146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21800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1219531.26</v>
      </c>
      <c r="D136" s="141">
        <f>SUM(D122:D135)</f>
        <v>0</v>
      </c>
      <c r="E136" s="141">
        <f>SUM(E122:E135)</f>
        <v>0</v>
      </c>
      <c r="F136" s="141">
        <f>SUM(F122:F135)</f>
        <v>68836.88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6355096.5599999996</v>
      </c>
      <c r="D137" s="86">
        <f>(D107+D120+D136)</f>
        <v>130418.5</v>
      </c>
      <c r="E137" s="86">
        <f>(E107+E120+E136)</f>
        <v>239431.16</v>
      </c>
      <c r="F137" s="86">
        <f>(F107+F120+F136)</f>
        <v>68836.88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01/07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01/27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12948800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4.04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11000000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11000000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650000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650000</v>
      </c>
    </row>
    <row r="151" spans="1:7" x14ac:dyDescent="0.2">
      <c r="A151" s="22" t="s">
        <v>35</v>
      </c>
      <c r="B151" s="137">
        <f>'DOE25'!F488</f>
        <v>10350000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10350000</v>
      </c>
    </row>
    <row r="152" spans="1:7" x14ac:dyDescent="0.2">
      <c r="A152" s="22" t="s">
        <v>36</v>
      </c>
      <c r="B152" s="137">
        <f>'DOE25'!F489</f>
        <v>3747056.38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3747056.38</v>
      </c>
    </row>
    <row r="153" spans="1:7" x14ac:dyDescent="0.2">
      <c r="A153" s="22" t="s">
        <v>37</v>
      </c>
      <c r="B153" s="137">
        <f>'DOE25'!F490</f>
        <v>14097056.379999999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14097056.379999999</v>
      </c>
    </row>
    <row r="154" spans="1:7" x14ac:dyDescent="0.2">
      <c r="A154" s="22" t="s">
        <v>38</v>
      </c>
      <c r="B154" s="137">
        <f>'DOE25'!F491</f>
        <v>650000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650000</v>
      </c>
    </row>
    <row r="155" spans="1:7" x14ac:dyDescent="0.2">
      <c r="A155" s="22" t="s">
        <v>39</v>
      </c>
      <c r="B155" s="137">
        <f>'DOE25'!F492</f>
        <v>463481.26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463481.26</v>
      </c>
    </row>
    <row r="156" spans="1:7" x14ac:dyDescent="0.2">
      <c r="A156" s="22" t="s">
        <v>269</v>
      </c>
      <c r="B156" s="137">
        <f>'DOE25'!F493</f>
        <v>1113481.26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1113481.26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9A3F-6C74-4217-BEDF-89C6BBA5EB33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Profile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18127</v>
      </c>
    </row>
    <row r="6" spans="1:4" x14ac:dyDescent="0.2">
      <c r="B6" t="s">
        <v>62</v>
      </c>
      <c r="C6" s="179">
        <f>IF('DOE25'!H655+'DOE25'!H660=0,0,ROUND('DOE25'!H662,0))</f>
        <v>18018</v>
      </c>
    </row>
    <row r="7" spans="1:4" x14ac:dyDescent="0.2">
      <c r="B7" t="s">
        <v>736</v>
      </c>
      <c r="C7" s="179">
        <f>IF('DOE25'!I655+'DOE25'!I660=0,0,ROUND('DOE25'!I662,0))</f>
        <v>18059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1863120</v>
      </c>
      <c r="D10" s="182">
        <f>ROUND((C10/$C$28)*100,1)</f>
        <v>31.4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1271620</v>
      </c>
      <c r="D11" s="182">
        <f>ROUND((C11/$C$28)*100,1)</f>
        <v>21.5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164487</v>
      </c>
      <c r="D12" s="182">
        <f>ROUND((C12/$C$28)*100,1)</f>
        <v>2.8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204600</v>
      </c>
      <c r="D13" s="182">
        <f>ROUND((C13/$C$28)*100,1)</f>
        <v>3.5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274108</v>
      </c>
      <c r="D15" s="182">
        <f t="shared" ref="D15:D27" si="0">ROUND((C15/$C$28)*100,1)</f>
        <v>4.5999999999999996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232290</v>
      </c>
      <c r="D16" s="182">
        <f t="shared" si="0"/>
        <v>3.9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290768</v>
      </c>
      <c r="D17" s="182">
        <f t="shared" si="0"/>
        <v>4.9000000000000004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355237</v>
      </c>
      <c r="D18" s="182">
        <f t="shared" si="0"/>
        <v>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631249</v>
      </c>
      <c r="D20" s="182">
        <f t="shared" si="0"/>
        <v>10.7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87518</v>
      </c>
      <c r="D21" s="182">
        <f t="shared" si="0"/>
        <v>1.5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492731</v>
      </c>
      <c r="D25" s="182">
        <f t="shared" si="0"/>
        <v>8.3000000000000007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21800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37533.08</v>
      </c>
      <c r="D27" s="182">
        <f t="shared" si="0"/>
        <v>0.6</v>
      </c>
    </row>
    <row r="28" spans="1:4" x14ac:dyDescent="0.2">
      <c r="B28" s="187" t="s">
        <v>754</v>
      </c>
      <c r="C28" s="180">
        <f>SUM(C10:C27)</f>
        <v>5927061.0800000001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68837</v>
      </c>
    </row>
    <row r="30" spans="1:4" x14ac:dyDescent="0.2">
      <c r="B30" s="187" t="s">
        <v>760</v>
      </c>
      <c r="C30" s="180">
        <f>SUM(C28:C29)</f>
        <v>5995898.0800000001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650000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3736992</v>
      </c>
      <c r="D35" s="182">
        <f t="shared" ref="D35:D40" si="1">ROUND((C35/$C$41)*100,1)</f>
        <v>60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39897.709999999963</v>
      </c>
      <c r="D36" s="182">
        <f t="shared" si="1"/>
        <v>0.6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1514762</v>
      </c>
      <c r="D37" s="182">
        <f t="shared" si="1"/>
        <v>24.3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508936</v>
      </c>
      <c r="D38" s="182">
        <f t="shared" si="1"/>
        <v>8.1999999999999993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423891</v>
      </c>
      <c r="D39" s="182">
        <f t="shared" si="1"/>
        <v>6.8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6224478.71</v>
      </c>
      <c r="D41" s="184">
        <f>SUM(D35:D40)</f>
        <v>99.9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477B-858D-4FF3-916B-35AEAC861A7C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Profile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2011-09-19T15:07:45Z</cp:lastPrinted>
  <dcterms:created xsi:type="dcterms:W3CDTF">1997-12-04T19:04:30Z</dcterms:created>
  <dcterms:modified xsi:type="dcterms:W3CDTF">2025-01-10T20:34:49Z</dcterms:modified>
</cp:coreProperties>
</file>