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628E6CC8-7F92-4380-A92A-E3DF5620846B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0A93A4AA-70CC-44C0-B05A-42FAB8B86885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6" i="1" l="1"/>
  <c r="H218" i="1"/>
  <c r="H200" i="1"/>
  <c r="J594" i="1"/>
  <c r="I594" i="1"/>
  <c r="H594" i="1"/>
  <c r="G513" i="1"/>
  <c r="F513" i="1"/>
  <c r="K511" i="1"/>
  <c r="J511" i="1"/>
  <c r="J514" i="1" s="1"/>
  <c r="J535" i="1" s="1"/>
  <c r="H511" i="1"/>
  <c r="G511" i="1"/>
  <c r="G514" i="1" s="1"/>
  <c r="F511" i="1"/>
  <c r="K513" i="1"/>
  <c r="J513" i="1"/>
  <c r="I513" i="1"/>
  <c r="H513" i="1"/>
  <c r="K512" i="1"/>
  <c r="J512" i="1"/>
  <c r="I512" i="1"/>
  <c r="H512" i="1"/>
  <c r="G512" i="1"/>
  <c r="F512" i="1"/>
  <c r="I511" i="1"/>
  <c r="I514" i="1" s="1"/>
  <c r="I535" i="1" s="1"/>
  <c r="F517" i="1"/>
  <c r="J518" i="1"/>
  <c r="I518" i="1"/>
  <c r="H518" i="1"/>
  <c r="J517" i="1"/>
  <c r="I517" i="1"/>
  <c r="H517" i="1"/>
  <c r="J516" i="1"/>
  <c r="I516" i="1"/>
  <c r="H516" i="1"/>
  <c r="L516" i="1" s="1"/>
  <c r="F518" i="1"/>
  <c r="G518" i="1"/>
  <c r="L518" i="1" s="1"/>
  <c r="G541" i="1" s="1"/>
  <c r="G517" i="1"/>
  <c r="G516" i="1"/>
  <c r="F516" i="1"/>
  <c r="I352" i="1"/>
  <c r="I351" i="1"/>
  <c r="L351" i="1" s="1"/>
  <c r="G651" i="1" s="1"/>
  <c r="I350" i="1"/>
  <c r="L350" i="1" s="1"/>
  <c r="J312" i="1"/>
  <c r="I312" i="1"/>
  <c r="H312" i="1"/>
  <c r="G312" i="1"/>
  <c r="G320" i="1" s="1"/>
  <c r="F312" i="1"/>
  <c r="J293" i="1"/>
  <c r="J301" i="1" s="1"/>
  <c r="J330" i="1" s="1"/>
  <c r="J344" i="1" s="1"/>
  <c r="I293" i="1"/>
  <c r="H293" i="1"/>
  <c r="G293" i="1"/>
  <c r="F293" i="1"/>
  <c r="J274" i="1"/>
  <c r="I274" i="1"/>
  <c r="H274" i="1"/>
  <c r="G274" i="1"/>
  <c r="F274" i="1"/>
  <c r="H307" i="1"/>
  <c r="H320" i="1" s="1"/>
  <c r="H330" i="1" s="1"/>
  <c r="H344" i="1" s="1"/>
  <c r="G307" i="1"/>
  <c r="F307" i="1"/>
  <c r="F320" i="1" s="1"/>
  <c r="F330" i="1" s="1"/>
  <c r="F344" i="1" s="1"/>
  <c r="H288" i="1"/>
  <c r="G288" i="1"/>
  <c r="F288" i="1"/>
  <c r="H269" i="1"/>
  <c r="G269" i="1"/>
  <c r="F269" i="1"/>
  <c r="L269" i="1" s="1"/>
  <c r="H268" i="1"/>
  <c r="G268" i="1"/>
  <c r="F268" i="1"/>
  <c r="H226" i="1"/>
  <c r="H239" i="1" s="1"/>
  <c r="H237" i="1"/>
  <c r="H201" i="1"/>
  <c r="L201" i="1" s="1"/>
  <c r="H219" i="1"/>
  <c r="J235" i="1"/>
  <c r="I235" i="1"/>
  <c r="H235" i="1"/>
  <c r="G235" i="1"/>
  <c r="F235" i="1"/>
  <c r="L235" i="1" s="1"/>
  <c r="J217" i="1"/>
  <c r="I217" i="1"/>
  <c r="H217" i="1"/>
  <c r="G217" i="1"/>
  <c r="L217" i="1" s="1"/>
  <c r="F217" i="1"/>
  <c r="J199" i="1"/>
  <c r="J203" i="1" s="1"/>
  <c r="I199" i="1"/>
  <c r="H199" i="1"/>
  <c r="G199" i="1"/>
  <c r="F199" i="1"/>
  <c r="L199" i="1" s="1"/>
  <c r="K234" i="1"/>
  <c r="G13" i="13" s="1"/>
  <c r="H234" i="1"/>
  <c r="G234" i="1"/>
  <c r="F234" i="1"/>
  <c r="K216" i="1"/>
  <c r="H216" i="1"/>
  <c r="G216" i="1"/>
  <c r="F216" i="1"/>
  <c r="L216" i="1" s="1"/>
  <c r="K198" i="1"/>
  <c r="H198" i="1"/>
  <c r="G198" i="1"/>
  <c r="F198" i="1"/>
  <c r="L198" i="1" s="1"/>
  <c r="J232" i="1"/>
  <c r="I232" i="1"/>
  <c r="H232" i="1"/>
  <c r="L232" i="1" s="1"/>
  <c r="G232" i="1"/>
  <c r="F232" i="1"/>
  <c r="K214" i="1"/>
  <c r="G8" i="13" s="1"/>
  <c r="J214" i="1"/>
  <c r="I214" i="1"/>
  <c r="L214" i="1" s="1"/>
  <c r="H214" i="1"/>
  <c r="G214" i="1"/>
  <c r="F214" i="1"/>
  <c r="K196" i="1"/>
  <c r="J196" i="1"/>
  <c r="I196" i="1"/>
  <c r="L196" i="1" s="1"/>
  <c r="H196" i="1"/>
  <c r="G196" i="1"/>
  <c r="F196" i="1"/>
  <c r="J231" i="1"/>
  <c r="F7" i="13" s="1"/>
  <c r="I231" i="1"/>
  <c r="H231" i="1"/>
  <c r="L231" i="1" s="1"/>
  <c r="G231" i="1"/>
  <c r="F231" i="1"/>
  <c r="J213" i="1"/>
  <c r="I213" i="1"/>
  <c r="H213" i="1"/>
  <c r="G213" i="1"/>
  <c r="F213" i="1"/>
  <c r="L213" i="1" s="1"/>
  <c r="J195" i="1"/>
  <c r="I195" i="1"/>
  <c r="H195" i="1"/>
  <c r="G195" i="1"/>
  <c r="F195" i="1"/>
  <c r="L195" i="1" s="1"/>
  <c r="I230" i="1"/>
  <c r="H230" i="1"/>
  <c r="G230" i="1"/>
  <c r="F230" i="1"/>
  <c r="L230" i="1" s="1"/>
  <c r="I212" i="1"/>
  <c r="H212" i="1"/>
  <c r="G212" i="1"/>
  <c r="L212" i="1" s="1"/>
  <c r="F212" i="1"/>
  <c r="I194" i="1"/>
  <c r="H194" i="1"/>
  <c r="G194" i="1"/>
  <c r="F194" i="1"/>
  <c r="F203" i="1" s="1"/>
  <c r="K226" i="1"/>
  <c r="J226" i="1"/>
  <c r="I226" i="1"/>
  <c r="G226" i="1"/>
  <c r="F226" i="1"/>
  <c r="L226" i="1" s="1"/>
  <c r="K208" i="1"/>
  <c r="J208" i="1"/>
  <c r="I208" i="1"/>
  <c r="H208" i="1"/>
  <c r="G208" i="1"/>
  <c r="C18" i="12" s="1"/>
  <c r="F208" i="1"/>
  <c r="K190" i="1"/>
  <c r="L190" i="1" s="1"/>
  <c r="J190" i="1"/>
  <c r="I190" i="1"/>
  <c r="H190" i="1"/>
  <c r="G190" i="1"/>
  <c r="F190" i="1"/>
  <c r="H225" i="1"/>
  <c r="G225" i="1"/>
  <c r="F225" i="1"/>
  <c r="H207" i="1"/>
  <c r="G207" i="1"/>
  <c r="L207" i="1" s="1"/>
  <c r="F207" i="1"/>
  <c r="H189" i="1"/>
  <c r="H203" i="1" s="1"/>
  <c r="G189" i="1"/>
  <c r="F189" i="1"/>
  <c r="K233" i="1"/>
  <c r="I233" i="1"/>
  <c r="H233" i="1"/>
  <c r="G233" i="1"/>
  <c r="F233" i="1"/>
  <c r="L233" i="1" s="1"/>
  <c r="K231" i="1"/>
  <c r="K230" i="1"/>
  <c r="J230" i="1"/>
  <c r="F6" i="13" s="1"/>
  <c r="K228" i="1"/>
  <c r="J228" i="1"/>
  <c r="J239" i="1" s="1"/>
  <c r="I228" i="1"/>
  <c r="H228" i="1"/>
  <c r="G228" i="1"/>
  <c r="F228" i="1"/>
  <c r="L228" i="1" s="1"/>
  <c r="H227" i="1"/>
  <c r="L227" i="1" s="1"/>
  <c r="J225" i="1"/>
  <c r="I225" i="1"/>
  <c r="K215" i="1"/>
  <c r="I215" i="1"/>
  <c r="H215" i="1"/>
  <c r="H221" i="1" s="1"/>
  <c r="G215" i="1"/>
  <c r="F215" i="1"/>
  <c r="F221" i="1" s="1"/>
  <c r="J212" i="1"/>
  <c r="I210" i="1"/>
  <c r="H210" i="1"/>
  <c r="G210" i="1"/>
  <c r="F210" i="1"/>
  <c r="L210" i="1" s="1"/>
  <c r="J207" i="1"/>
  <c r="I207" i="1"/>
  <c r="K197" i="1"/>
  <c r="I197" i="1"/>
  <c r="H197" i="1"/>
  <c r="G197" i="1"/>
  <c r="F197" i="1"/>
  <c r="L197" i="1" s="1"/>
  <c r="K194" i="1"/>
  <c r="G192" i="1"/>
  <c r="F192" i="1"/>
  <c r="K189" i="1"/>
  <c r="G5" i="13" s="1"/>
  <c r="J189" i="1"/>
  <c r="F5" i="13" s="1"/>
  <c r="I189" i="1"/>
  <c r="F113" i="1"/>
  <c r="F132" i="1" s="1"/>
  <c r="F128" i="1"/>
  <c r="G128" i="1"/>
  <c r="H132" i="1"/>
  <c r="C37" i="10"/>
  <c r="C60" i="2"/>
  <c r="B2" i="13"/>
  <c r="F8" i="13"/>
  <c r="D39" i="13"/>
  <c r="F13" i="13"/>
  <c r="F16" i="13"/>
  <c r="G16" i="13"/>
  <c r="L219" i="1"/>
  <c r="L237" i="1"/>
  <c r="L191" i="1"/>
  <c r="L192" i="1"/>
  <c r="L209" i="1"/>
  <c r="L225" i="1"/>
  <c r="G6" i="13"/>
  <c r="G7" i="13"/>
  <c r="F12" i="13"/>
  <c r="G12" i="13"/>
  <c r="G14" i="13"/>
  <c r="F15" i="13"/>
  <c r="G15" i="13"/>
  <c r="L200" i="1"/>
  <c r="L218" i="1"/>
  <c r="L236" i="1"/>
  <c r="D15" i="13"/>
  <c r="C15" i="13" s="1"/>
  <c r="F17" i="13"/>
  <c r="D17" i="13" s="1"/>
  <c r="C17" i="13" s="1"/>
  <c r="G17" i="13"/>
  <c r="L243" i="1"/>
  <c r="F18" i="13"/>
  <c r="G18" i="13"/>
  <c r="L244" i="1"/>
  <c r="D18" i="13"/>
  <c r="C18" i="13" s="1"/>
  <c r="F19" i="13"/>
  <c r="G19" i="13"/>
  <c r="L245" i="1"/>
  <c r="D19" i="13"/>
  <c r="C19" i="13" s="1"/>
  <c r="F29" i="13"/>
  <c r="G29" i="13"/>
  <c r="L352" i="1"/>
  <c r="I359" i="1"/>
  <c r="J282" i="1"/>
  <c r="J320" i="1"/>
  <c r="K282" i="1"/>
  <c r="G31" i="13" s="1"/>
  <c r="K301" i="1"/>
  <c r="K320" i="1"/>
  <c r="L268" i="1"/>
  <c r="L270" i="1"/>
  <c r="L271" i="1"/>
  <c r="L273" i="1"/>
  <c r="L274" i="1"/>
  <c r="L275" i="1"/>
  <c r="L276" i="1"/>
  <c r="L277" i="1"/>
  <c r="E114" i="2" s="1"/>
  <c r="L278" i="1"/>
  <c r="L279" i="1"/>
  <c r="F652" i="1" s="1"/>
  <c r="I652" i="1" s="1"/>
  <c r="L280" i="1"/>
  <c r="L287" i="1"/>
  <c r="L288" i="1"/>
  <c r="L289" i="1"/>
  <c r="L290" i="1"/>
  <c r="L292" i="1"/>
  <c r="L294" i="1"/>
  <c r="L295" i="1"/>
  <c r="E113" i="2" s="1"/>
  <c r="L296" i="1"/>
  <c r="L297" i="1"/>
  <c r="E115" i="2" s="1"/>
  <c r="L298" i="1"/>
  <c r="L299" i="1"/>
  <c r="L306" i="1"/>
  <c r="L308" i="1"/>
  <c r="L309" i="1"/>
  <c r="L311" i="1"/>
  <c r="L313" i="1"/>
  <c r="E112" i="2" s="1"/>
  <c r="L314" i="1"/>
  <c r="L315" i="1"/>
  <c r="L316" i="1"/>
  <c r="L317" i="1"/>
  <c r="L318" i="1"/>
  <c r="L325" i="1"/>
  <c r="L326" i="1"/>
  <c r="L327" i="1"/>
  <c r="L252" i="1"/>
  <c r="H25" i="13" s="1"/>
  <c r="L253" i="1"/>
  <c r="L333" i="1"/>
  <c r="L334" i="1"/>
  <c r="L247" i="1"/>
  <c r="F22" i="13" s="1"/>
  <c r="C22" i="13" s="1"/>
  <c r="L328" i="1"/>
  <c r="C11" i="13"/>
  <c r="C10" i="13"/>
  <c r="C9" i="13"/>
  <c r="L353" i="1"/>
  <c r="B4" i="12"/>
  <c r="B36" i="12"/>
  <c r="C36" i="12"/>
  <c r="B40" i="12"/>
  <c r="C40" i="12"/>
  <c r="A40" i="12"/>
  <c r="B27" i="12"/>
  <c r="C27" i="12"/>
  <c r="B31" i="12"/>
  <c r="C31" i="12"/>
  <c r="A31" i="12"/>
  <c r="B9" i="12"/>
  <c r="B13" i="12"/>
  <c r="C13" i="12"/>
  <c r="B22" i="12"/>
  <c r="C22" i="12"/>
  <c r="B1" i="12"/>
  <c r="L379" i="1"/>
  <c r="L385" i="1" s="1"/>
  <c r="L380" i="1"/>
  <c r="L381" i="1"/>
  <c r="L382" i="1"/>
  <c r="L383" i="1"/>
  <c r="L384" i="1"/>
  <c r="L387" i="1"/>
  <c r="L388" i="1"/>
  <c r="L389" i="1"/>
  <c r="L390" i="1"/>
  <c r="L393" i="1" s="1"/>
  <c r="C131" i="2" s="1"/>
  <c r="L391" i="1"/>
  <c r="L392" i="1"/>
  <c r="L395" i="1"/>
  <c r="L399" i="1" s="1"/>
  <c r="C132" i="2" s="1"/>
  <c r="L396" i="1"/>
  <c r="L397" i="1"/>
  <c r="L398" i="1"/>
  <c r="L258" i="1"/>
  <c r="J52" i="1"/>
  <c r="J104" i="1" s="1"/>
  <c r="G51" i="2"/>
  <c r="G54" i="2" s="1"/>
  <c r="G53" i="2"/>
  <c r="F2" i="11"/>
  <c r="L603" i="1"/>
  <c r="H653" i="1" s="1"/>
  <c r="L602" i="1"/>
  <c r="G653" i="1" s="1"/>
  <c r="I653" i="1" s="1"/>
  <c r="L601" i="1"/>
  <c r="F653" i="1"/>
  <c r="C40" i="10"/>
  <c r="F52" i="1"/>
  <c r="F104" i="1" s="1"/>
  <c r="G52" i="1"/>
  <c r="G104" i="1" s="1"/>
  <c r="H52" i="1"/>
  <c r="I52" i="1"/>
  <c r="F48" i="2" s="1"/>
  <c r="F55" i="2" s="1"/>
  <c r="F71" i="1"/>
  <c r="C49" i="2" s="1"/>
  <c r="C54" i="2" s="1"/>
  <c r="F86" i="1"/>
  <c r="F103" i="1"/>
  <c r="G103" i="1"/>
  <c r="H71" i="1"/>
  <c r="H104" i="1" s="1"/>
  <c r="H185" i="1" s="1"/>
  <c r="G619" i="1" s="1"/>
  <c r="J619" i="1" s="1"/>
  <c r="H86" i="1"/>
  <c r="H103" i="1"/>
  <c r="I103" i="1"/>
  <c r="J103" i="1"/>
  <c r="G113" i="1"/>
  <c r="G132" i="1" s="1"/>
  <c r="H113" i="1"/>
  <c r="H128" i="1"/>
  <c r="I113" i="1"/>
  <c r="I128" i="1"/>
  <c r="I132" i="1"/>
  <c r="J113" i="1"/>
  <c r="J128" i="1"/>
  <c r="J132" i="1" s="1"/>
  <c r="F139" i="1"/>
  <c r="F161" i="1" s="1"/>
  <c r="C39" i="10" s="1"/>
  <c r="F154" i="1"/>
  <c r="G139" i="1"/>
  <c r="G154" i="1"/>
  <c r="G161" i="1"/>
  <c r="H139" i="1"/>
  <c r="H154" i="1"/>
  <c r="H161" i="1"/>
  <c r="I139" i="1"/>
  <c r="I154" i="1"/>
  <c r="I161" i="1" s="1"/>
  <c r="L242" i="1"/>
  <c r="C105" i="2" s="1"/>
  <c r="L324" i="1"/>
  <c r="C23" i="10"/>
  <c r="L246" i="1"/>
  <c r="C24" i="10"/>
  <c r="C25" i="10"/>
  <c r="L260" i="1"/>
  <c r="C26" i="10" s="1"/>
  <c r="L261" i="1"/>
  <c r="L341" i="1"/>
  <c r="L342" i="1"/>
  <c r="I655" i="1"/>
  <c r="I660" i="1"/>
  <c r="G652" i="1"/>
  <c r="H652" i="1"/>
  <c r="I659" i="1"/>
  <c r="C42" i="10"/>
  <c r="L366" i="1"/>
  <c r="L374" i="1" s="1"/>
  <c r="G626" i="1" s="1"/>
  <c r="J626" i="1" s="1"/>
  <c r="L367" i="1"/>
  <c r="L368" i="1"/>
  <c r="L369" i="1"/>
  <c r="L370" i="1"/>
  <c r="L371" i="1"/>
  <c r="L372" i="1"/>
  <c r="B2" i="10"/>
  <c r="L336" i="1"/>
  <c r="L343" i="1" s="1"/>
  <c r="L337" i="1"/>
  <c r="L338" i="1"/>
  <c r="L339" i="1"/>
  <c r="K343" i="1"/>
  <c r="L512" i="1"/>
  <c r="F540" i="1" s="1"/>
  <c r="K540" i="1" s="1"/>
  <c r="L513" i="1"/>
  <c r="F541" i="1" s="1"/>
  <c r="L517" i="1"/>
  <c r="G540" i="1"/>
  <c r="L521" i="1"/>
  <c r="H539" i="1" s="1"/>
  <c r="H542" i="1" s="1"/>
  <c r="L522" i="1"/>
  <c r="H540" i="1" s="1"/>
  <c r="L523" i="1"/>
  <c r="H541" i="1" s="1"/>
  <c r="L526" i="1"/>
  <c r="I539" i="1"/>
  <c r="I542" i="1" s="1"/>
  <c r="L527" i="1"/>
  <c r="I540" i="1"/>
  <c r="L528" i="1"/>
  <c r="I541" i="1"/>
  <c r="L531" i="1"/>
  <c r="J539" i="1" s="1"/>
  <c r="J542" i="1" s="1"/>
  <c r="L532" i="1"/>
  <c r="J540" i="1" s="1"/>
  <c r="L533" i="1"/>
  <c r="J541" i="1"/>
  <c r="E124" i="2"/>
  <c r="E123" i="2"/>
  <c r="K262" i="1"/>
  <c r="J262" i="1"/>
  <c r="I262" i="1"/>
  <c r="H262" i="1"/>
  <c r="G262" i="1"/>
  <c r="F262" i="1"/>
  <c r="C124" i="2"/>
  <c r="A1" i="2"/>
  <c r="A2" i="2"/>
  <c r="C9" i="2"/>
  <c r="D9" i="2"/>
  <c r="D19" i="2" s="1"/>
  <c r="E9" i="2"/>
  <c r="F9" i="2"/>
  <c r="I431" i="1"/>
  <c r="J9" i="1"/>
  <c r="G9" i="2"/>
  <c r="C10" i="2"/>
  <c r="D10" i="2"/>
  <c r="E10" i="2"/>
  <c r="E19" i="2" s="1"/>
  <c r="F10" i="2"/>
  <c r="I432" i="1"/>
  <c r="I438" i="1" s="1"/>
  <c r="G632" i="1" s="1"/>
  <c r="J632" i="1" s="1"/>
  <c r="C11" i="2"/>
  <c r="C12" i="2"/>
  <c r="C19" i="2" s="1"/>
  <c r="D12" i="2"/>
  <c r="E12" i="2"/>
  <c r="F12" i="2"/>
  <c r="I433" i="1"/>
  <c r="J12" i="1" s="1"/>
  <c r="G12" i="2" s="1"/>
  <c r="C13" i="2"/>
  <c r="D13" i="2"/>
  <c r="E13" i="2"/>
  <c r="F13" i="2"/>
  <c r="F19" i="2" s="1"/>
  <c r="I434" i="1"/>
  <c r="J13" i="1"/>
  <c r="G13" i="2" s="1"/>
  <c r="C14" i="2"/>
  <c r="D14" i="2"/>
  <c r="E14" i="2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 s="1"/>
  <c r="G17" i="2" s="1"/>
  <c r="C18" i="2"/>
  <c r="D18" i="2"/>
  <c r="E18" i="2"/>
  <c r="F18" i="2"/>
  <c r="I437" i="1"/>
  <c r="J18" i="1"/>
  <c r="G18" i="2"/>
  <c r="C22" i="2"/>
  <c r="D22" i="2"/>
  <c r="D32" i="2" s="1"/>
  <c r="E22" i="2"/>
  <c r="F22" i="2"/>
  <c r="I440" i="1"/>
  <c r="J23" i="1"/>
  <c r="G22" i="2"/>
  <c r="C23" i="2"/>
  <c r="C32" i="2" s="1"/>
  <c r="D23" i="2"/>
  <c r="E23" i="2"/>
  <c r="E32" i="2" s="1"/>
  <c r="F23" i="2"/>
  <c r="F32" i="2" s="1"/>
  <c r="I441" i="1"/>
  <c r="I444" i="1" s="1"/>
  <c r="I451" i="1" s="1"/>
  <c r="H632" i="1" s="1"/>
  <c r="C24" i="2"/>
  <c r="D24" i="2"/>
  <c r="E24" i="2"/>
  <c r="F24" i="2"/>
  <c r="I442" i="1"/>
  <c r="J25" i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 s="1"/>
  <c r="G31" i="2" s="1"/>
  <c r="C34" i="2"/>
  <c r="D34" i="2"/>
  <c r="E34" i="2"/>
  <c r="F34" i="2"/>
  <c r="C35" i="2"/>
  <c r="D35" i="2"/>
  <c r="E35" i="2"/>
  <c r="F35" i="2"/>
  <c r="C36" i="2"/>
  <c r="C42" i="2" s="1"/>
  <c r="D36" i="2"/>
  <c r="E36" i="2"/>
  <c r="F36" i="2"/>
  <c r="I446" i="1"/>
  <c r="J37" i="1"/>
  <c r="G36" i="2"/>
  <c r="C37" i="2"/>
  <c r="D37" i="2"/>
  <c r="D42" i="2" s="1"/>
  <c r="E37" i="2"/>
  <c r="F37" i="2"/>
  <c r="F42" i="2" s="1"/>
  <c r="I447" i="1"/>
  <c r="J38" i="1"/>
  <c r="G37" i="2" s="1"/>
  <c r="C38" i="2"/>
  <c r="D38" i="2"/>
  <c r="E38" i="2"/>
  <c r="F38" i="2"/>
  <c r="I448" i="1"/>
  <c r="J40" i="1" s="1"/>
  <c r="G39" i="2" s="1"/>
  <c r="C40" i="2"/>
  <c r="D40" i="2"/>
  <c r="E40" i="2"/>
  <c r="F40" i="2"/>
  <c r="I449" i="1"/>
  <c r="J41" i="1"/>
  <c r="G40" i="2" s="1"/>
  <c r="C41" i="2"/>
  <c r="D41" i="2"/>
  <c r="E41" i="2"/>
  <c r="F41" i="2"/>
  <c r="E42" i="2"/>
  <c r="E43" i="2" s="1"/>
  <c r="C48" i="2"/>
  <c r="C55" i="2" s="1"/>
  <c r="C96" i="2" s="1"/>
  <c r="E48" i="2"/>
  <c r="E49" i="2"/>
  <c r="E54" i="2" s="1"/>
  <c r="C50" i="2"/>
  <c r="E50" i="2"/>
  <c r="C51" i="2"/>
  <c r="D51" i="2"/>
  <c r="E51" i="2"/>
  <c r="F51" i="2"/>
  <c r="D52" i="2"/>
  <c r="C53" i="2"/>
  <c r="D53" i="2"/>
  <c r="E53" i="2"/>
  <c r="F53" i="2"/>
  <c r="F54" i="2" s="1"/>
  <c r="D54" i="2"/>
  <c r="C58" i="2"/>
  <c r="C59" i="2"/>
  <c r="C62" i="2" s="1"/>
  <c r="C61" i="2"/>
  <c r="D61" i="2"/>
  <c r="D62" i="2" s="1"/>
  <c r="E61" i="2"/>
  <c r="F61" i="2"/>
  <c r="F62" i="2" s="1"/>
  <c r="G61" i="2"/>
  <c r="E62" i="2"/>
  <c r="G62" i="2"/>
  <c r="C64" i="2"/>
  <c r="F64" i="2"/>
  <c r="C65" i="2"/>
  <c r="F65" i="2"/>
  <c r="C66" i="2"/>
  <c r="C67" i="2"/>
  <c r="C70" i="2" s="1"/>
  <c r="C73" i="2" s="1"/>
  <c r="C68" i="2"/>
  <c r="E68" i="2"/>
  <c r="E70" i="2" s="1"/>
  <c r="E73" i="2" s="1"/>
  <c r="F68" i="2"/>
  <c r="C69" i="2"/>
  <c r="D69" i="2"/>
  <c r="E69" i="2"/>
  <c r="F69" i="2"/>
  <c r="G69" i="2"/>
  <c r="G70" i="2" s="1"/>
  <c r="G73" i="2" s="1"/>
  <c r="D70" i="2"/>
  <c r="D73" i="2" s="1"/>
  <c r="F70" i="2"/>
  <c r="F73" i="2" s="1"/>
  <c r="C71" i="2"/>
  <c r="D71" i="2"/>
  <c r="E71" i="2"/>
  <c r="C72" i="2"/>
  <c r="E72" i="2"/>
  <c r="C77" i="2"/>
  <c r="C83" i="2" s="1"/>
  <c r="D77" i="2"/>
  <c r="E77" i="2"/>
  <c r="F77" i="2"/>
  <c r="C79" i="2"/>
  <c r="E79" i="2"/>
  <c r="F79" i="2"/>
  <c r="F83" i="2" s="1"/>
  <c r="C80" i="2"/>
  <c r="D80" i="2"/>
  <c r="D83" i="2" s="1"/>
  <c r="E80" i="2"/>
  <c r="E83" i="2" s="1"/>
  <c r="F80" i="2"/>
  <c r="C81" i="2"/>
  <c r="D81" i="2"/>
  <c r="E81" i="2"/>
  <c r="F81" i="2"/>
  <c r="C82" i="2"/>
  <c r="C85" i="2"/>
  <c r="C95" i="2" s="1"/>
  <c r="F85" i="2"/>
  <c r="C86" i="2"/>
  <c r="F86" i="2"/>
  <c r="D88" i="2"/>
  <c r="D95" i="2" s="1"/>
  <c r="E88" i="2"/>
  <c r="E95" i="2" s="1"/>
  <c r="F88" i="2"/>
  <c r="G88" i="2"/>
  <c r="C89" i="2"/>
  <c r="D89" i="2"/>
  <c r="E89" i="2"/>
  <c r="F89" i="2"/>
  <c r="G89" i="2"/>
  <c r="G95" i="2" s="1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F95" i="2" s="1"/>
  <c r="C94" i="2"/>
  <c r="D94" i="2"/>
  <c r="E94" i="2"/>
  <c r="F94" i="2"/>
  <c r="E101" i="2"/>
  <c r="E103" i="2"/>
  <c r="E104" i="2"/>
  <c r="E105" i="2"/>
  <c r="C106" i="2"/>
  <c r="E106" i="2"/>
  <c r="D107" i="2"/>
  <c r="F107" i="2"/>
  <c r="G107" i="2"/>
  <c r="E110" i="2"/>
  <c r="C116" i="2"/>
  <c r="E117" i="2"/>
  <c r="F120" i="2"/>
  <c r="G120" i="2"/>
  <c r="C122" i="2"/>
  <c r="E122" i="2"/>
  <c r="D126" i="2"/>
  <c r="D136" i="2" s="1"/>
  <c r="F126" i="2"/>
  <c r="K411" i="1"/>
  <c r="K426" i="1" s="1"/>
  <c r="G126" i="2" s="1"/>
  <c r="G136" i="2" s="1"/>
  <c r="G137" i="2" s="1"/>
  <c r="K419" i="1"/>
  <c r="K425" i="1"/>
  <c r="L255" i="1"/>
  <c r="C127" i="2"/>
  <c r="E127" i="2"/>
  <c r="L256" i="1"/>
  <c r="C128" i="2" s="1"/>
  <c r="L257" i="1"/>
  <c r="C129" i="2" s="1"/>
  <c r="E129" i="2"/>
  <c r="C134" i="2"/>
  <c r="E134" i="2"/>
  <c r="C135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G148" i="2" s="1"/>
  <c r="B149" i="2"/>
  <c r="G149" i="2" s="1"/>
  <c r="C149" i="2"/>
  <c r="D149" i="2"/>
  <c r="E149" i="2"/>
  <c r="F149" i="2"/>
  <c r="B150" i="2"/>
  <c r="C150" i="2"/>
  <c r="D150" i="2"/>
  <c r="E150" i="2"/>
  <c r="F150" i="2"/>
  <c r="G150" i="2" s="1"/>
  <c r="B151" i="2"/>
  <c r="G151" i="2" s="1"/>
  <c r="C151" i="2"/>
  <c r="D151" i="2"/>
  <c r="E151" i="2"/>
  <c r="F151" i="2"/>
  <c r="B152" i="2"/>
  <c r="C152" i="2"/>
  <c r="D152" i="2"/>
  <c r="E152" i="2"/>
  <c r="F152" i="2"/>
  <c r="G152" i="2" s="1"/>
  <c r="F490" i="1"/>
  <c r="K490" i="1" s="1"/>
  <c r="G490" i="1"/>
  <c r="C153" i="2" s="1"/>
  <c r="H490" i="1"/>
  <c r="D153" i="2" s="1"/>
  <c r="I490" i="1"/>
  <c r="E153" i="2"/>
  <c r="J490" i="1"/>
  <c r="F153" i="2" s="1"/>
  <c r="B154" i="2"/>
  <c r="G154" i="2" s="1"/>
  <c r="C154" i="2"/>
  <c r="D154" i="2"/>
  <c r="E154" i="2"/>
  <c r="F154" i="2"/>
  <c r="B155" i="2"/>
  <c r="C155" i="2"/>
  <c r="D155" i="2"/>
  <c r="E155" i="2"/>
  <c r="F155" i="2"/>
  <c r="G155" i="2"/>
  <c r="F493" i="1"/>
  <c r="B156" i="2"/>
  <c r="G156" i="2" s="1"/>
  <c r="G493" i="1"/>
  <c r="C156" i="2"/>
  <c r="H493" i="1"/>
  <c r="D156" i="2"/>
  <c r="I493" i="1"/>
  <c r="E156" i="2"/>
  <c r="J493" i="1"/>
  <c r="F156" i="2"/>
  <c r="F19" i="1"/>
  <c r="G19" i="1"/>
  <c r="H19" i="1"/>
  <c r="G609" i="1" s="1"/>
  <c r="J609" i="1" s="1"/>
  <c r="I19" i="1"/>
  <c r="F33" i="1"/>
  <c r="G33" i="1"/>
  <c r="H33" i="1"/>
  <c r="I33" i="1"/>
  <c r="F43" i="1"/>
  <c r="F44" i="1" s="1"/>
  <c r="H607" i="1" s="1"/>
  <c r="G43" i="1"/>
  <c r="H43" i="1"/>
  <c r="H44" i="1" s="1"/>
  <c r="H609" i="1" s="1"/>
  <c r="I43" i="1"/>
  <c r="I44" i="1" s="1"/>
  <c r="H610" i="1" s="1"/>
  <c r="J610" i="1" s="1"/>
  <c r="G44" i="1"/>
  <c r="H608" i="1" s="1"/>
  <c r="F169" i="1"/>
  <c r="F184" i="1" s="1"/>
  <c r="I169" i="1"/>
  <c r="F175" i="1"/>
  <c r="G175" i="1"/>
  <c r="H175" i="1"/>
  <c r="H184" i="1" s="1"/>
  <c r="I175" i="1"/>
  <c r="I184" i="1" s="1"/>
  <c r="J175" i="1"/>
  <c r="J184" i="1" s="1"/>
  <c r="F180" i="1"/>
  <c r="G180" i="1"/>
  <c r="G184" i="1" s="1"/>
  <c r="H180" i="1"/>
  <c r="I180" i="1"/>
  <c r="G203" i="1"/>
  <c r="G249" i="1" s="1"/>
  <c r="G263" i="1" s="1"/>
  <c r="I203" i="1"/>
  <c r="G221" i="1"/>
  <c r="J221" i="1"/>
  <c r="K221" i="1"/>
  <c r="F239" i="1"/>
  <c r="G239" i="1"/>
  <c r="I239" i="1"/>
  <c r="K239" i="1"/>
  <c r="F248" i="1"/>
  <c r="G248" i="1"/>
  <c r="L248" i="1" s="1"/>
  <c r="H248" i="1"/>
  <c r="I248" i="1"/>
  <c r="J248" i="1"/>
  <c r="K248" i="1"/>
  <c r="L262" i="1"/>
  <c r="F282" i="1"/>
  <c r="G282" i="1"/>
  <c r="H282" i="1"/>
  <c r="I282" i="1"/>
  <c r="I330" i="1" s="1"/>
  <c r="I344" i="1" s="1"/>
  <c r="F301" i="1"/>
  <c r="G301" i="1"/>
  <c r="H301" i="1"/>
  <c r="I301" i="1"/>
  <c r="I320" i="1"/>
  <c r="F329" i="1"/>
  <c r="L329" i="1" s="1"/>
  <c r="G329" i="1"/>
  <c r="H329" i="1"/>
  <c r="I329" i="1"/>
  <c r="J329" i="1"/>
  <c r="K329" i="1"/>
  <c r="F354" i="1"/>
  <c r="G354" i="1"/>
  <c r="H354" i="1"/>
  <c r="I354" i="1"/>
  <c r="J354" i="1"/>
  <c r="K354" i="1"/>
  <c r="I360" i="1"/>
  <c r="F361" i="1"/>
  <c r="G361" i="1"/>
  <c r="H361" i="1"/>
  <c r="I361" i="1"/>
  <c r="H624" i="1" s="1"/>
  <c r="L373" i="1"/>
  <c r="F374" i="1"/>
  <c r="G374" i="1"/>
  <c r="H374" i="1"/>
  <c r="I374" i="1"/>
  <c r="J374" i="1"/>
  <c r="K374" i="1"/>
  <c r="F385" i="1"/>
  <c r="G385" i="1"/>
  <c r="G400" i="1" s="1"/>
  <c r="H635" i="1" s="1"/>
  <c r="H385" i="1"/>
  <c r="I385" i="1"/>
  <c r="F393" i="1"/>
  <c r="G393" i="1"/>
  <c r="H393" i="1"/>
  <c r="I393" i="1"/>
  <c r="F399" i="1"/>
  <c r="G399" i="1"/>
  <c r="H399" i="1"/>
  <c r="I399" i="1"/>
  <c r="F400" i="1"/>
  <c r="H400" i="1"/>
  <c r="I400" i="1"/>
  <c r="L405" i="1"/>
  <c r="L411" i="1" s="1"/>
  <c r="L406" i="1"/>
  <c r="L407" i="1"/>
  <c r="L408" i="1"/>
  <c r="L409" i="1"/>
  <c r="L410" i="1"/>
  <c r="F411" i="1"/>
  <c r="G411" i="1"/>
  <c r="G426" i="1" s="1"/>
  <c r="H411" i="1"/>
  <c r="H426" i="1" s="1"/>
  <c r="I411" i="1"/>
  <c r="I426" i="1" s="1"/>
  <c r="J411" i="1"/>
  <c r="J426" i="1" s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G425" i="1"/>
  <c r="H425" i="1"/>
  <c r="I425" i="1"/>
  <c r="J425" i="1"/>
  <c r="F426" i="1"/>
  <c r="F438" i="1"/>
  <c r="G629" i="1" s="1"/>
  <c r="J629" i="1" s="1"/>
  <c r="G438" i="1"/>
  <c r="H438" i="1"/>
  <c r="F444" i="1"/>
  <c r="F451" i="1" s="1"/>
  <c r="H629" i="1" s="1"/>
  <c r="G444" i="1"/>
  <c r="G451" i="1" s="1"/>
  <c r="H630" i="1" s="1"/>
  <c r="J630" i="1" s="1"/>
  <c r="H444" i="1"/>
  <c r="H451" i="1" s="1"/>
  <c r="H631" i="1" s="1"/>
  <c r="F450" i="1"/>
  <c r="G450" i="1"/>
  <c r="H450" i="1"/>
  <c r="I450" i="1"/>
  <c r="F460" i="1"/>
  <c r="F466" i="1" s="1"/>
  <c r="H612" i="1" s="1"/>
  <c r="G460" i="1"/>
  <c r="H460" i="1"/>
  <c r="H466" i="1" s="1"/>
  <c r="H614" i="1" s="1"/>
  <c r="J614" i="1" s="1"/>
  <c r="I460" i="1"/>
  <c r="J460" i="1"/>
  <c r="F464" i="1"/>
  <c r="G464" i="1"/>
  <c r="H464" i="1"/>
  <c r="I464" i="1"/>
  <c r="I466" i="1" s="1"/>
  <c r="H615" i="1" s="1"/>
  <c r="J464" i="1"/>
  <c r="G466" i="1"/>
  <c r="H613" i="1" s="1"/>
  <c r="J466" i="1"/>
  <c r="H616" i="1" s="1"/>
  <c r="K485" i="1"/>
  <c r="K486" i="1"/>
  <c r="K487" i="1"/>
  <c r="K488" i="1"/>
  <c r="K489" i="1"/>
  <c r="K491" i="1"/>
  <c r="K492" i="1"/>
  <c r="K493" i="1"/>
  <c r="F507" i="1"/>
  <c r="G507" i="1"/>
  <c r="H507" i="1"/>
  <c r="I507" i="1"/>
  <c r="F514" i="1"/>
  <c r="F535" i="1" s="1"/>
  <c r="H514" i="1"/>
  <c r="K514" i="1"/>
  <c r="F519" i="1"/>
  <c r="I519" i="1"/>
  <c r="J519" i="1"/>
  <c r="K519" i="1"/>
  <c r="F524" i="1"/>
  <c r="G524" i="1"/>
  <c r="H524" i="1"/>
  <c r="I524" i="1"/>
  <c r="J524" i="1"/>
  <c r="K524" i="1"/>
  <c r="K535" i="1" s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L547" i="1"/>
  <c r="L550" i="1" s="1"/>
  <c r="L561" i="1" s="1"/>
  <c r="L548" i="1"/>
  <c r="L549" i="1"/>
  <c r="F550" i="1"/>
  <c r="G550" i="1"/>
  <c r="G561" i="1" s="1"/>
  <c r="H550" i="1"/>
  <c r="I550" i="1"/>
  <c r="I561" i="1" s="1"/>
  <c r="J550" i="1"/>
  <c r="K550" i="1"/>
  <c r="K561" i="1" s="1"/>
  <c r="L552" i="1"/>
  <c r="L555" i="1" s="1"/>
  <c r="L553" i="1"/>
  <c r="L554" i="1"/>
  <c r="F555" i="1"/>
  <c r="F561" i="1" s="1"/>
  <c r="G555" i="1"/>
  <c r="H555" i="1"/>
  <c r="I555" i="1"/>
  <c r="J555" i="1"/>
  <c r="K555" i="1"/>
  <c r="L557" i="1"/>
  <c r="L560" i="1" s="1"/>
  <c r="L558" i="1"/>
  <c r="L559" i="1"/>
  <c r="F560" i="1"/>
  <c r="G560" i="1"/>
  <c r="H560" i="1"/>
  <c r="H561" i="1" s="1"/>
  <c r="I560" i="1"/>
  <c r="J560" i="1"/>
  <c r="K560" i="1"/>
  <c r="J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J637" i="1" s="1"/>
  <c r="K582" i="1"/>
  <c r="K583" i="1"/>
  <c r="K584" i="1"/>
  <c r="K585" i="1"/>
  <c r="K586" i="1"/>
  <c r="K587" i="1"/>
  <c r="H588" i="1"/>
  <c r="I588" i="1"/>
  <c r="H640" i="1" s="1"/>
  <c r="J588" i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G607" i="1"/>
  <c r="J607" i="1" s="1"/>
  <c r="G608" i="1"/>
  <c r="G610" i="1"/>
  <c r="G612" i="1"/>
  <c r="J612" i="1" s="1"/>
  <c r="G613" i="1"/>
  <c r="J613" i="1" s="1"/>
  <c r="G614" i="1"/>
  <c r="G615" i="1"/>
  <c r="J615" i="1" s="1"/>
  <c r="H617" i="1"/>
  <c r="H618" i="1"/>
  <c r="H619" i="1"/>
  <c r="H620" i="1"/>
  <c r="H621" i="1"/>
  <c r="H622" i="1"/>
  <c r="H623" i="1"/>
  <c r="G624" i="1"/>
  <c r="H625" i="1"/>
  <c r="H626" i="1"/>
  <c r="H627" i="1"/>
  <c r="H628" i="1"/>
  <c r="G630" i="1"/>
  <c r="G631" i="1"/>
  <c r="J631" i="1" s="1"/>
  <c r="G633" i="1"/>
  <c r="J633" i="1" s="1"/>
  <c r="H633" i="1"/>
  <c r="G634" i="1"/>
  <c r="H634" i="1"/>
  <c r="J634" i="1"/>
  <c r="G635" i="1"/>
  <c r="H637" i="1"/>
  <c r="G639" i="1"/>
  <c r="J639" i="1" s="1"/>
  <c r="H639" i="1"/>
  <c r="G640" i="1"/>
  <c r="G641" i="1"/>
  <c r="J641" i="1" s="1"/>
  <c r="H641" i="1"/>
  <c r="G642" i="1"/>
  <c r="H642" i="1"/>
  <c r="J642" i="1"/>
  <c r="G643" i="1"/>
  <c r="J643" i="1" s="1"/>
  <c r="H643" i="1"/>
  <c r="G644" i="1"/>
  <c r="J644" i="1" s="1"/>
  <c r="H644" i="1"/>
  <c r="G645" i="1"/>
  <c r="J645" i="1" s="1"/>
  <c r="H645" i="1"/>
  <c r="L426" i="1" l="1"/>
  <c r="G628" i="1" s="1"/>
  <c r="J628" i="1" s="1"/>
  <c r="F185" i="1"/>
  <c r="G617" i="1" s="1"/>
  <c r="J617" i="1" s="1"/>
  <c r="L239" i="1"/>
  <c r="C113" i="2"/>
  <c r="H249" i="1"/>
  <c r="H263" i="1" s="1"/>
  <c r="C102" i="2"/>
  <c r="F249" i="1"/>
  <c r="F263" i="1" s="1"/>
  <c r="C16" i="10"/>
  <c r="D7" i="13"/>
  <c r="C7" i="13" s="1"/>
  <c r="C111" i="2"/>
  <c r="J249" i="1"/>
  <c r="C117" i="2"/>
  <c r="E16" i="13"/>
  <c r="C16" i="13" s="1"/>
  <c r="E55" i="2"/>
  <c r="E96" i="2" s="1"/>
  <c r="C103" i="2"/>
  <c r="C136" i="2"/>
  <c r="L400" i="1"/>
  <c r="C130" i="2"/>
  <c r="C133" i="2" s="1"/>
  <c r="L519" i="1"/>
  <c r="G539" i="1"/>
  <c r="G542" i="1" s="1"/>
  <c r="H33" i="13"/>
  <c r="C25" i="13"/>
  <c r="C38" i="10"/>
  <c r="L221" i="1"/>
  <c r="J640" i="1"/>
  <c r="C17" i="10"/>
  <c r="C112" i="2"/>
  <c r="E8" i="13"/>
  <c r="L282" i="1"/>
  <c r="F651" i="1"/>
  <c r="H651" i="1"/>
  <c r="D29" i="13"/>
  <c r="C29" i="13" s="1"/>
  <c r="L354" i="1"/>
  <c r="D119" i="2"/>
  <c r="D120" i="2" s="1"/>
  <c r="D137" i="2" s="1"/>
  <c r="G42" i="2"/>
  <c r="C43" i="2"/>
  <c r="D5" i="13"/>
  <c r="F33" i="13"/>
  <c r="C104" i="2"/>
  <c r="C13" i="10"/>
  <c r="G33" i="13"/>
  <c r="E13" i="13"/>
  <c r="C13" i="13" s="1"/>
  <c r="C19" i="10"/>
  <c r="D14" i="13"/>
  <c r="C14" i="13" s="1"/>
  <c r="C20" i="10"/>
  <c r="C115" i="2"/>
  <c r="F43" i="2"/>
  <c r="F96" i="2"/>
  <c r="J185" i="1"/>
  <c r="F31" i="13"/>
  <c r="J635" i="1"/>
  <c r="J624" i="1"/>
  <c r="J608" i="1"/>
  <c r="G330" i="1"/>
  <c r="G344" i="1" s="1"/>
  <c r="D43" i="2"/>
  <c r="K541" i="1"/>
  <c r="G185" i="1"/>
  <c r="G618" i="1" s="1"/>
  <c r="J618" i="1" s="1"/>
  <c r="H519" i="1"/>
  <c r="H535" i="1" s="1"/>
  <c r="B153" i="2"/>
  <c r="G153" i="2" s="1"/>
  <c r="J24" i="1"/>
  <c r="J10" i="1"/>
  <c r="C32" i="10"/>
  <c r="C12" i="10"/>
  <c r="I104" i="1"/>
  <c r="I185" i="1" s="1"/>
  <c r="G620" i="1" s="1"/>
  <c r="J620" i="1" s="1"/>
  <c r="C35" i="10"/>
  <c r="B18" i="12"/>
  <c r="A22" i="12" s="1"/>
  <c r="F14" i="13"/>
  <c r="L604" i="1"/>
  <c r="I221" i="1"/>
  <c r="I249" i="1" s="1"/>
  <c r="I263" i="1" s="1"/>
  <c r="J43" i="1"/>
  <c r="E126" i="2"/>
  <c r="E136" i="2" s="1"/>
  <c r="E116" i="2"/>
  <c r="L312" i="1"/>
  <c r="L208" i="1"/>
  <c r="G519" i="1"/>
  <c r="G535" i="1" s="1"/>
  <c r="F122" i="2"/>
  <c r="F136" i="2" s="1"/>
  <c r="F137" i="2" s="1"/>
  <c r="L511" i="1"/>
  <c r="C9" i="12"/>
  <c r="A13" i="12" s="1"/>
  <c r="L293" i="1"/>
  <c r="L301" i="1" s="1"/>
  <c r="L215" i="1"/>
  <c r="C18" i="10" s="1"/>
  <c r="D48" i="2"/>
  <c r="D55" i="2" s="1"/>
  <c r="D96" i="2" s="1"/>
  <c r="C29" i="10"/>
  <c r="C21" i="10"/>
  <c r="L194" i="1"/>
  <c r="L524" i="1"/>
  <c r="K203" i="1"/>
  <c r="K249" i="1" s="1"/>
  <c r="K263" i="1" s="1"/>
  <c r="G48" i="2"/>
  <c r="G55" i="2" s="1"/>
  <c r="G96" i="2" s="1"/>
  <c r="C123" i="2"/>
  <c r="K330" i="1"/>
  <c r="K344" i="1" s="1"/>
  <c r="L307" i="1"/>
  <c r="L320" i="1" s="1"/>
  <c r="L189" i="1"/>
  <c r="L234" i="1"/>
  <c r="C114" i="2" s="1"/>
  <c r="G625" i="1" l="1"/>
  <c r="J625" i="1" s="1"/>
  <c r="C27" i="10"/>
  <c r="C11" i="10"/>
  <c r="I651" i="1"/>
  <c r="D12" i="13"/>
  <c r="C12" i="13" s="1"/>
  <c r="G650" i="1"/>
  <c r="G654" i="1" s="1"/>
  <c r="J19" i="1"/>
  <c r="G611" i="1" s="1"/>
  <c r="G10" i="2"/>
  <c r="G19" i="2" s="1"/>
  <c r="C15" i="10"/>
  <c r="C110" i="2"/>
  <c r="C120" i="2" s="1"/>
  <c r="D6" i="13"/>
  <c r="C6" i="13" s="1"/>
  <c r="J33" i="1"/>
  <c r="G23" i="2"/>
  <c r="G32" i="2" s="1"/>
  <c r="E102" i="2"/>
  <c r="E107" i="2" s="1"/>
  <c r="H636" i="1"/>
  <c r="G627" i="1"/>
  <c r="J627" i="1" s="1"/>
  <c r="L514" i="1"/>
  <c r="L535" i="1" s="1"/>
  <c r="F539" i="1"/>
  <c r="C36" i="10"/>
  <c r="C41" i="10" s="1"/>
  <c r="G636" i="1"/>
  <c r="G621" i="1"/>
  <c r="J621" i="1" s="1"/>
  <c r="C8" i="13"/>
  <c r="E33" i="13"/>
  <c r="D35" i="13" s="1"/>
  <c r="C5" i="13"/>
  <c r="J263" i="1"/>
  <c r="H638" i="1"/>
  <c r="J638" i="1" s="1"/>
  <c r="L203" i="1"/>
  <c r="C101" i="2"/>
  <c r="C107" i="2" s="1"/>
  <c r="C137" i="2" s="1"/>
  <c r="C10" i="10"/>
  <c r="L330" i="1"/>
  <c r="L344" i="1" s="1"/>
  <c r="G623" i="1" s="1"/>
  <c r="J623" i="1" s="1"/>
  <c r="D31" i="13"/>
  <c r="C31" i="13" s="1"/>
  <c r="G616" i="1"/>
  <c r="J616" i="1" s="1"/>
  <c r="J44" i="1"/>
  <c r="H611" i="1" s="1"/>
  <c r="H650" i="1"/>
  <c r="H654" i="1" s="1"/>
  <c r="E111" i="2"/>
  <c r="E120" i="2" s="1"/>
  <c r="G43" i="2"/>
  <c r="D37" i="10" l="1"/>
  <c r="D39" i="10"/>
  <c r="D40" i="10"/>
  <c r="D35" i="10"/>
  <c r="D38" i="10"/>
  <c r="H662" i="1"/>
  <c r="C6" i="10" s="1"/>
  <c r="H657" i="1"/>
  <c r="E137" i="2"/>
  <c r="D11" i="10"/>
  <c r="D36" i="10"/>
  <c r="J611" i="1"/>
  <c r="H646" i="1"/>
  <c r="G662" i="1"/>
  <c r="C5" i="10" s="1"/>
  <c r="G657" i="1"/>
  <c r="J636" i="1"/>
  <c r="D10" i="10"/>
  <c r="C28" i="10"/>
  <c r="F650" i="1"/>
  <c r="L249" i="1"/>
  <c r="L263" i="1" s="1"/>
  <c r="G622" i="1" s="1"/>
  <c r="J622" i="1" s="1"/>
  <c r="F542" i="1"/>
  <c r="K539" i="1"/>
  <c r="K542" i="1" s="1"/>
  <c r="D33" i="13"/>
  <c r="D36" i="13" s="1"/>
  <c r="D27" i="10"/>
  <c r="F654" i="1" l="1"/>
  <c r="I650" i="1"/>
  <c r="I654" i="1" s="1"/>
  <c r="D22" i="10"/>
  <c r="C30" i="10"/>
  <c r="D23" i="10"/>
  <c r="D25" i="10"/>
  <c r="D26" i="10"/>
  <c r="D24" i="10"/>
  <c r="D17" i="10"/>
  <c r="D20" i="10"/>
  <c r="D16" i="10"/>
  <c r="D21" i="10"/>
  <c r="D12" i="10"/>
  <c r="D28" i="10" s="1"/>
  <c r="D19" i="10"/>
  <c r="D13" i="10"/>
  <c r="D18" i="10"/>
  <c r="D15" i="10"/>
  <c r="D41" i="10"/>
  <c r="I657" i="1" l="1"/>
  <c r="I662" i="1"/>
  <c r="C7" i="10" s="1"/>
  <c r="F662" i="1"/>
  <c r="C4" i="10" s="1"/>
  <c r="F6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10146258-DBA6-4E14-874E-0E71C1700301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0F3DA969-371C-46AB-A97C-11E1E6D3D54B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C0293FC3-7376-4CCB-AF62-7C61185E13B0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8CDAE301-067B-41EC-8A3C-D043DCDD9909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4AF63EC4-30D6-4F04-A219-11860F00106D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7DF7454F-AAE2-4AB7-A171-824224EDDDC7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F62C739F-726B-4756-ACCE-F53BD58D9015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8ACFFF39-C973-4996-BF60-2D9EF7FA586B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574CE291-B59E-4AFA-B37F-E79D88F5E930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69F178D6-3112-410A-B1E1-ED013BE6C9BA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7561CAA2-87BE-4CD2-9675-D7ADB826B794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6EFF8145-2E41-4478-9C68-079F03F2BA7B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<sst xmlns="http://schemas.openxmlformats.org/spreadsheetml/2006/main" count="3878" uniqueCount="906">
  <si>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</si>
  <si>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</si>
  <si>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</si>
  <si>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</si>
  <si>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</si>
  <si>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</si>
  <si>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</si>
  <si>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</si>
  <si>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</si>
  <si>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</si>
  <si>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</si>
  <si>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</si>
  <si>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</si>
  <si>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</si>
  <si>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</si>
  <si>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</si>
  <si>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</si>
  <si>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</si>
  <si>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</si>
  <si>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</si>
  <si>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</si>
  <si>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</si>
  <si>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</si>
  <si>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</si>
  <si>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</si>
  <si>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</si>
  <si>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</si>
  <si>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</si>
  <si>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</si>
  <si>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</si>
  <si>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</si>
  <si>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</si>
  <si>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</si>
  <si>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</si>
  <si>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</si>
  <si>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</si>
  <si>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</si>
  <si>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</si>
  <si>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</si>
  <si>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</si>
  <si>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</si>
  <si>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</si>
  <si>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</si>
  <si>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</si>
  <si>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</si>
  <si>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</si>
  <si>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</si>
  <si>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</si>
  <si>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</si>
  <si>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</si>
  <si>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</si>
  <si>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</si>
  <si>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</si>
  <si>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</si>
  <si>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</si>
  <si>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</si>
  <si>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</si>
  <si>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</si>
  <si>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</si>
  <si>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</si>
  <si>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</si>
  <si>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</si>
  <si>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</si>
  <si>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</si>
  <si>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</si>
  <si>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</si>
  <si>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</si>
  <si>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</si>
  <si>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</si>
  <si>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</si>
  <si>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</si>
  <si>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</si>
  <si>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</si>
  <si>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</si>
  <si>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</si>
  <si>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</si>
  <si>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</si>
  <si>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</si>
  <si>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</si>
  <si>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</si>
  <si>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</si>
  <si>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</si>
  <si>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</si>
  <si>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</si>
  <si>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</si>
  <si>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</si>
  <si>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</si>
  <si>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</si>
  <si>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</si>
  <si>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</si>
  <si>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</si>
  <si>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</si>
  <si>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</si>
  <si>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</si>
  <si>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</si>
  <si>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</si>
  <si>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</si>
  <si>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</si>
  <si>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</si>
  <si>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</si>
  <si>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</si>
  <si>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</si>
  <si>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</si>
  <si>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</si>
  <si>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</si>
  <si>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</si>
  <si>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</si>
  <si>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</si>
  <si>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</si>
  <si>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</si>
  <si>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</si>
  <si>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</si>
  <si>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</si>
  <si>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</si>
  <si>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</si>
  <si>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</si>
  <si>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</si>
  <si>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</si>
  <si>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</si>
  <si>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</si>
  <si>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</si>
  <si>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</si>
  <si>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</si>
  <si>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</si>
  <si>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</si>
  <si>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</si>
  <si>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</si>
  <si>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</si>
  <si>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</si>
  <si>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</si>
  <si>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</si>
  <si>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</si>
  <si>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</si>
  <si>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</si>
  <si>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</si>
  <si>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</si>
  <si>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</si>
  <si>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</si>
  <si>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</si>
  <si>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</si>
  <si>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</si>
  <si>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</si>
  <si>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</si>
  <si>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</si>
  <si>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</si>
  <si>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</si>
  <si>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</si>
  <si>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</si>
  <si>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</si>
  <si>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</si>
  <si>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</si>
  <si>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</si>
  <si>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</si>
  <si>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</si>
  <si>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</si>
  <si>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</si>
  <si>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</si>
  <si>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</si>
  <si>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</si>
  <si>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</si>
  <si>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</si>
  <si>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</si>
  <si>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</si>
  <si>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</si>
  <si>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</si>
  <si>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</si>
  <si>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</si>
  <si>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</si>
  <si>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</si>
  <si>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</si>
  <si>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</si>
  <si>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</si>
  <si>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</si>
  <si>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</si>
  <si>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</si>
  <si>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</si>
  <si>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</si>
  <si>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</si>
  <si>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</si>
  <si>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</si>
  <si>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</si>
  <si>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</si>
  <si>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</si>
  <si>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</si>
  <si>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</si>
  <si>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</si>
  <si>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</si>
  <si>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</si>
  <si>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</si>
  <si>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</si>
  <si>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</si>
  <si>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</si>
  <si>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</si>
  <si>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</si>
  <si>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</si>
  <si>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</si>
  <si>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</si>
  <si>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</si>
  <si>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</si>
  <si>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</si>
  <si>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</si>
  <si>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</si>
  <si>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</si>
  <si>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</si>
  <si>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</si>
  <si>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</si>
  <si>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</si>
  <si>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</si>
  <si>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</si>
  <si>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</si>
  <si>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</si>
  <si>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</si>
  <si>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</si>
  <si>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</si>
  <si>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</si>
  <si>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</si>
  <si>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</si>
  <si>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</si>
  <si>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</si>
  <si>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</si>
  <si>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</si>
  <si>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</si>
  <si>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</si>
  <si>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</si>
  <si>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</si>
  <si>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</si>
  <si>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</si>
  <si>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</si>
  <si>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</si>
  <si>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</si>
  <si>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</si>
  <si>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</si>
  <si>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</si>
  <si>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</si>
  <si>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</si>
  <si>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</si>
  <si>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</si>
  <si>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</si>
  <si>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</si>
  <si>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</si>
  <si>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</si>
  <si>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</si>
  <si>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</si>
  <si>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</si>
  <si>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</si>
  <si>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</si>
  <si>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</si>
  <si>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</si>
  <si>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</si>
  <si>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</si>
  <si>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</si>
  <si>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</si>
  <si>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</si>
  <si>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</si>
  <si>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</si>
  <si>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</si>
  <si>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</si>
  <si>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</si>
  <si>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</si>
  <si>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</si>
  <si>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</si>
  <si>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</si>
  <si>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</si>
  <si>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</si>
  <si>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</si>
  <si>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</si>
  <si>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</si>
  <si>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</si>
  <si>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</si>
  <si>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</si>
  <si>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</si>
  <si>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</si>
  <si>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</si>
  <si>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</si>
  <si>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</si>
  <si>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</si>
  <si>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</si>
  <si>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</si>
  <si>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</si>
  <si>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</si>
  <si>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</si>
  <si>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</si>
  <si>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</si>
  <si>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</si>
  <si>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</si>
  <si>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</si>
  <si>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</si>
  <si>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</si>
  <si>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</si>
  <si>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</si>
  <si>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</si>
  <si>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</si>
  <si>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</si>
  <si>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</si>
  <si>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</si>
  <si>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</si>
  <si>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</si>
  <si>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</si>
  <si>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</si>
  <si>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</si>
  <si>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</si>
  <si>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</si>
  <si>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</si>
  <si>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</si>
  <si>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</si>
  <si>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</si>
  <si>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</si>
  <si>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</si>
  <si>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</si>
  <si>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</si>
  <si>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</si>
  <si>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</si>
  <si>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</si>
  <si>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</si>
  <si>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</si>
  <si>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</si>
  <si>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</si>
  <si>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</si>
  <si>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</si>
  <si>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</si>
  <si>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</si>
  <si>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</si>
  <si>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</si>
  <si>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</si>
  <si>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</si>
  <si>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</si>
  <si>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</si>
  <si>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</si>
  <si>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</si>
  <si>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</si>
  <si>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</si>
  <si>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</si>
  <si>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</si>
  <si>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</si>
  <si>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</si>
  <si>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</si>
  <si>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</si>
  <si>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</si>
  <si>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</si>
  <si>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</si>
  <si>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</si>
  <si>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</si>
  <si>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</si>
  <si>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</si>
  <si>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</si>
  <si>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</si>
  <si>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</si>
  <si>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</si>
  <si>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</si>
  <si>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</si>
  <si>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</si>
  <si>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</si>
  <si>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</si>
  <si>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</si>
  <si>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</si>
  <si>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</si>
  <si>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</si>
  <si>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</si>
  <si>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</si>
  <si>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</si>
  <si>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</si>
  <si>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</si>
  <si>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</si>
  <si>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</si>
  <si>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</si>
  <si>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</si>
  <si>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</si>
  <si>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</si>
  <si>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</si>
  <si>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</si>
  <si>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</si>
  <si>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</si>
  <si>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</si>
  <si>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</si>
  <si>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</si>
  <si>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</si>
  <si>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</si>
  <si>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</si>
  <si>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</si>
  <si>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</si>
  <si>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</si>
  <si>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</si>
  <si>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</si>
  <si>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</si>
  <si>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</si>
  <si>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</si>
  <si>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</si>
  <si>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</si>
  <si>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</si>
  <si>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</si>
  <si>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</si>
  <si>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</si>
  <si>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</si>
  <si>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</si>
  <si>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</si>
  <si>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</si>
  <si>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</si>
  <si>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</si>
  <si>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</si>
  <si>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</si>
  <si>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</si>
  <si>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</si>
  <si>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</si>
  <si>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</si>
  <si>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</si>
  <si>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</si>
  <si>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</si>
  <si>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</si>
  <si>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</si>
  <si>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</si>
  <si>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</si>
  <si>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</si>
  <si>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</si>
  <si>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</si>
  <si>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</si>
  <si>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</si>
  <si>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</si>
  <si>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</si>
  <si>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</si>
  <si>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</si>
  <si>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</si>
  <si>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</si>
  <si>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</si>
  <si>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</si>
  <si>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</si>
  <si>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</si>
  <si>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</si>
  <si>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</si>
  <si>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</si>
  <si>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</si>
  <si>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</si>
  <si>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</si>
  <si>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</si>
  <si>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</si>
  <si>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</si>
  <si>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</si>
  <si>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</si>
  <si>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</si>
  <si>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</si>
  <si>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</si>
  <si>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</si>
  <si>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</si>
  <si>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</si>
  <si>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</si>
  <si>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</si>
  <si>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</si>
  <si>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</si>
  <si>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</si>
  <si>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</si>
  <si>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</si>
  <si>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</si>
  <si>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</si>
  <si>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</si>
  <si>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</si>
  <si>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</si>
  <si>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</si>
  <si>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</si>
  <si>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</si>
  <si>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</si>
  <si>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</si>
  <si>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</si>
  <si>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</si>
  <si>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</si>
  <si>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</si>
  <si>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</si>
  <si>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</si>
  <si>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</si>
  <si>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</si>
  <si>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</si>
  <si>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</si>
  <si>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</si>
  <si>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</si>
  <si>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</si>
  <si>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</si>
  <si>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</si>
  <si>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</si>
  <si>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</si>
  <si>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</si>
  <si>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</si>
  <si>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</si>
  <si>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</si>
  <si>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</si>
  <si>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</si>
  <si>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</si>
  <si>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</si>
  <si>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</si>
  <si>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</si>
  <si>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</si>
  <si>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</si>
  <si>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</si>
  <si>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</si>
  <si>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</si>
  <si>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</si>
  <si>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</si>
  <si>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</si>
  <si>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</si>
  <si>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</si>
  <si>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</si>
  <si>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</si>
  <si>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</si>
  <si>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</si>
  <si>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</si>
  <si>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</si>
  <si>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</si>
  <si>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</si>
  <si>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</si>
  <si>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</si>
  <si>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</si>
  <si>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</si>
  <si>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</si>
  <si>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</si>
  <si>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</si>
  <si>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</si>
  <si>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</si>
  <si>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</si>
  <si>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</si>
  <si>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</si>
  <si>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</si>
  <si>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</si>
  <si>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</si>
  <si>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</si>
  <si>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</si>
  <si>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</si>
  <si>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</si>
  <si>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</si>
  <si>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</si>
  <si>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</si>
  <si>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</si>
  <si>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</si>
  <si>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</si>
  <si>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</si>
  <si>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</si>
  <si>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</si>
  <si>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</si>
  <si>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</si>
  <si>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</si>
  <si>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</si>
  <si>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</si>
  <si>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</si>
  <si>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</si>
  <si>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</si>
  <si>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</si>
  <si>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</si>
  <si>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</si>
  <si>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</si>
  <si>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</si>
  <si>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</si>
  <si>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</si>
  <si>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</si>
  <si>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</si>
  <si>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</si>
  <si>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</si>
  <si>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</si>
  <si>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</si>
  <si>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</si>
  <si>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</si>
  <si>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</si>
  <si>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</si>
  <si>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</si>
  <si>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</si>
  <si>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</si>
  <si>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</si>
  <si>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</si>
  <si>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</si>
  <si>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</si>
  <si>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</si>
  <si>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</si>
  <si>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</si>
  <si>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</si>
  <si>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</si>
  <si>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</si>
  <si>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</si>
  <si>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</si>
  <si>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</si>
  <si>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</si>
  <si>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</si>
  <si>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</si>
  <si>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</si>
  <si>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</si>
  <si>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</si>
  <si>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</si>
  <si>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</si>
  <si>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</si>
  <si>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</si>
  <si>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</si>
  <si>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</si>
  <si>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</si>
  <si>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</si>
  <si>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</si>
  <si>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</si>
  <si>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</si>
  <si>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</si>
  <si>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</si>
  <si>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</si>
  <si>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</si>
  <si>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</si>
  <si>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</si>
  <si>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</si>
  <si>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</si>
  <si>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</si>
  <si>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</si>
  <si>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</si>
  <si>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</si>
  <si>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</si>
  <si>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</si>
  <si>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</si>
  <si>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</si>
  <si>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</si>
  <si>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</si>
  <si>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</si>
  <si>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</si>
  <si>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</si>
  <si>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</si>
  <si>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</si>
  <si>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</si>
  <si>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</si>
  <si>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</si>
  <si>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</si>
  <si>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</si>
  <si>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</si>
  <si>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</si>
  <si>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</si>
  <si>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</si>
  <si>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</si>
  <si>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</si>
  <si>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</si>
  <si>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</si>
  <si>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</si>
  <si>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</si>
  <si>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</si>
  <si>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</si>
  <si>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</si>
  <si>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</si>
  <si>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</si>
  <si>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</si>
  <si>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</si>
  <si>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</si>
  <si>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</si>
  <si>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</si>
  <si>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</si>
  <si>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</si>
  <si>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</si>
  <si>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</si>
  <si>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</si>
  <si>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</si>
  <si>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</si>
  <si>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</si>
  <si>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</si>
  <si>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</si>
  <si>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</si>
  <si>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</si>
  <si>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</si>
  <si>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</si>
  <si>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</si>
  <si>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</si>
  <si>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</si>
  <si>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</si>
  <si>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</si>
  <si>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</si>
  <si>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</si>
  <si>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</si>
  <si>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</si>
  <si>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</si>
  <si>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</si>
  <si>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</si>
  <si>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</si>
  <si>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</si>
  <si>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</si>
  <si>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</si>
  <si>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</si>
  <si>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</si>
  <si>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</si>
  <si>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</si>
  <si>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</si>
  <si>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</si>
  <si>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</si>
  <si>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</si>
  <si>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</si>
  <si>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</si>
  <si>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</si>
  <si>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</si>
  <si>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</si>
  <si>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</si>
  <si>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</si>
  <si>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</si>
  <si>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</si>
  <si>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</si>
  <si>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</si>
  <si>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</si>
  <si>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</si>
  <si>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</si>
  <si>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</si>
  <si>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</si>
  <si>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</si>
  <si>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</si>
  <si>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</si>
  <si>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</si>
  <si>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</si>
  <si>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</si>
  <si>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</si>
  <si>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</si>
  <si>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</si>
  <si>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</si>
  <si>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</si>
  <si>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</si>
  <si>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</si>
  <si>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</si>
  <si>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</si>
  <si>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</si>
  <si>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</si>
  <si>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</si>
  <si>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</si>
  <si>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</si>
  <si>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</si>
  <si>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</si>
  <si>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</si>
  <si>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</si>
  <si>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</si>
  <si>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</si>
  <si>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</si>
  <si>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</si>
  <si>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</si>
  <si>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</si>
  <si>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</si>
  <si>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</si>
  <si>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</si>
  <si>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</si>
  <si>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</si>
  <si>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</si>
  <si>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</si>
  <si>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</si>
  <si>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</si>
  <si>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</si>
  <si>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</si>
  <si>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</si>
  <si>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</si>
  <si>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</si>
  <si>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</si>
  <si>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</si>
  <si>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</si>
  <si>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</si>
  <si>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</si>
  <si>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</si>
  <si>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</si>
  <si>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</si>
  <si>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</si>
  <si>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</si>
  <si>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</si>
  <si>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</si>
  <si>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</si>
  <si>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</si>
  <si>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</si>
  <si>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</si>
  <si>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</si>
  <si>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</si>
  <si>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</si>
  <si>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</si>
  <si>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</si>
  <si>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</si>
  <si>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</si>
  <si>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</si>
  <si>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</si>
  <si>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</si>
  <si>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</si>
  <si>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</si>
  <si>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</si>
  <si>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</si>
  <si>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</si>
  <si>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</si>
  <si>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</si>
  <si>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</si>
  <si>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</si>
  <si>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</si>
  <si>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</si>
  <si>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</si>
  <si>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</si>
  <si>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</si>
  <si>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</si>
  <si>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</si>
  <si>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</si>
  <si>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</si>
  <si>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</si>
  <si>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</si>
  <si>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</si>
  <si>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</si>
  <si>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</si>
  <si>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</si>
  <si>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</si>
  <si>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</si>
  <si>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</si>
  <si>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</si>
  <si>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</si>
  <si>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</si>
  <si>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</si>
  <si>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</si>
  <si>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</si>
  <si>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</si>
  <si>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</si>
  <si>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</si>
  <si>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</si>
  <si>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</si>
  <si>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</si>
  <si>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</si>
  <si>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</si>
  <si>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</si>
  <si>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</si>
  <si>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</si>
  <si>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</si>
  <si>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</si>
  <si>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</si>
  <si>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</si>
  <si>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</si>
  <si>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</si>
  <si>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</si>
  <si>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</si>
  <si>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</si>
  <si>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</si>
  <si>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</si>
  <si>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</si>
  <si>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</si>
  <si>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</si>
  <si>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</si>
  <si>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</si>
  <si>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</si>
  <si>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</si>
  <si>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</si>
  <si>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</si>
  <si>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</si>
  <si>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</si>
  <si>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</si>
  <si>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</si>
  <si>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</si>
  <si>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</si>
  <si>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</si>
  <si>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</si>
  <si>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</si>
  <si>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</si>
  <si>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</si>
  <si>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</si>
  <si>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</si>
  <si>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</si>
  <si>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</si>
  <si>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</si>
  <si>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</si>
  <si>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</si>
  <si>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</si>
  <si>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</si>
  <si>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</si>
  <si>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</si>
  <si>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</si>
  <si>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</si>
  <si>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</si>
  <si>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</si>
  <si>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</si>
  <si>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</si>
  <si>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</si>
  <si>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</si>
  <si>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</si>
  <si>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</si>
  <si>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</si>
  <si>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</si>
  <si>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</si>
  <si>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</si>
  <si>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</si>
  <si>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</si>
  <si>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</si>
  <si>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</si>
  <si>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</si>
  <si>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</si>
  <si>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</si>
  <si>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</si>
  <si>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</si>
  <si>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</si>
  <si>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</si>
  <si>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</si>
  <si>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</si>
  <si>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</si>
  <si>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</si>
  <si>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</si>
  <si>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</si>
  <si>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</si>
  <si>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</si>
  <si>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</si>
  <si>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</si>
  <si>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</si>
  <si>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</si>
  <si>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</si>
  <si>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</si>
  <si>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</si>
  <si>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</si>
  <si>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</si>
  <si>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</si>
  <si>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</si>
  <si>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</si>
  <si>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Goodrich Fund</t>
  </si>
  <si>
    <t>08/05</t>
  </si>
  <si>
    <t>10/03</t>
  </si>
  <si>
    <t>08/25</t>
  </si>
  <si>
    <t>10/13</t>
  </si>
  <si>
    <t>Other Assessments from Local Sources of $47,932.00 are Impact Fees received from the Town of Raymond</t>
  </si>
  <si>
    <t>Other Restricted State Aid of $1,856.00 is for Differentiated Charter School Aid</t>
  </si>
  <si>
    <t>Transfers from Special Revenue Funds of $30,374.62 is for Indirect Costs charged to Grants</t>
  </si>
  <si>
    <t>Other Food Service Local Revenues of $9,827.70 is Catering Sales</t>
  </si>
  <si>
    <t>Other Special Revenue Local Revenues of $14,466.36 is Private Grants</t>
  </si>
  <si>
    <t>Fund Transfer to General Fund of $30,374.62 is for Indirect Costs charged to Grants</t>
  </si>
  <si>
    <t>Raymond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</si>
</sst>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0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8DB4-C82E-444E-9AA6-01033A69F227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56" sqref="H65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905</v>
      </c>
      <c r="B2" s="21">
        <v>453</v>
      </c>
      <c r="C2" s="21">
        <v>453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715438.28</v>
      </c>
      <c r="G9" s="18">
        <v>100</v>
      </c>
      <c r="H9" s="18"/>
      <c r="I9" s="18"/>
      <c r="J9" s="67">
        <f>SUM(I431)</f>
        <v>538834.49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9345.0499999999993</v>
      </c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542543.18000000005</v>
      </c>
      <c r="G12" s="18" t="s">
        <v>310</v>
      </c>
      <c r="H12" s="18" t="s">
        <v>310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>
        <v>17005.490000000002</v>
      </c>
      <c r="H13" s="18">
        <v>530987.21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1200.4100000000001</v>
      </c>
      <c r="G14" s="18">
        <v>4675.26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1268526.9200000002</v>
      </c>
      <c r="G19" s="41">
        <f>SUM(G9:G18)</f>
        <v>21780.75</v>
      </c>
      <c r="H19" s="41">
        <f>SUM(H9:H18)</f>
        <v>530987.21</v>
      </c>
      <c r="I19" s="41">
        <f>SUM(I9:I18)</f>
        <v>0</v>
      </c>
      <c r="J19" s="41">
        <f>SUM(J9:J18)</f>
        <v>538834.49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>
        <v>14059.11</v>
      </c>
      <c r="H23" s="18">
        <v>528484.06999999995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489108.84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83694.259999999995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128805.5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>
        <v>7721.64</v>
      </c>
      <c r="H31" s="18">
        <v>2503.14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701608.6</v>
      </c>
      <c r="G33" s="41">
        <f>SUM(G23:G32)</f>
        <v>21780.75</v>
      </c>
      <c r="H33" s="41">
        <f>SUM(H23:H32)</f>
        <v>530987.21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22729.95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/>
      <c r="I41" s="18"/>
      <c r="J41" s="13">
        <f>SUM(I449)</f>
        <v>538834.49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544188.37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566918.31999999995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538834.49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1268526.92</v>
      </c>
      <c r="G44" s="41">
        <f>G43+G33</f>
        <v>21780.75</v>
      </c>
      <c r="H44" s="41">
        <f>H43+H33</f>
        <v>530987.21</v>
      </c>
      <c r="I44" s="41">
        <f>I43+I33</f>
        <v>0</v>
      </c>
      <c r="J44" s="41">
        <f>J43+J33</f>
        <v>538834.49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11054643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>
        <v>47932</v>
      </c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11102575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37993.379999999997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2355</v>
      </c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71331.12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13535.25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125214.75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1702.34</v>
      </c>
      <c r="G88" s="18"/>
      <c r="H88" s="18"/>
      <c r="I88" s="18"/>
      <c r="J88" s="18">
        <v>9533.59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311621.53999999998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33.64</v>
      </c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/>
      <c r="G102" s="18">
        <v>9827.7000000000007</v>
      </c>
      <c r="H102" s="18">
        <v>14466.36</v>
      </c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1735.98</v>
      </c>
      <c r="G103" s="41">
        <f>SUM(G88:G102)</f>
        <v>321449.24</v>
      </c>
      <c r="H103" s="41">
        <f>SUM(H88:H102)</f>
        <v>14466.36</v>
      </c>
      <c r="I103" s="41">
        <f>SUM(I88:I102)</f>
        <v>0</v>
      </c>
      <c r="J103" s="41">
        <f>SUM(J88:J102)</f>
        <v>9533.59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11229525.73</v>
      </c>
      <c r="G104" s="41">
        <f>G52+G103</f>
        <v>321449.24</v>
      </c>
      <c r="H104" s="41">
        <f>H52+H71+H86+H103</f>
        <v>14466.36</v>
      </c>
      <c r="I104" s="41">
        <f>I52+I103</f>
        <v>0</v>
      </c>
      <c r="J104" s="41">
        <f>J52+J103</f>
        <v>9533.59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5476509.5499999998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2040278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198631.45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7715419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482791.06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304566.15000000002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 t="s">
        <v>310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18503.64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5864.8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12450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>
        <v>1856</v>
      </c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820166.85</v>
      </c>
      <c r="G128" s="41">
        <f>SUM(G115:G127)</f>
        <v>5864.8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 t="s">
        <v>310</v>
      </c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8535585.8499999996</v>
      </c>
      <c r="G132" s="41">
        <f>G113+SUM(G128:G129)</f>
        <v>5864.8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359379.77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146281.73000000001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232005.54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518757.87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226427.03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226427.03</v>
      </c>
      <c r="G154" s="41">
        <f>SUM(G142:G153)</f>
        <v>232005.54</v>
      </c>
      <c r="H154" s="41">
        <f>SUM(H142:H153)</f>
        <v>1024419.37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226427.03</v>
      </c>
      <c r="G161" s="41">
        <f>G139+G154+SUM(G155:G160)</f>
        <v>232005.54</v>
      </c>
      <c r="H161" s="41">
        <f>H139+H154+SUM(H155:H160)</f>
        <v>1024419.37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25951.279999999999</v>
      </c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>
        <v>30374.62</v>
      </c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30374.62</v>
      </c>
      <c r="G175" s="41">
        <f>SUM(G171:G174)</f>
        <v>25951.279999999999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30374.62</v>
      </c>
      <c r="G184" s="41">
        <f>G175+SUM(G180:G183)</f>
        <v>25951.279999999999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20021913.23</v>
      </c>
      <c r="G185" s="47">
        <f>G104+G132+G161+G184</f>
        <v>585270.86</v>
      </c>
      <c r="H185" s="47">
        <f>H104+H132+H161+H184</f>
        <v>1038885.73</v>
      </c>
      <c r="I185" s="47">
        <f>I104+I132+I161+I184</f>
        <v>0</v>
      </c>
      <c r="J185" s="47">
        <f>J104+J132+J184</f>
        <v>9533.59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1603791.5+39717.27</f>
        <v>1643508.77</v>
      </c>
      <c r="G189" s="18">
        <f>749403.51+67746</f>
        <v>817149.51</v>
      </c>
      <c r="H189" s="18">
        <f>5034.6+16466.97</f>
        <v>21501.57</v>
      </c>
      <c r="I189" s="18">
        <f>74446.06</f>
        <v>74446.06</v>
      </c>
      <c r="J189" s="18">
        <f>5681.42</f>
        <v>5681.42</v>
      </c>
      <c r="K189" s="18">
        <f>112.5</f>
        <v>112.5</v>
      </c>
      <c r="L189" s="19">
        <f>SUM(F189:K189)</f>
        <v>2562399.83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601395.07+54528.28</f>
        <v>655923.35</v>
      </c>
      <c r="G190" s="18">
        <f>349666.48+9804.42</f>
        <v>359470.89999999997</v>
      </c>
      <c r="H190" s="18">
        <f>191443.91+202865.07</f>
        <v>394308.98</v>
      </c>
      <c r="I190" s="18">
        <f>9481.2+4042.44</f>
        <v>13523.640000000001</v>
      </c>
      <c r="J190" s="18">
        <f>1290+302.26</f>
        <v>1592.26</v>
      </c>
      <c r="K190" s="18">
        <f>7666.99</f>
        <v>7666.99</v>
      </c>
      <c r="L190" s="19">
        <f>SUM(F190:K190)</f>
        <v>1432486.1199999999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f>2428</f>
        <v>2428</v>
      </c>
      <c r="G192" s="18">
        <f>316.3</f>
        <v>316.3</v>
      </c>
      <c r="H192" s="18"/>
      <c r="I192" s="18"/>
      <c r="J192" s="18"/>
      <c r="K192" s="18"/>
      <c r="L192" s="19">
        <f>SUM(F192:K192)</f>
        <v>2744.3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185386.49+51619.49</f>
        <v>237005.97999999998</v>
      </c>
      <c r="G194" s="18">
        <f>72214.52+30487.88</f>
        <v>102702.40000000001</v>
      </c>
      <c r="H194" s="18">
        <f>2200.7+1065.8</f>
        <v>3266.5</v>
      </c>
      <c r="I194" s="18">
        <f>1935.4+1637.52</f>
        <v>3572.92</v>
      </c>
      <c r="J194" s="18"/>
      <c r="K194" s="18">
        <f>80</f>
        <v>80</v>
      </c>
      <c r="L194" s="19">
        <f t="shared" ref="L194:L200" si="0">SUM(F194:K194)</f>
        <v>346627.8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53349.08+59172.21</f>
        <v>112521.29000000001</v>
      </c>
      <c r="G195" s="18">
        <f>29705.06+23066.89</f>
        <v>52771.95</v>
      </c>
      <c r="H195" s="18">
        <f>6663.55+10948.1</f>
        <v>17611.650000000001</v>
      </c>
      <c r="I195" s="18">
        <f>17539.25+5316.47</f>
        <v>22855.72</v>
      </c>
      <c r="J195" s="18">
        <f>42719.3+10016.88</f>
        <v>52736.18</v>
      </c>
      <c r="K195" s="18"/>
      <c r="L195" s="19">
        <f t="shared" si="0"/>
        <v>258496.78999999998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167034.68</f>
        <v>167034.68</v>
      </c>
      <c r="G196" s="18">
        <f>72158.2</f>
        <v>72158.2</v>
      </c>
      <c r="H196" s="18">
        <f>53286.26</f>
        <v>53286.26</v>
      </c>
      <c r="I196" s="18">
        <f>7636.77</f>
        <v>7636.77</v>
      </c>
      <c r="J196" s="18">
        <f>1427.68</f>
        <v>1427.68</v>
      </c>
      <c r="K196" s="18">
        <f>7170.53</f>
        <v>7170.53</v>
      </c>
      <c r="L196" s="19">
        <f t="shared" si="0"/>
        <v>308714.12000000005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f>222655.98</f>
        <v>222655.98</v>
      </c>
      <c r="G197" s="18">
        <f>114473.66</f>
        <v>114473.66</v>
      </c>
      <c r="H197" s="18">
        <f>39562.67</f>
        <v>39562.67</v>
      </c>
      <c r="I197" s="18">
        <f>3346.15</f>
        <v>3346.15</v>
      </c>
      <c r="J197" s="18"/>
      <c r="K197" s="18">
        <f>1370</f>
        <v>1370</v>
      </c>
      <c r="L197" s="19">
        <f t="shared" si="0"/>
        <v>381408.46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f>52910.95</f>
        <v>52910.95</v>
      </c>
      <c r="G198" s="18">
        <f>26700.11</f>
        <v>26700.11</v>
      </c>
      <c r="H198" s="18">
        <f>1879.72</f>
        <v>1879.72</v>
      </c>
      <c r="I198" s="18"/>
      <c r="J198" s="18"/>
      <c r="K198" s="18">
        <f>543.42</f>
        <v>543.41999999999996</v>
      </c>
      <c r="L198" s="19">
        <f t="shared" si="0"/>
        <v>82034.2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f>132302+79513.99</f>
        <v>211815.99</v>
      </c>
      <c r="G199" s="18">
        <f>62709.17+25873.53</f>
        <v>88582.7</v>
      </c>
      <c r="H199" s="18">
        <f>128906.13+25253.68</f>
        <v>154159.81</v>
      </c>
      <c r="I199" s="18">
        <f>118093.72+1753.33</f>
        <v>119847.05</v>
      </c>
      <c r="J199" s="18">
        <f>5862.65</f>
        <v>5862.65</v>
      </c>
      <c r="K199" s="18"/>
      <c r="L199" s="19">
        <f t="shared" si="0"/>
        <v>580268.20000000007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2853+130834.29+231419.73</f>
        <v>365107.02</v>
      </c>
      <c r="I200" s="18"/>
      <c r="J200" s="18"/>
      <c r="K200" s="18"/>
      <c r="L200" s="19">
        <f t="shared" si="0"/>
        <v>365107.02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>
        <f>905.4</f>
        <v>905.4</v>
      </c>
      <c r="I201" s="18"/>
      <c r="J201" s="18"/>
      <c r="K201" s="18"/>
      <c r="L201" s="19">
        <f>SUM(F201:K201)</f>
        <v>905.4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3305804.99</v>
      </c>
      <c r="G203" s="41">
        <f t="shared" si="1"/>
        <v>1634325.7299999997</v>
      </c>
      <c r="H203" s="41">
        <f t="shared" si="1"/>
        <v>1051589.5799999998</v>
      </c>
      <c r="I203" s="41">
        <f t="shared" si="1"/>
        <v>245228.31</v>
      </c>
      <c r="J203" s="41">
        <f t="shared" si="1"/>
        <v>67300.19</v>
      </c>
      <c r="K203" s="41">
        <f t="shared" si="1"/>
        <v>16943.439999999999</v>
      </c>
      <c r="L203" s="41">
        <f t="shared" si="1"/>
        <v>6321192.2400000002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f>1617046.89+35046.03</f>
        <v>1652092.92</v>
      </c>
      <c r="G207" s="18">
        <f>776926.74+59778.22</f>
        <v>836704.96</v>
      </c>
      <c r="H207" s="18">
        <f>5701.84+14530.24</f>
        <v>20232.080000000002</v>
      </c>
      <c r="I207" s="18">
        <f>64008.61</f>
        <v>64008.61</v>
      </c>
      <c r="J207" s="18">
        <f>1707.94</f>
        <v>1707.94</v>
      </c>
      <c r="K207" s="18"/>
      <c r="L207" s="19">
        <f>SUM(F207:K207)</f>
        <v>2574746.5099999998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f>562987.23+48115.07</f>
        <v>611102.29999999993</v>
      </c>
      <c r="G208" s="18">
        <f>332719.37+8651.3</f>
        <v>341370.67</v>
      </c>
      <c r="H208" s="18">
        <f>187610.87+179005.61</f>
        <v>366616.48</v>
      </c>
      <c r="I208" s="18">
        <f>5674.86+3567</f>
        <v>9241.86</v>
      </c>
      <c r="J208" s="18">
        <f>266.71</f>
        <v>266.70999999999998</v>
      </c>
      <c r="K208" s="18">
        <f>6765.25</f>
        <v>6765.25</v>
      </c>
      <c r="L208" s="19">
        <f>SUM(F208:K208)</f>
        <v>1335363.27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f>34491</f>
        <v>34491</v>
      </c>
      <c r="G210" s="18">
        <f>4573.26</f>
        <v>4573.26</v>
      </c>
      <c r="H210" s="18">
        <f>4935</f>
        <v>4935</v>
      </c>
      <c r="I210" s="18">
        <f>1714.22</f>
        <v>1714.22</v>
      </c>
      <c r="J210" s="18"/>
      <c r="K210" s="18"/>
      <c r="L210" s="19">
        <f>SUM(F210:K210)</f>
        <v>45713.48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f>263235.16+45548.38</f>
        <v>308783.53999999998</v>
      </c>
      <c r="G212" s="18">
        <f>131091.06+26902.13</f>
        <v>157993.19</v>
      </c>
      <c r="H212" s="18">
        <f>940.45</f>
        <v>940.45</v>
      </c>
      <c r="I212" s="18">
        <f>2497.81+1444.93</f>
        <v>3942.74</v>
      </c>
      <c r="J212" s="18">
        <f>1810.82</f>
        <v>1810.82</v>
      </c>
      <c r="K212" s="18"/>
      <c r="L212" s="19">
        <f t="shared" ref="L212:L218" si="2">SUM(F212:K212)</f>
        <v>473470.74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f>78147.1+52212.82</f>
        <v>130359.92000000001</v>
      </c>
      <c r="G213" s="18">
        <f>42936.86+20353.93</f>
        <v>63290.79</v>
      </c>
      <c r="H213" s="18">
        <f>7964.37+9660.47</f>
        <v>17624.84</v>
      </c>
      <c r="I213" s="18">
        <f>30328.89+4691.19</f>
        <v>35020.080000000002</v>
      </c>
      <c r="J213" s="18">
        <f>15073.94+8838.77</f>
        <v>23912.71</v>
      </c>
      <c r="K213" s="18"/>
      <c r="L213" s="19">
        <f t="shared" si="2"/>
        <v>270208.34000000003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f>147389.31</f>
        <v>147389.31</v>
      </c>
      <c r="G214" s="18">
        <f>63671.49</f>
        <v>63671.49</v>
      </c>
      <c r="H214" s="18">
        <f>47019.14</f>
        <v>47019.14</v>
      </c>
      <c r="I214" s="18">
        <f>6738.59</f>
        <v>6738.59</v>
      </c>
      <c r="J214" s="18">
        <f>1259.76</f>
        <v>1259.76</v>
      </c>
      <c r="K214" s="18">
        <f>6327.19</f>
        <v>6327.19</v>
      </c>
      <c r="L214" s="19">
        <f t="shared" si="2"/>
        <v>272405.48000000004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f>230073.59</f>
        <v>230073.59</v>
      </c>
      <c r="G215" s="18">
        <f>118207.53</f>
        <v>118207.53</v>
      </c>
      <c r="H215" s="18">
        <f>43678.86</f>
        <v>43678.86</v>
      </c>
      <c r="I215" s="18">
        <f>3456.18</f>
        <v>3456.18</v>
      </c>
      <c r="J215" s="18"/>
      <c r="K215" s="18">
        <f>1318</f>
        <v>1318</v>
      </c>
      <c r="L215" s="19">
        <f t="shared" si="2"/>
        <v>396734.16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f>46687.95</f>
        <v>46687.95</v>
      </c>
      <c r="G216" s="18">
        <f>23559.85</f>
        <v>23559.85</v>
      </c>
      <c r="H216" s="18">
        <f>1658.64</f>
        <v>1658.64</v>
      </c>
      <c r="I216" s="18"/>
      <c r="J216" s="18"/>
      <c r="K216" s="18">
        <f>479.51</f>
        <v>479.51</v>
      </c>
      <c r="L216" s="19">
        <f t="shared" si="2"/>
        <v>72385.949999999983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f>131354.14+70162.15</f>
        <v>201516.29</v>
      </c>
      <c r="G217" s="18">
        <f>62895.89+22830.48</f>
        <v>85726.37</v>
      </c>
      <c r="H217" s="18">
        <f>54015.18+22283.54</f>
        <v>76298.720000000001</v>
      </c>
      <c r="I217" s="18">
        <f>183594.87+1547.11</f>
        <v>185141.97999999998</v>
      </c>
      <c r="J217" s="18">
        <f>5173.13</f>
        <v>5173.13</v>
      </c>
      <c r="K217" s="18"/>
      <c r="L217" s="19">
        <f t="shared" si="2"/>
        <v>553856.49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f>8345.3+114480+115709.86</f>
        <v>238535.16</v>
      </c>
      <c r="I218" s="18"/>
      <c r="J218" s="18"/>
      <c r="K218" s="18"/>
      <c r="L218" s="19">
        <f t="shared" si="2"/>
        <v>238535.16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>
        <f>798.91</f>
        <v>798.91</v>
      </c>
      <c r="I219" s="18"/>
      <c r="J219" s="18"/>
      <c r="K219" s="18"/>
      <c r="L219" s="19">
        <f>SUM(F219:K219)</f>
        <v>798.91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3362496.82</v>
      </c>
      <c r="G221" s="41">
        <f>SUM(G207:G220)</f>
        <v>1695098.1099999999</v>
      </c>
      <c r="H221" s="41">
        <f>SUM(H207:H220)</f>
        <v>818338.28000000014</v>
      </c>
      <c r="I221" s="41">
        <f>SUM(I207:I220)</f>
        <v>309264.26</v>
      </c>
      <c r="J221" s="41">
        <f>SUM(J207:J220)</f>
        <v>34131.07</v>
      </c>
      <c r="K221" s="41">
        <f t="shared" si="3"/>
        <v>14889.949999999999</v>
      </c>
      <c r="L221" s="41">
        <f t="shared" si="3"/>
        <v>6234218.4900000012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f>1645877.13+33698.16</f>
        <v>1679575.2899999998</v>
      </c>
      <c r="G225" s="18">
        <f>795290.62+57479.16</f>
        <v>852769.78</v>
      </c>
      <c r="H225" s="18">
        <f>13783.13+13971.41</f>
        <v>27754.54</v>
      </c>
      <c r="I225" s="18">
        <f>86468.47</f>
        <v>86468.47</v>
      </c>
      <c r="J225" s="18">
        <f>25890.83</f>
        <v>25890.83</v>
      </c>
      <c r="K225" s="18"/>
      <c r="L225" s="19">
        <f>SUM(F225:K225)</f>
        <v>2672458.91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f>550056.01+46264.58</f>
        <v>596320.59</v>
      </c>
      <c r="G226" s="18">
        <f>349311.27+8318.56</f>
        <v>357629.83</v>
      </c>
      <c r="H226" s="18">
        <f>315251.8+172121.08-556.28</f>
        <v>486816.6</v>
      </c>
      <c r="I226" s="18">
        <f>6991.37+3429.82</f>
        <v>10421.19</v>
      </c>
      <c r="J226" s="18">
        <f>1090.35+256.45</f>
        <v>1346.8</v>
      </c>
      <c r="K226" s="18">
        <f>6505.07</f>
        <v>6505.07</v>
      </c>
      <c r="L226" s="19">
        <f>SUM(F226:K226)</f>
        <v>1459040.08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>
        <f>176995</f>
        <v>176995</v>
      </c>
      <c r="I227" s="18"/>
      <c r="J227" s="18"/>
      <c r="K227" s="18"/>
      <c r="L227" s="19">
        <f>SUM(F227:K227)</f>
        <v>176995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f>106020.4</f>
        <v>106020.4</v>
      </c>
      <c r="G228" s="18">
        <f>12392.76</f>
        <v>12392.76</v>
      </c>
      <c r="H228" s="18">
        <f>28774.27</f>
        <v>28774.27</v>
      </c>
      <c r="I228" s="18">
        <f>8427.99</f>
        <v>8427.99</v>
      </c>
      <c r="J228" s="18">
        <f>7407.56</f>
        <v>7407.56</v>
      </c>
      <c r="K228" s="18">
        <f>6700.25</f>
        <v>6700.25</v>
      </c>
      <c r="L228" s="19">
        <f>SUM(F228:K228)</f>
        <v>169723.22999999998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f>228317.23+43796.61</f>
        <v>272113.84000000003</v>
      </c>
      <c r="G230" s="18">
        <f>96164.87+25867.47</f>
        <v>122032.34</v>
      </c>
      <c r="H230" s="18">
        <f>34210.47+904.27</f>
        <v>35114.74</v>
      </c>
      <c r="I230" s="18">
        <f>3376.64+1389.36</f>
        <v>4766</v>
      </c>
      <c r="J230" s="18">
        <f>535.85</f>
        <v>535.85</v>
      </c>
      <c r="K230" s="18">
        <f>190</f>
        <v>190</v>
      </c>
      <c r="L230" s="19">
        <f t="shared" ref="L230:L236" si="4">SUM(F230:K230)</f>
        <v>434752.77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f>48207.38+50204.73</f>
        <v>98412.11</v>
      </c>
      <c r="G231" s="18">
        <f>23578.39+19571.12</f>
        <v>43149.509999999995</v>
      </c>
      <c r="H231" s="18">
        <f>7999.61+9288.92</f>
        <v>17288.53</v>
      </c>
      <c r="I231" s="18">
        <f>22760.93+4510.77</f>
        <v>27271.7</v>
      </c>
      <c r="J231" s="18">
        <f>43451.36+8498.83</f>
        <v>51950.19</v>
      </c>
      <c r="K231" s="18">
        <f>1767.51</f>
        <v>1767.51</v>
      </c>
      <c r="L231" s="19">
        <f t="shared" si="4"/>
        <v>239839.55000000002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f>141720.74</f>
        <v>141720.74</v>
      </c>
      <c r="G232" s="18">
        <f>61222.69</f>
        <v>61222.69</v>
      </c>
      <c r="H232" s="18">
        <f>45210.79</f>
        <v>45210.79</v>
      </c>
      <c r="I232" s="18">
        <f>6479.42</f>
        <v>6479.42</v>
      </c>
      <c r="J232" s="18">
        <f>1211.32</f>
        <v>1211.32</v>
      </c>
      <c r="K232" s="18">
        <v>6083.85</v>
      </c>
      <c r="L232" s="19">
        <f t="shared" si="4"/>
        <v>261928.81000000003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f>243377.88</f>
        <v>243377.88</v>
      </c>
      <c r="G233" s="18">
        <f>95321.88</f>
        <v>95321.88</v>
      </c>
      <c r="H233" s="18">
        <f>50082.01</f>
        <v>50082.01</v>
      </c>
      <c r="I233" s="18">
        <f>3152.8</f>
        <v>3152.8</v>
      </c>
      <c r="J233" s="18"/>
      <c r="K233" s="18">
        <f>4939.82</f>
        <v>4939.82</v>
      </c>
      <c r="L233" s="19">
        <f t="shared" si="4"/>
        <v>396874.39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f>44892.35</f>
        <v>44892.35</v>
      </c>
      <c r="G234" s="18">
        <f>22653.74</f>
        <v>22653.74</v>
      </c>
      <c r="H234" s="18">
        <f>1594.84</f>
        <v>1594.84</v>
      </c>
      <c r="I234" s="18"/>
      <c r="J234" s="18"/>
      <c r="K234" s="18">
        <f>461.07</f>
        <v>461.07</v>
      </c>
      <c r="L234" s="19">
        <f t="shared" si="4"/>
        <v>69602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f>118397.45+67463.72</f>
        <v>185861.16999999998</v>
      </c>
      <c r="G235" s="18">
        <f>61075.97+21952.43</f>
        <v>83028.399999999994</v>
      </c>
      <c r="H235" s="18">
        <f>73668.17+21426.52</f>
        <v>95094.69</v>
      </c>
      <c r="I235" s="18">
        <f>132515.42+1487.61</f>
        <v>134003.03</v>
      </c>
      <c r="J235" s="18">
        <f>4974.17</f>
        <v>4974.17</v>
      </c>
      <c r="K235" s="18"/>
      <c r="L235" s="19">
        <f t="shared" si="4"/>
        <v>502961.4599999999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f>26319+138535.71+61711.93</f>
        <v>226566.63999999998</v>
      </c>
      <c r="I236" s="18"/>
      <c r="J236" s="18"/>
      <c r="K236" s="18"/>
      <c r="L236" s="19">
        <f t="shared" si="4"/>
        <v>226566.63999999998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>
        <f>768.18</f>
        <v>768.18</v>
      </c>
      <c r="I237" s="18"/>
      <c r="J237" s="18"/>
      <c r="K237" s="18"/>
      <c r="L237" s="19">
        <f>SUM(F237:K237)</f>
        <v>768.18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3368294.3699999996</v>
      </c>
      <c r="G239" s="41">
        <f t="shared" si="5"/>
        <v>1650200.93</v>
      </c>
      <c r="H239" s="41">
        <f t="shared" si="5"/>
        <v>1192060.8299999998</v>
      </c>
      <c r="I239" s="41">
        <f t="shared" si="5"/>
        <v>280990.59999999998</v>
      </c>
      <c r="J239" s="41">
        <f t="shared" si="5"/>
        <v>93316.720000000016</v>
      </c>
      <c r="K239" s="41">
        <f t="shared" si="5"/>
        <v>26647.57</v>
      </c>
      <c r="L239" s="41">
        <f t="shared" si="5"/>
        <v>6611511.0199999986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>
        <v>21955.79</v>
      </c>
      <c r="I245" s="18"/>
      <c r="J245" s="18"/>
      <c r="K245" s="18"/>
      <c r="L245" s="19">
        <f t="shared" si="6"/>
        <v>21955.79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21955.79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21955.79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10036596.18</v>
      </c>
      <c r="G249" s="41">
        <f t="shared" si="8"/>
        <v>4979624.7699999996</v>
      </c>
      <c r="H249" s="41">
        <f t="shared" si="8"/>
        <v>3083944.4799999995</v>
      </c>
      <c r="I249" s="41">
        <f t="shared" si="8"/>
        <v>835483.17</v>
      </c>
      <c r="J249" s="41">
        <f t="shared" si="8"/>
        <v>194747.98000000004</v>
      </c>
      <c r="K249" s="41">
        <f t="shared" si="8"/>
        <v>58480.959999999999</v>
      </c>
      <c r="L249" s="41">
        <f t="shared" si="8"/>
        <v>19188877.539999999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830933.05</v>
      </c>
      <c r="L252" s="19">
        <f>SUM(F252:K252)</f>
        <v>830933.05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213544.68</v>
      </c>
      <c r="L253" s="19">
        <f>SUM(F253:K253)</f>
        <v>213544.68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25951.279999999999</v>
      </c>
      <c r="L255" s="19">
        <f>SUM(F255:K255)</f>
        <v>25951.279999999999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>
        <v>556.28</v>
      </c>
      <c r="L260" s="19">
        <f t="shared" si="9"/>
        <v>556.28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1070985.29</v>
      </c>
      <c r="L262" s="41">
        <f t="shared" si="9"/>
        <v>1070985.29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10036596.18</v>
      </c>
      <c r="G263" s="42">
        <f t="shared" si="11"/>
        <v>4979624.7699999996</v>
      </c>
      <c r="H263" s="42">
        <f t="shared" si="11"/>
        <v>3083944.4799999995</v>
      </c>
      <c r="I263" s="42">
        <f t="shared" si="11"/>
        <v>835483.17</v>
      </c>
      <c r="J263" s="42">
        <f t="shared" si="11"/>
        <v>194747.98000000004</v>
      </c>
      <c r="K263" s="42">
        <f t="shared" si="11"/>
        <v>1129466.25</v>
      </c>
      <c r="L263" s="42">
        <f t="shared" si="11"/>
        <v>20259862.829999998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191082.01+11695.6</f>
        <v>202777.61000000002</v>
      </c>
      <c r="G268" s="18">
        <f>82592.52+1366.99</f>
        <v>83959.510000000009</v>
      </c>
      <c r="H268" s="18">
        <f>34232.79</f>
        <v>34232.79</v>
      </c>
      <c r="I268" s="18"/>
      <c r="J268" s="18"/>
      <c r="K268" s="18"/>
      <c r="L268" s="19">
        <f>SUM(F268:K268)</f>
        <v>320969.90999999997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97609.93+10877.42</f>
        <v>108487.34999999999</v>
      </c>
      <c r="G269" s="18">
        <f>49411.24+6074</f>
        <v>55485.24</v>
      </c>
      <c r="H269" s="18">
        <f>9175.56</f>
        <v>9175.56</v>
      </c>
      <c r="I269" s="18">
        <v>4489.18</v>
      </c>
      <c r="J269" s="18">
        <v>1896.1</v>
      </c>
      <c r="K269" s="18"/>
      <c r="L269" s="19">
        <f>SUM(F269:K269)</f>
        <v>179533.43</v>
      </c>
      <c r="M269" s="8"/>
    </row>
    <row r="270" spans="1:13" s="3" customFormat="1" ht="12" customHeight="1" x14ac:dyDescent="0.2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/>
      <c r="G270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13100</v>
      </c>
      <c r="G271" s="18">
        <v>1623.37</v>
      </c>
      <c r="H271" s="18"/>
      <c r="I271" s="18"/>
      <c r="J271" s="18"/>
      <c r="K271" s="18"/>
      <c r="L271" s="19">
        <f>SUM(F271:K271)</f>
        <v>14723.369999999999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>
        <v>989.62</v>
      </c>
      <c r="I273" s="18"/>
      <c r="J273" s="18"/>
      <c r="K273" s="18"/>
      <c r="L273" s="19">
        <f t="shared" ref="L273:L279" si="12">SUM(F273:K273)</f>
        <v>989.62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f>2195.7+974.11</f>
        <v>3169.81</v>
      </c>
      <c r="G274" s="18">
        <f>167.97+64.32</f>
        <v>232.29</v>
      </c>
      <c r="H274" s="18">
        <f>15050+28297.69</f>
        <v>43347.69</v>
      </c>
      <c r="I274" s="18">
        <f>995+1413.53</f>
        <v>2408.5299999999997</v>
      </c>
      <c r="J274" s="18">
        <f>10250.75</f>
        <v>10250.75</v>
      </c>
      <c r="K274" s="18"/>
      <c r="L274" s="19">
        <f t="shared" si="12"/>
        <v>59409.07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>
        <v>1100.42</v>
      </c>
      <c r="K276" s="18"/>
      <c r="L276" s="19">
        <f t="shared" si="12"/>
        <v>1100.42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327534.77</v>
      </c>
      <c r="G282" s="42">
        <f t="shared" si="13"/>
        <v>141300.41</v>
      </c>
      <c r="H282" s="42">
        <f t="shared" si="13"/>
        <v>87745.66</v>
      </c>
      <c r="I282" s="42">
        <f t="shared" si="13"/>
        <v>6897.71</v>
      </c>
      <c r="J282" s="42">
        <f t="shared" si="13"/>
        <v>13247.27</v>
      </c>
      <c r="K282" s="42">
        <f t="shared" si="13"/>
        <v>0</v>
      </c>
      <c r="L282" s="41">
        <f t="shared" si="13"/>
        <v>576725.81999999995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v>55987</v>
      </c>
      <c r="G287" s="18">
        <v>15560.43</v>
      </c>
      <c r="H287" s="18"/>
      <c r="I287" s="18">
        <v>217.82</v>
      </c>
      <c r="J287" s="18">
        <v>78.97</v>
      </c>
      <c r="K287" s="18"/>
      <c r="L287" s="19">
        <f>SUM(F287:K287)</f>
        <v>71844.22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f>9598.11</f>
        <v>9598.11</v>
      </c>
      <c r="G288" s="18">
        <f>5359.61</f>
        <v>5359.61</v>
      </c>
      <c r="H288" s="18">
        <f>8096.4</f>
        <v>8096.4</v>
      </c>
      <c r="I288" s="18"/>
      <c r="J288" s="18">
        <v>1896.1</v>
      </c>
      <c r="K288" s="18"/>
      <c r="L288" s="19">
        <f>SUM(F288:K288)</f>
        <v>24950.22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f>525+859.55</f>
        <v>1384.55</v>
      </c>
      <c r="G293" s="18">
        <f>68+56.75</f>
        <v>124.75</v>
      </c>
      <c r="H293" s="18">
        <f>7232.08+24969.52</f>
        <v>32201.599999999999</v>
      </c>
      <c r="I293" s="18">
        <f>150.1+1247.28</f>
        <v>1397.3799999999999</v>
      </c>
      <c r="J293" s="18">
        <f>9045.14</f>
        <v>9045.14</v>
      </c>
      <c r="K293" s="18"/>
      <c r="L293" s="19">
        <f t="shared" si="14"/>
        <v>44153.42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66969.66</v>
      </c>
      <c r="G301" s="42">
        <f t="shared" si="15"/>
        <v>21044.79</v>
      </c>
      <c r="H301" s="42">
        <f t="shared" si="15"/>
        <v>40298</v>
      </c>
      <c r="I301" s="42">
        <f t="shared" si="15"/>
        <v>1615.1999999999998</v>
      </c>
      <c r="J301" s="42">
        <f t="shared" si="15"/>
        <v>11020.21</v>
      </c>
      <c r="K301" s="42">
        <f t="shared" si="15"/>
        <v>0</v>
      </c>
      <c r="L301" s="41">
        <f t="shared" si="15"/>
        <v>140947.85999999999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2456</v>
      </c>
      <c r="G306" s="18">
        <v>392.23</v>
      </c>
      <c r="H306" s="18"/>
      <c r="I306" s="18"/>
      <c r="J306" s="18"/>
      <c r="K306" s="18"/>
      <c r="L306" s="19">
        <f>SUM(F306:K306)</f>
        <v>2848.23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f>151907.84+9228.97</f>
        <v>161136.81</v>
      </c>
      <c r="G307" s="18">
        <f>67009.32+5153.48</f>
        <v>72162.8</v>
      </c>
      <c r="H307" s="18">
        <f>7785.01</f>
        <v>7785.01</v>
      </c>
      <c r="I307" s="18"/>
      <c r="J307" s="18">
        <v>1896.1</v>
      </c>
      <c r="K307" s="18"/>
      <c r="L307" s="19">
        <f>SUM(F307:K307)</f>
        <v>242980.72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f>5784.04+826.49</f>
        <v>6610.53</v>
      </c>
      <c r="G312" s="18">
        <f>803.39+54.57</f>
        <v>857.96</v>
      </c>
      <c r="H312" s="18">
        <f>3605.48+24009.2</f>
        <v>27614.68</v>
      </c>
      <c r="I312" s="18">
        <f>28.74+1199.31</f>
        <v>1228.05</v>
      </c>
      <c r="J312" s="18">
        <f>8697.26</f>
        <v>8697.26</v>
      </c>
      <c r="K312" s="18"/>
      <c r="L312" s="19">
        <f t="shared" si="16"/>
        <v>45008.480000000003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170203.34</v>
      </c>
      <c r="G320" s="42">
        <f t="shared" si="17"/>
        <v>73412.990000000005</v>
      </c>
      <c r="H320" s="42">
        <f t="shared" si="17"/>
        <v>35399.69</v>
      </c>
      <c r="I320" s="42">
        <f t="shared" si="17"/>
        <v>1228.05</v>
      </c>
      <c r="J320" s="42">
        <f t="shared" si="17"/>
        <v>10593.36</v>
      </c>
      <c r="K320" s="42">
        <f t="shared" si="17"/>
        <v>0</v>
      </c>
      <c r="L320" s="41">
        <f t="shared" si="17"/>
        <v>290837.43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564707.77</v>
      </c>
      <c r="G330" s="41">
        <f t="shared" si="20"/>
        <v>235758.19</v>
      </c>
      <c r="H330" s="41">
        <f t="shared" si="20"/>
        <v>163443.35</v>
      </c>
      <c r="I330" s="41">
        <f t="shared" si="20"/>
        <v>9740.9599999999991</v>
      </c>
      <c r="J330" s="41">
        <f t="shared" si="20"/>
        <v>34860.839999999997</v>
      </c>
      <c r="K330" s="41">
        <f t="shared" si="20"/>
        <v>0</v>
      </c>
      <c r="L330" s="41">
        <f t="shared" si="20"/>
        <v>1008511.1099999999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>
        <v>30374.62</v>
      </c>
      <c r="L336" s="19">
        <f t="shared" ref="L336:L342" si="21">SUM(F336:K336)</f>
        <v>30374.62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30374.62</v>
      </c>
      <c r="L343" s="41">
        <f>SUM(L333:L342)</f>
        <v>30374.62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564707.77</v>
      </c>
      <c r="G344" s="41">
        <f>G330</f>
        <v>235758.19</v>
      </c>
      <c r="H344" s="41">
        <f>H330</f>
        <v>163443.35</v>
      </c>
      <c r="I344" s="41">
        <f>I330</f>
        <v>9740.9599999999991</v>
      </c>
      <c r="J344" s="41">
        <f>J330</f>
        <v>34860.839999999997</v>
      </c>
      <c r="K344" s="47">
        <f>K330+K343</f>
        <v>30374.62</v>
      </c>
      <c r="L344" s="41">
        <f>L330+L343</f>
        <v>1038885.7299999999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80594.679999999993</v>
      </c>
      <c r="G350" s="18">
        <v>41656.239999999998</v>
      </c>
      <c r="H350" s="18">
        <v>877.2</v>
      </c>
      <c r="I350" s="18">
        <f>5007.08+65741.58</f>
        <v>70748.66</v>
      </c>
      <c r="J350" s="18">
        <v>723.18</v>
      </c>
      <c r="K350" s="18">
        <v>234.27</v>
      </c>
      <c r="L350" s="13">
        <f>SUM(F350:K350)</f>
        <v>194834.22999999995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69263.89</v>
      </c>
      <c r="G351" s="18">
        <v>31178.82</v>
      </c>
      <c r="H351" s="18">
        <v>1531.57</v>
      </c>
      <c r="I351" s="18">
        <f>6887.51+71027.9</f>
        <v>77915.409999999989</v>
      </c>
      <c r="J351" s="18">
        <v>286.58999999999997</v>
      </c>
      <c r="K351" s="18">
        <v>206.72</v>
      </c>
      <c r="L351" s="19">
        <f>SUM(F351:K351)</f>
        <v>180383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83008.45</v>
      </c>
      <c r="G352" s="18">
        <v>35254.61</v>
      </c>
      <c r="H352" s="18">
        <v>825.99</v>
      </c>
      <c r="I352" s="18">
        <f>7031.28+83694.54</f>
        <v>90725.819999999992</v>
      </c>
      <c r="J352" s="18">
        <v>40</v>
      </c>
      <c r="K352" s="18">
        <v>198.76</v>
      </c>
      <c r="L352" s="19">
        <f>SUM(F352:K352)</f>
        <v>210053.63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232867.02000000002</v>
      </c>
      <c r="G354" s="47">
        <f t="shared" si="22"/>
        <v>108089.67</v>
      </c>
      <c r="H354" s="47">
        <f t="shared" si="22"/>
        <v>3234.76</v>
      </c>
      <c r="I354" s="47">
        <f t="shared" si="22"/>
        <v>239389.89</v>
      </c>
      <c r="J354" s="47">
        <f t="shared" si="22"/>
        <v>1049.77</v>
      </c>
      <c r="K354" s="47">
        <f t="shared" si="22"/>
        <v>639.75</v>
      </c>
      <c r="L354" s="47">
        <f t="shared" si="22"/>
        <v>585270.86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5007.08</v>
      </c>
      <c r="G359" s="18">
        <v>6887.51</v>
      </c>
      <c r="H359" s="18">
        <v>7031.28</v>
      </c>
      <c r="I359" s="56">
        <f>SUM(F359:H359)</f>
        <v>18925.87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65741.58</v>
      </c>
      <c r="G360" s="63">
        <v>71027.899999999994</v>
      </c>
      <c r="H360" s="63">
        <v>83694.539999999994</v>
      </c>
      <c r="I360" s="56">
        <f>SUM(F360:H360)</f>
        <v>220464.01999999996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70748.66</v>
      </c>
      <c r="G361" s="47">
        <f>SUM(G359:G360)</f>
        <v>77915.409999999989</v>
      </c>
      <c r="H361" s="47">
        <f>SUM(H359:H360)</f>
        <v>90725.819999999992</v>
      </c>
      <c r="I361" s="47">
        <f>SUM(I359:I360)</f>
        <v>239389.88999999996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>
        <v>3986.07</v>
      </c>
      <c r="I388" s="18"/>
      <c r="J388" s="24" t="s">
        <v>312</v>
      </c>
      <c r="K388" s="24" t="s">
        <v>312</v>
      </c>
      <c r="L388" s="56">
        <f t="shared" si="26"/>
        <v>3986.07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3287.09</v>
      </c>
      <c r="I389" s="18"/>
      <c r="J389" s="24" t="s">
        <v>312</v>
      </c>
      <c r="K389" s="24" t="s">
        <v>312</v>
      </c>
      <c r="L389" s="56">
        <f t="shared" si="26"/>
        <v>3287.09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>
        <v>1293.44</v>
      </c>
      <c r="I391" s="18"/>
      <c r="J391" s="24" t="s">
        <v>312</v>
      </c>
      <c r="K391" s="24" t="s">
        <v>312</v>
      </c>
      <c r="L391" s="56">
        <f t="shared" si="26"/>
        <v>1293.44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>
        <v>732.95</v>
      </c>
      <c r="I392" s="18"/>
      <c r="J392" s="24" t="s">
        <v>312</v>
      </c>
      <c r="K392" s="24" t="s">
        <v>312</v>
      </c>
      <c r="L392" s="56">
        <f t="shared" si="26"/>
        <v>732.95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9299.5500000000011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9299.5500000000011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 t="s">
        <v>894</v>
      </c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>
        <v>234.04</v>
      </c>
      <c r="I395" s="18"/>
      <c r="J395" s="24" t="s">
        <v>312</v>
      </c>
      <c r="K395" s="24" t="s">
        <v>312</v>
      </c>
      <c r="L395" s="56">
        <f>SUM(F395:K395)</f>
        <v>234.04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234.04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234.04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9533.590000000002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9533.590000000002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>
        <v>23785.22</v>
      </c>
      <c r="K417" s="18"/>
      <c r="L417" s="56">
        <f t="shared" si="29"/>
        <v>23785.22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23785.22</v>
      </c>
      <c r="K419" s="47">
        <f t="shared" si="30"/>
        <v>0</v>
      </c>
      <c r="L419" s="47">
        <f t="shared" si="30"/>
        <v>23785.22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 t="s">
        <v>894</v>
      </c>
      <c r="B421" s="6">
        <v>17</v>
      </c>
      <c r="C421" s="6">
        <v>15</v>
      </c>
      <c r="D421" s="2" t="s">
        <v>456</v>
      </c>
      <c r="E421" s="6"/>
      <c r="F421" s="18"/>
      <c r="G421" s="18"/>
      <c r="H421" s="18">
        <v>2500</v>
      </c>
      <c r="I421" s="18"/>
      <c r="J421" s="18"/>
      <c r="K421" s="18"/>
      <c r="L421" s="56">
        <f>SUM(F421:K421)</f>
        <v>2500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2500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2500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2500</v>
      </c>
      <c r="I426" s="47">
        <f t="shared" si="32"/>
        <v>0</v>
      </c>
      <c r="J426" s="47">
        <f t="shared" si="32"/>
        <v>23785.22</v>
      </c>
      <c r="K426" s="47">
        <f t="shared" si="32"/>
        <v>0</v>
      </c>
      <c r="L426" s="47">
        <f t="shared" si="32"/>
        <v>26285.22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>
        <v>516337.13</v>
      </c>
      <c r="H431" s="18">
        <v>22497.360000000001</v>
      </c>
      <c r="I431" s="56">
        <f t="shared" ref="I431:I437" si="33">SUM(F431:H431)</f>
        <v>538834.49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516337.13</v>
      </c>
      <c r="H438" s="13">
        <f>SUM(H431:H437)</f>
        <v>22497.360000000001</v>
      </c>
      <c r="I438" s="13">
        <f>SUM(I431:I437)</f>
        <v>538834.49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516337.13</v>
      </c>
      <c r="H449" s="18">
        <v>22497.360000000001</v>
      </c>
      <c r="I449" s="56">
        <f>SUM(F449:H449)</f>
        <v>538834.49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516337.13</v>
      </c>
      <c r="H450" s="83">
        <f>SUM(H446:H449)</f>
        <v>22497.360000000001</v>
      </c>
      <c r="I450" s="83">
        <f>SUM(I446:I449)</f>
        <v>538834.49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516337.13</v>
      </c>
      <c r="H451" s="42">
        <f>H444+H450</f>
        <v>22497.360000000001</v>
      </c>
      <c r="I451" s="42">
        <f>I444+I450</f>
        <v>538834.49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804867.92</v>
      </c>
      <c r="G455" s="18">
        <v>0</v>
      </c>
      <c r="H455" s="18">
        <v>0</v>
      </c>
      <c r="I455" s="18">
        <v>0</v>
      </c>
      <c r="J455" s="18">
        <v>555586.12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20021913.23</v>
      </c>
      <c r="G458" s="18">
        <v>585270.86</v>
      </c>
      <c r="H458" s="18">
        <v>1038885.73</v>
      </c>
      <c r="I458" s="18"/>
      <c r="J458" s="18">
        <v>9533.59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20021913.23</v>
      </c>
      <c r="G460" s="53">
        <f>SUM(G458:G459)</f>
        <v>585270.86</v>
      </c>
      <c r="H460" s="53">
        <f>SUM(H458:H459)</f>
        <v>1038885.73</v>
      </c>
      <c r="I460" s="53">
        <f>SUM(I458:I459)</f>
        <v>0</v>
      </c>
      <c r="J460" s="53">
        <f>SUM(J458:J459)</f>
        <v>9533.59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20259862.829999998</v>
      </c>
      <c r="G462" s="18">
        <v>585270.86</v>
      </c>
      <c r="H462" s="18">
        <v>1038885.73</v>
      </c>
      <c r="I462" s="18"/>
      <c r="J462" s="18">
        <v>26285.22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20259862.829999998</v>
      </c>
      <c r="G464" s="53">
        <f>SUM(G462:G463)</f>
        <v>585270.86</v>
      </c>
      <c r="H464" s="53">
        <f>SUM(H462:H463)</f>
        <v>1038885.73</v>
      </c>
      <c r="I464" s="53">
        <f>SUM(I462:I463)</f>
        <v>0</v>
      </c>
      <c r="J464" s="53">
        <f>SUM(J462:J463)</f>
        <v>26285.22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566918.32000000402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538834.49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>
        <v>10</v>
      </c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895</v>
      </c>
      <c r="G481" s="155" t="s">
        <v>896</v>
      </c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897</v>
      </c>
      <c r="G482" s="155" t="s">
        <v>898</v>
      </c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13402490</v>
      </c>
      <c r="G483" s="18">
        <v>246250</v>
      </c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4.13</v>
      </c>
      <c r="G484" s="18">
        <v>4.3</v>
      </c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9442445.3300000001</v>
      </c>
      <c r="G485" s="18">
        <v>98500</v>
      </c>
      <c r="H485" s="18"/>
      <c r="I485" s="18"/>
      <c r="J485" s="18"/>
      <c r="K485" s="53">
        <f>SUM(F485:J485)</f>
        <v>9540945.3300000001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>
        <v>0</v>
      </c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806308.05</v>
      </c>
      <c r="G487" s="18">
        <v>24625</v>
      </c>
      <c r="H487" s="18"/>
      <c r="I487" s="18"/>
      <c r="J487" s="18"/>
      <c r="K487" s="53">
        <f t="shared" si="34"/>
        <v>830933.05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8636137.2799999993</v>
      </c>
      <c r="G488" s="205">
        <v>73875</v>
      </c>
      <c r="H488" s="205"/>
      <c r="I488" s="205"/>
      <c r="J488" s="205"/>
      <c r="K488" s="206">
        <f t="shared" si="34"/>
        <v>8710012.2799999993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6582171.7199999997</v>
      </c>
      <c r="G489" s="18">
        <v>6353.26</v>
      </c>
      <c r="H489" s="18"/>
      <c r="I489" s="18"/>
      <c r="J489" s="18"/>
      <c r="K489" s="53">
        <f t="shared" si="34"/>
        <v>6588524.9799999995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15218309</v>
      </c>
      <c r="G490" s="42">
        <f>SUM(G488:G489)</f>
        <v>80228.259999999995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15298537.26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774869.16</v>
      </c>
      <c r="G491" s="205">
        <v>24625</v>
      </c>
      <c r="H491" s="205"/>
      <c r="I491" s="205"/>
      <c r="J491" s="205"/>
      <c r="K491" s="206">
        <f t="shared" si="34"/>
        <v>799494.16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238866.84</v>
      </c>
      <c r="G492" s="18">
        <v>3176.63</v>
      </c>
      <c r="H492" s="18"/>
      <c r="I492" s="18"/>
      <c r="J492" s="18"/>
      <c r="K492" s="53">
        <f t="shared" si="34"/>
        <v>242043.47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1013736</v>
      </c>
      <c r="G493" s="42">
        <f>SUM(G491:G492)</f>
        <v>27801.63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1041537.63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601395.07+39241.36+11796.56+97609.93</f>
        <v>750042.91999999993</v>
      </c>
      <c r="G511" s="18">
        <f>349666.48+8559.28+6144.31+49411.24</f>
        <v>413781.31</v>
      </c>
      <c r="H511" s="18">
        <f>191443.91+201632.24+15155.98+6771.12</f>
        <v>415003.25</v>
      </c>
      <c r="I511" s="18">
        <f>9481.2+3634.64+2154.69</f>
        <v>15270.53</v>
      </c>
      <c r="J511" s="18">
        <f>1290+302.26+11710.16+1702.9</f>
        <v>15005.32</v>
      </c>
      <c r="K511" s="18">
        <f>7666.98+5774.86+330.48</f>
        <v>13772.32</v>
      </c>
      <c r="L511" s="88">
        <f>SUM(F511:K511)</f>
        <v>1622875.6500000001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f>562987.23+34626.08+10409.14</f>
        <v>608022.44999999995</v>
      </c>
      <c r="G512" s="18">
        <f>332719.37+7552.6+5421.66</f>
        <v>345693.62999999995</v>
      </c>
      <c r="H512" s="18">
        <f>187610.87+177917.76+13373.45</f>
        <v>378902.08</v>
      </c>
      <c r="I512" s="18">
        <f>5674.86+3207.16+1901.28</f>
        <v>10783.300000000001</v>
      </c>
      <c r="J512" s="18">
        <f>266.71+10332.89</f>
        <v>10599.599999999999</v>
      </c>
      <c r="K512" s="18">
        <f>6765.26+5095.66</f>
        <v>11860.92</v>
      </c>
      <c r="L512" s="88">
        <f>SUM(F512:K512)</f>
        <v>1365861.98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>550056.01+33294.37+10008.8+151907.84</f>
        <v>745267.02</v>
      </c>
      <c r="G513" s="18">
        <f>349311.27+7262.12+5213.14+67009.32</f>
        <v>428795.85000000003</v>
      </c>
      <c r="H513" s="18">
        <f>315251.8+171075.08+12859.11</f>
        <v>499185.99</v>
      </c>
      <c r="I513" s="18">
        <f>6991.37+3083.81+1828.16</f>
        <v>11903.34</v>
      </c>
      <c r="J513" s="18">
        <f>1090.35+256.45+9935.5</f>
        <v>11282.3</v>
      </c>
      <c r="K513" s="18">
        <f>6505.07+4899.69</f>
        <v>11404.759999999998</v>
      </c>
      <c r="L513" s="88">
        <f>SUM(F513:K513)</f>
        <v>1707839.2600000002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2103332.3899999997</v>
      </c>
      <c r="G514" s="108">
        <f t="shared" ref="G514:L514" si="35">SUM(G511:G513)</f>
        <v>1188270.79</v>
      </c>
      <c r="H514" s="108">
        <f t="shared" si="35"/>
        <v>1293091.32</v>
      </c>
      <c r="I514" s="108">
        <f t="shared" si="35"/>
        <v>37957.17</v>
      </c>
      <c r="J514" s="108">
        <f t="shared" si="35"/>
        <v>36887.22</v>
      </c>
      <c r="K514" s="108">
        <f t="shared" si="35"/>
        <v>37038</v>
      </c>
      <c r="L514" s="89">
        <f t="shared" si="35"/>
        <v>4696576.8900000006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14429.89+51619.49</f>
        <v>66049.38</v>
      </c>
      <c r="G516" s="18">
        <f>16637.42+30487.88</f>
        <v>47125.3</v>
      </c>
      <c r="H516" s="18">
        <f>1065.8+920.79</f>
        <v>1986.59</v>
      </c>
      <c r="I516" s="18">
        <f>1637.52+1001.61</f>
        <v>2639.13</v>
      </c>
      <c r="J516" s="18">
        <f>1084.08</f>
        <v>1084.08</v>
      </c>
      <c r="K516" s="18"/>
      <c r="L516" s="88">
        <f>SUM(F516:K516)</f>
        <v>118884.48000000001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f>38656.8+45548.39</f>
        <v>84205.19</v>
      </c>
      <c r="G517" s="18">
        <f>23109.32+26902.13</f>
        <v>50011.45</v>
      </c>
      <c r="H517" s="18">
        <f>940.44+812.49</f>
        <v>1752.93</v>
      </c>
      <c r="I517" s="18">
        <f>1444.93+883.81</f>
        <v>2328.7399999999998</v>
      </c>
      <c r="J517" s="18">
        <f>956.59</f>
        <v>956.59</v>
      </c>
      <c r="K517" s="18"/>
      <c r="L517" s="88">
        <f>SUM(F517:K517)</f>
        <v>139254.9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f>43796.6</f>
        <v>43796.6</v>
      </c>
      <c r="G518" s="18">
        <f>25867.47</f>
        <v>25867.47</v>
      </c>
      <c r="H518" s="18">
        <f>904.28+781.24</f>
        <v>1685.52</v>
      </c>
      <c r="I518" s="18">
        <f>1389.36+849.82</f>
        <v>2239.1799999999998</v>
      </c>
      <c r="J518" s="18">
        <f>919.8</f>
        <v>919.8</v>
      </c>
      <c r="K518" s="18"/>
      <c r="L518" s="88">
        <f>SUM(F518:K518)</f>
        <v>74508.570000000007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194051.17</v>
      </c>
      <c r="G519" s="89">
        <f t="shared" ref="G519:L519" si="36">SUM(G516:G518)</f>
        <v>123004.22</v>
      </c>
      <c r="H519" s="89">
        <f t="shared" si="36"/>
        <v>5425.04</v>
      </c>
      <c r="I519" s="89">
        <f t="shared" si="36"/>
        <v>7207.0499999999993</v>
      </c>
      <c r="J519" s="89">
        <f t="shared" si="36"/>
        <v>2960.4700000000003</v>
      </c>
      <c r="K519" s="89">
        <f t="shared" si="36"/>
        <v>0</v>
      </c>
      <c r="L519" s="89">
        <f t="shared" si="36"/>
        <v>332647.95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39872.019999999997</v>
      </c>
      <c r="G521" s="18">
        <v>22889.03</v>
      </c>
      <c r="H521" s="18">
        <v>1327.17</v>
      </c>
      <c r="I521" s="18"/>
      <c r="J521" s="18"/>
      <c r="K521" s="18">
        <v>492.89</v>
      </c>
      <c r="L521" s="88">
        <f>SUM(F521:K521)</f>
        <v>64581.109999999993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35182.57</v>
      </c>
      <c r="G522" s="18">
        <v>20196.990000000002</v>
      </c>
      <c r="H522" s="18">
        <v>1171.08</v>
      </c>
      <c r="I522" s="18"/>
      <c r="J522" s="18"/>
      <c r="K522" s="18">
        <v>434.92</v>
      </c>
      <c r="L522" s="88">
        <f>SUM(F522:K522)</f>
        <v>56985.56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33829.46</v>
      </c>
      <c r="G523" s="18">
        <v>19420.22</v>
      </c>
      <c r="H523" s="18">
        <v>1126.03</v>
      </c>
      <c r="I523" s="18"/>
      <c r="J523" s="18"/>
      <c r="K523" s="18">
        <v>418.19</v>
      </c>
      <c r="L523" s="88">
        <f>SUM(F523:K523)</f>
        <v>54793.9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108884.04999999999</v>
      </c>
      <c r="G524" s="89">
        <f t="shared" ref="G524:L524" si="37">SUM(G521:G523)</f>
        <v>62506.240000000005</v>
      </c>
      <c r="H524" s="89">
        <f t="shared" si="37"/>
        <v>3624.2799999999997</v>
      </c>
      <c r="I524" s="89">
        <f t="shared" si="37"/>
        <v>0</v>
      </c>
      <c r="J524" s="89">
        <f t="shared" si="37"/>
        <v>0</v>
      </c>
      <c r="K524" s="89">
        <f t="shared" si="37"/>
        <v>1346</v>
      </c>
      <c r="L524" s="89">
        <f t="shared" si="37"/>
        <v>176360.56999999998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1232.8399999999999</v>
      </c>
      <c r="I526" s="18"/>
      <c r="J526" s="18"/>
      <c r="K526" s="18"/>
      <c r="L526" s="88">
        <f>SUM(F526:K526)</f>
        <v>1232.8399999999999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>
        <v>1087.8399999999999</v>
      </c>
      <c r="I527" s="18"/>
      <c r="J527" s="18"/>
      <c r="K527" s="18"/>
      <c r="L527" s="88">
        <f>SUM(F527:K527)</f>
        <v>1087.8399999999999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v>1046</v>
      </c>
      <c r="I528" s="18"/>
      <c r="J528" s="18"/>
      <c r="K528" s="18"/>
      <c r="L528" s="88">
        <f>SUM(F528:K528)</f>
        <v>1046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3366.68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3366.68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231419.73</v>
      </c>
      <c r="I531" s="18"/>
      <c r="J531" s="18"/>
      <c r="K531" s="18"/>
      <c r="L531" s="88">
        <f>SUM(F531:K531)</f>
        <v>231419.73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115709.86</v>
      </c>
      <c r="I532" s="18"/>
      <c r="J532" s="18"/>
      <c r="K532" s="18"/>
      <c r="L532" s="88">
        <f>SUM(F532:K532)</f>
        <v>115709.86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61711.93</v>
      </c>
      <c r="I533" s="18"/>
      <c r="J533" s="18"/>
      <c r="K533" s="18"/>
      <c r="L533" s="88">
        <f>SUM(F533:K533)</f>
        <v>61711.93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408841.52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408841.52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2406267.6099999994</v>
      </c>
      <c r="G535" s="89">
        <f t="shared" ref="G535:L535" si="40">G514+G519+G524+G529+G534</f>
        <v>1373781.25</v>
      </c>
      <c r="H535" s="89">
        <f t="shared" si="40"/>
        <v>1714348.84</v>
      </c>
      <c r="I535" s="89">
        <f t="shared" si="40"/>
        <v>45164.22</v>
      </c>
      <c r="J535" s="89">
        <f t="shared" si="40"/>
        <v>39847.69</v>
      </c>
      <c r="K535" s="89">
        <f t="shared" si="40"/>
        <v>38384</v>
      </c>
      <c r="L535" s="89">
        <f t="shared" si="40"/>
        <v>5617793.6100000013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1622875.6500000001</v>
      </c>
      <c r="G539" s="87">
        <f>L516</f>
        <v>118884.48000000001</v>
      </c>
      <c r="H539" s="87">
        <f>L521</f>
        <v>64581.109999999993</v>
      </c>
      <c r="I539" s="87">
        <f>L526</f>
        <v>1232.8399999999999</v>
      </c>
      <c r="J539" s="87">
        <f>L531</f>
        <v>231419.73</v>
      </c>
      <c r="K539" s="87">
        <f>SUM(F539:J539)</f>
        <v>2038993.8100000003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1365861.98</v>
      </c>
      <c r="G540" s="87">
        <f>L517</f>
        <v>139254.9</v>
      </c>
      <c r="H540" s="87">
        <f>L522</f>
        <v>56985.56</v>
      </c>
      <c r="I540" s="87">
        <f>L527</f>
        <v>1087.8399999999999</v>
      </c>
      <c r="J540" s="87">
        <f>L532</f>
        <v>115709.86</v>
      </c>
      <c r="K540" s="87">
        <f>SUM(F540:J540)</f>
        <v>1678900.1400000001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1707839.2600000002</v>
      </c>
      <c r="G541" s="87">
        <f>L518</f>
        <v>74508.570000000007</v>
      </c>
      <c r="H541" s="87">
        <f>L523</f>
        <v>54793.9</v>
      </c>
      <c r="I541" s="87">
        <f>L528</f>
        <v>1046</v>
      </c>
      <c r="J541" s="87">
        <f>L533</f>
        <v>61711.93</v>
      </c>
      <c r="K541" s="87">
        <f>SUM(F541:J541)</f>
        <v>1899899.6600000001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4696576.8900000006</v>
      </c>
      <c r="G542" s="89">
        <f t="shared" si="41"/>
        <v>332647.95</v>
      </c>
      <c r="H542" s="89">
        <f t="shared" si="41"/>
        <v>176360.56999999998</v>
      </c>
      <c r="I542" s="89">
        <f t="shared" si="41"/>
        <v>3366.68</v>
      </c>
      <c r="J542" s="89">
        <f t="shared" si="41"/>
        <v>408841.52</v>
      </c>
      <c r="K542" s="89">
        <f t="shared" si="41"/>
        <v>5617793.6100000003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15286.92</v>
      </c>
      <c r="G552" s="18">
        <v>1245.1400000000001</v>
      </c>
      <c r="H552" s="18"/>
      <c r="I552" s="18">
        <v>407.81</v>
      </c>
      <c r="J552" s="18"/>
      <c r="K552" s="18"/>
      <c r="L552" s="88">
        <f>SUM(F552:K552)</f>
        <v>16939.870000000003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>
        <v>13488.99</v>
      </c>
      <c r="G553" s="18">
        <v>1098.7</v>
      </c>
      <c r="H553" s="18"/>
      <c r="I553" s="18">
        <v>359.84</v>
      </c>
      <c r="J553" s="18"/>
      <c r="K553" s="18"/>
      <c r="L553" s="88">
        <f>SUM(F553:K553)</f>
        <v>14947.53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v>12970.21</v>
      </c>
      <c r="G554" s="18">
        <v>1056.44</v>
      </c>
      <c r="H554" s="18"/>
      <c r="I554" s="18">
        <v>346</v>
      </c>
      <c r="J554" s="18"/>
      <c r="K554" s="18"/>
      <c r="L554" s="88">
        <f>SUM(F554:K554)</f>
        <v>14372.65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41746.119999999995</v>
      </c>
      <c r="G555" s="89">
        <f t="shared" si="43"/>
        <v>3400.28</v>
      </c>
      <c r="H555" s="89">
        <f t="shared" si="43"/>
        <v>0</v>
      </c>
      <c r="I555" s="89">
        <f t="shared" si="43"/>
        <v>1113.6500000000001</v>
      </c>
      <c r="J555" s="89">
        <f t="shared" si="43"/>
        <v>0</v>
      </c>
      <c r="K555" s="89">
        <f t="shared" si="43"/>
        <v>0</v>
      </c>
      <c r="L555" s="89">
        <f t="shared" si="43"/>
        <v>46260.05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41746.119999999995</v>
      </c>
      <c r="G561" s="89">
        <f t="shared" ref="G561:L561" si="45">G550+G555+G560</f>
        <v>3400.28</v>
      </c>
      <c r="H561" s="89">
        <f t="shared" si="45"/>
        <v>0</v>
      </c>
      <c r="I561" s="89">
        <f t="shared" si="45"/>
        <v>1113.6500000000001</v>
      </c>
      <c r="J561" s="89">
        <f t="shared" si="45"/>
        <v>0</v>
      </c>
      <c r="K561" s="89">
        <f t="shared" si="45"/>
        <v>0</v>
      </c>
      <c r="L561" s="89">
        <f t="shared" si="45"/>
        <v>46260.05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 t="s">
        <v>310</v>
      </c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172620.15</v>
      </c>
      <c r="G572" s="18">
        <v>187610.87</v>
      </c>
      <c r="H572" s="18">
        <v>314695.52</v>
      </c>
      <c r="I572" s="87">
        <f t="shared" si="46"/>
        <v>674926.54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>
        <v>18823.759999999998</v>
      </c>
      <c r="G573" s="18"/>
      <c r="H573" s="18"/>
      <c r="I573" s="87">
        <f t="shared" si="46"/>
        <v>18823.759999999998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176995</v>
      </c>
      <c r="I574" s="87">
        <f t="shared" si="46"/>
        <v>176995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130834.29</v>
      </c>
      <c r="I581" s="18">
        <v>114480</v>
      </c>
      <c r="J581" s="18">
        <v>98125.71</v>
      </c>
      <c r="K581" s="104">
        <f t="shared" ref="K581:K587" si="47">SUM(H581:J581)</f>
        <v>343440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231419.73</v>
      </c>
      <c r="I582" s="18">
        <v>115709.86</v>
      </c>
      <c r="J582" s="18">
        <v>61711.93</v>
      </c>
      <c r="K582" s="104">
        <f t="shared" si="47"/>
        <v>408841.52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40410</v>
      </c>
      <c r="K583" s="104">
        <f t="shared" si="47"/>
        <v>40410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5788.9</v>
      </c>
      <c r="J584" s="18">
        <v>22315.200000000001</v>
      </c>
      <c r="K584" s="104">
        <f t="shared" si="47"/>
        <v>28104.1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2853</v>
      </c>
      <c r="I585" s="18">
        <v>2556.4</v>
      </c>
      <c r="J585" s="18">
        <v>4003.8</v>
      </c>
      <c r="K585" s="104">
        <f t="shared" si="47"/>
        <v>9413.2000000000007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365107.02</v>
      </c>
      <c r="I588" s="108">
        <f>SUM(I581:I587)</f>
        <v>238535.15999999997</v>
      </c>
      <c r="J588" s="108">
        <f>SUM(J581:J587)</f>
        <v>226566.64</v>
      </c>
      <c r="K588" s="108">
        <f>SUM(K581:K587)</f>
        <v>830208.82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49690.72+1100.42+29943.21</f>
        <v>80734.350000000006</v>
      </c>
      <c r="I594" s="18">
        <f>18592.7+78.97+26421.51</f>
        <v>45093.18</v>
      </c>
      <c r="J594" s="18">
        <f>78375.95+25405.34</f>
        <v>103781.29</v>
      </c>
      <c r="K594" s="104">
        <f>SUM(H594:J594)</f>
        <v>229608.82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80734.350000000006</v>
      </c>
      <c r="I595" s="108">
        <f>SUM(I592:I594)</f>
        <v>45093.18</v>
      </c>
      <c r="J595" s="108">
        <f>SUM(J592:J594)</f>
        <v>103781.29</v>
      </c>
      <c r="K595" s="108">
        <f>SUM(K592:K594)</f>
        <v>229608.82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8740</v>
      </c>
      <c r="G602" s="18">
        <v>1278.1300000000001</v>
      </c>
      <c r="H602" s="18"/>
      <c r="I602" s="18"/>
      <c r="J602" s="18"/>
      <c r="K602" s="18"/>
      <c r="L602" s="88">
        <f>SUM(F602:K602)</f>
        <v>10018.130000000001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7720</v>
      </c>
      <c r="G603" s="18">
        <v>991.58</v>
      </c>
      <c r="H603" s="18"/>
      <c r="I603" s="18"/>
      <c r="J603" s="18"/>
      <c r="K603" s="18"/>
      <c r="L603" s="88">
        <f>SUM(F603:K603)</f>
        <v>8711.58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16460</v>
      </c>
      <c r="G604" s="108">
        <f t="shared" si="48"/>
        <v>2269.71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18729.71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1268526.9200000002</v>
      </c>
      <c r="H607" s="109">
        <f>SUM(F44)</f>
        <v>1268526.92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21780.75</v>
      </c>
      <c r="H608" s="109">
        <f>SUM(G44)</f>
        <v>21780.75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530987.21</v>
      </c>
      <c r="H609" s="109">
        <f>SUM(H44)</f>
        <v>530987.21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538834.49</v>
      </c>
      <c r="H611" s="109">
        <f>SUM(J44)</f>
        <v>538834.49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566918.31999999995</v>
      </c>
      <c r="H612" s="109">
        <f>F466</f>
        <v>566918.32000000402</v>
      </c>
      <c r="I612" s="121" t="s">
        <v>106</v>
      </c>
      <c r="J612" s="109">
        <f t="shared" ref="J612:J645" si="49">G612-H612</f>
        <v>-4.0745362639427185E-9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538834.49</v>
      </c>
      <c r="H616" s="109">
        <f>J466</f>
        <v>538834.49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20021913.23</v>
      </c>
      <c r="H617" s="104">
        <f>SUM(F458)</f>
        <v>20021913.23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585270.86</v>
      </c>
      <c r="H618" s="104">
        <f>SUM(G458)</f>
        <v>585270.86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1038885.73</v>
      </c>
      <c r="H619" s="104">
        <f>SUM(H458)</f>
        <v>1038885.73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9533.59</v>
      </c>
      <c r="H621" s="104">
        <f>SUM(J458)</f>
        <v>9533.59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20259862.829999998</v>
      </c>
      <c r="H622" s="104">
        <f>SUM(F462)</f>
        <v>20259862.829999998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1038885.7299999999</v>
      </c>
      <c r="H623" s="104">
        <f>SUM(H462)</f>
        <v>1038885.73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239389.89</v>
      </c>
      <c r="H624" s="104">
        <f>I361</f>
        <v>239389.88999999996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585270.86</v>
      </c>
      <c r="H625" s="104">
        <f>SUM(G462)</f>
        <v>585270.86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9533.590000000002</v>
      </c>
      <c r="H627" s="164">
        <f>SUM(J458)</f>
        <v>9533.59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26285.22</v>
      </c>
      <c r="H628" s="164">
        <f>SUM(J462)</f>
        <v>26285.22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516337.13</v>
      </c>
      <c r="H630" s="104">
        <f>SUM(G451)</f>
        <v>516337.13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22497.360000000001</v>
      </c>
      <c r="H631" s="104">
        <f>SUM(H451)</f>
        <v>22497.360000000001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538834.49</v>
      </c>
      <c r="H632" s="104">
        <f>SUM(I451)</f>
        <v>538834.49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9533.59</v>
      </c>
      <c r="H634" s="104">
        <f>H400</f>
        <v>9533.590000000002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9533.59</v>
      </c>
      <c r="H636" s="104">
        <f>L400</f>
        <v>9533.590000000002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830208.82</v>
      </c>
      <c r="H637" s="104">
        <f>L200+L218+L236</f>
        <v>830208.82000000007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229608.82</v>
      </c>
      <c r="H638" s="104">
        <f>(J249+J330)-(J247+J328)</f>
        <v>229608.82000000004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365107.02</v>
      </c>
      <c r="H639" s="104">
        <f>H588</f>
        <v>365107.02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238535.16</v>
      </c>
      <c r="H640" s="104">
        <f>I588</f>
        <v>238535.15999999997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226566.63999999998</v>
      </c>
      <c r="H641" s="104">
        <f>J588</f>
        <v>226566.64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25951.279999999999</v>
      </c>
      <c r="H642" s="104">
        <f>K255+K337</f>
        <v>25951.279999999999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7092752.29</v>
      </c>
      <c r="G650" s="19">
        <f>(L221+L301+L351)</f>
        <v>6555549.3500000015</v>
      </c>
      <c r="H650" s="19">
        <f>(L239+L320+L352)</f>
        <v>7112402.0799999982</v>
      </c>
      <c r="I650" s="19">
        <f>SUM(F650:H650)</f>
        <v>20760703.719999999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107009.11225869879</v>
      </c>
      <c r="G651" s="19">
        <f>(L351/IF(SUM(L350:L352)=0,1,SUM(L350:L352))*(SUM(G89:G102)))</f>
        <v>99072.040352256736</v>
      </c>
      <c r="H651" s="19">
        <f>(L352/IF(SUM(L350:L352)=0,1,SUM(L350:L352))*(SUM(G89:G102)))</f>
        <v>115368.08738904445</v>
      </c>
      <c r="I651" s="19">
        <f>SUM(F651:H651)</f>
        <v>321449.24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365107.02</v>
      </c>
      <c r="G652" s="19">
        <f>(L218+L298)-(J218+J298)</f>
        <v>238535.16</v>
      </c>
      <c r="H652" s="19">
        <f>(L236+L317)-(J236+J317)</f>
        <v>226566.63999999998</v>
      </c>
      <c r="I652" s="19">
        <f>SUM(F652:H652)</f>
        <v>830208.82000000007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272178.26</v>
      </c>
      <c r="G653" s="200">
        <f>SUM(G565:G577)+SUM(I592:I594)+L602</f>
        <v>242722.18</v>
      </c>
      <c r="H653" s="200">
        <f>SUM(H565:H577)+SUM(J592:J594)+L603</f>
        <v>604183.39</v>
      </c>
      <c r="I653" s="19">
        <f>SUM(F653:H653)</f>
        <v>1119083.83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6348457.897741301</v>
      </c>
      <c r="G654" s="19">
        <f>G650-SUM(G651:G653)</f>
        <v>5975219.9696477447</v>
      </c>
      <c r="H654" s="19">
        <f>H650-SUM(H651:H653)</f>
        <v>6166283.9626109535</v>
      </c>
      <c r="I654" s="19">
        <f>I650-SUM(I651:I653)</f>
        <v>18489961.829999998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510.64</v>
      </c>
      <c r="G655" s="249">
        <v>450.56</v>
      </c>
      <c r="H655" s="249">
        <v>431.09</v>
      </c>
      <c r="I655" s="19">
        <f>SUM(F655:H655)</f>
        <v>1392.29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12432.36</v>
      </c>
      <c r="G657" s="19">
        <f>ROUND(G654/G655,2)</f>
        <v>13261.76</v>
      </c>
      <c r="H657" s="19">
        <f>ROUND(H654/H655,2)</f>
        <v>14303.94</v>
      </c>
      <c r="I657" s="19">
        <f>ROUND(I654/I655,2)</f>
        <v>13280.25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-25.73</v>
      </c>
      <c r="I660" s="19">
        <f>SUM(F660:H660)</f>
        <v>-25.73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12432.36</v>
      </c>
      <c r="G662" s="19">
        <f>ROUND((G654+G659)/(G655+G660),2)</f>
        <v>13261.76</v>
      </c>
      <c r="H662" s="19">
        <f>ROUND((H654+H659)/(H655+H660),2)</f>
        <v>15211.87</v>
      </c>
      <c r="I662" s="19">
        <f>ROUND((I654+I659)/(I655+I660),2)</f>
        <v>13530.3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FE587-5CF2-4FDF-959E-FEF3F2ADB337}">
  <sheetPr>
    <tabColor indexed="20"/>
  </sheetPr>
  <dimension ref="A1:C52"/>
  <sheetViews>
    <sheetView workbookViewId="0">
      <selection activeCell="B12" sqref="B1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Raymond SD</v>
      </c>
      <c r="C1" s="239" t="s">
        <v>870</v>
      </c>
    </row>
    <row r="2" spans="1:3" x14ac:dyDescent="0.2">
      <c r="A2" s="234"/>
      <c r="B2" s="233"/>
    </row>
    <row r="3" spans="1:3" x14ac:dyDescent="0.2">
      <c r="A3" s="276" t="s">
        <v>815</v>
      </c>
      <c r="B3" s="276"/>
      <c r="C3" s="276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5" t="s">
        <v>814</v>
      </c>
      <c r="C6" s="275"/>
    </row>
    <row r="7" spans="1:3" x14ac:dyDescent="0.2">
      <c r="A7" s="240" t="s">
        <v>817</v>
      </c>
      <c r="B7" s="273" t="s">
        <v>813</v>
      </c>
      <c r="C7" s="274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5236397.59</v>
      </c>
      <c r="C9" s="230">
        <f>'DOE25'!G189+'DOE25'!G207+'DOE25'!G225+'DOE25'!G268+'DOE25'!G287+'DOE25'!G306</f>
        <v>2606536.42</v>
      </c>
    </row>
    <row r="10" spans="1:3" x14ac:dyDescent="0.2">
      <c r="A10" t="s">
        <v>810</v>
      </c>
      <c r="B10" s="241">
        <v>4887458.6500000004</v>
      </c>
      <c r="C10" s="241">
        <v>2436475.64</v>
      </c>
    </row>
    <row r="11" spans="1:3" x14ac:dyDescent="0.2">
      <c r="A11" t="s">
        <v>811</v>
      </c>
      <c r="B11" s="241">
        <v>164348.62</v>
      </c>
      <c r="C11" s="241">
        <v>103667.87</v>
      </c>
    </row>
    <row r="12" spans="1:3" x14ac:dyDescent="0.2">
      <c r="A12" t="s">
        <v>812</v>
      </c>
      <c r="B12" s="241">
        <v>184590.32</v>
      </c>
      <c r="C12" s="241">
        <v>66392.91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5236397.5900000008</v>
      </c>
      <c r="C13" s="232">
        <f>SUM(C10:C12)</f>
        <v>2606536.4200000004</v>
      </c>
    </row>
    <row r="14" spans="1:3" x14ac:dyDescent="0.2">
      <c r="B14" s="231"/>
      <c r="C14" s="231"/>
    </row>
    <row r="15" spans="1:3" x14ac:dyDescent="0.2">
      <c r="B15" s="275" t="s">
        <v>814</v>
      </c>
      <c r="C15" s="275"/>
    </row>
    <row r="16" spans="1:3" x14ac:dyDescent="0.2">
      <c r="A16" s="240" t="s">
        <v>818</v>
      </c>
      <c r="B16" s="273" t="s">
        <v>738</v>
      </c>
      <c r="C16" s="274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2142568.5099999998</v>
      </c>
      <c r="C18" s="230">
        <f>'DOE25'!G190+'DOE25'!G208+'DOE25'!G226+'DOE25'!G269+'DOE25'!G288+'DOE25'!G307</f>
        <v>1191479.05</v>
      </c>
    </row>
    <row r="19" spans="1:3" x14ac:dyDescent="0.2">
      <c r="A19" t="s">
        <v>810</v>
      </c>
      <c r="B19" s="241">
        <v>1410841.55</v>
      </c>
      <c r="C19" s="241">
        <v>617195.42000000004</v>
      </c>
    </row>
    <row r="20" spans="1:3" x14ac:dyDescent="0.2">
      <c r="A20" t="s">
        <v>811</v>
      </c>
      <c r="B20" s="241">
        <v>729126.96</v>
      </c>
      <c r="C20" s="241">
        <v>574084.73</v>
      </c>
    </row>
    <row r="21" spans="1:3" x14ac:dyDescent="0.2">
      <c r="A21" t="s">
        <v>812</v>
      </c>
      <c r="B21" s="241">
        <v>2600</v>
      </c>
      <c r="C21" s="241">
        <v>198.9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2142568.5099999998</v>
      </c>
      <c r="C22" s="232">
        <f>SUM(C19:C21)</f>
        <v>1191479.0499999998</v>
      </c>
    </row>
    <row r="23" spans="1:3" x14ac:dyDescent="0.2">
      <c r="B23" s="231"/>
      <c r="C23" s="231"/>
    </row>
    <row r="24" spans="1:3" x14ac:dyDescent="0.2">
      <c r="B24" s="275" t="s">
        <v>814</v>
      </c>
      <c r="C24" s="275"/>
    </row>
    <row r="25" spans="1:3" x14ac:dyDescent="0.2">
      <c r="A25" s="240" t="s">
        <v>819</v>
      </c>
      <c r="B25" s="273" t="s">
        <v>739</v>
      </c>
      <c r="C25" s="274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5" t="s">
        <v>814</v>
      </c>
      <c r="C33" s="275"/>
    </row>
    <row r="34" spans="1:3" x14ac:dyDescent="0.2">
      <c r="A34" s="240" t="s">
        <v>820</v>
      </c>
      <c r="B34" s="273" t="s">
        <v>740</v>
      </c>
      <c r="C34" s="274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156039.4</v>
      </c>
      <c r="C36" s="236">
        <f>'DOE25'!G192+'DOE25'!G210+'DOE25'!G228+'DOE25'!G271+'DOE25'!G290+'DOE25'!G309</f>
        <v>18905.689999999999</v>
      </c>
    </row>
    <row r="37" spans="1:3" x14ac:dyDescent="0.2">
      <c r="A37" t="s">
        <v>810</v>
      </c>
      <c r="B37" s="241">
        <v>88324.4</v>
      </c>
      <c r="C37" s="241">
        <v>13645.47</v>
      </c>
    </row>
    <row r="38" spans="1:3" x14ac:dyDescent="0.2">
      <c r="A38" t="s">
        <v>811</v>
      </c>
      <c r="B38" s="241">
        <v>9068</v>
      </c>
      <c r="C38" s="241">
        <v>773.85</v>
      </c>
    </row>
    <row r="39" spans="1:3" x14ac:dyDescent="0.2">
      <c r="A39" t="s">
        <v>812</v>
      </c>
      <c r="B39" s="241">
        <v>58647</v>
      </c>
      <c r="C39" s="241">
        <v>4486.37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156039.4</v>
      </c>
      <c r="C40" s="232">
        <f>SUM(C37:C39)</f>
        <v>18905.689999999999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CA44A-11A0-4EA0-9FB9-B9AD93B38DA6}">
  <sheetPr>
    <tabColor indexed="11"/>
  </sheetPr>
  <dimension ref="A1:I51"/>
  <sheetViews>
    <sheetView workbookViewId="0">
      <pane ySplit="4" topLeftCell="A8" activePane="bottomLeft" state="frozen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5" t="s">
        <v>821</v>
      </c>
      <c r="B1" s="280"/>
      <c r="C1" s="280"/>
      <c r="D1" s="280"/>
      <c r="E1" s="280"/>
      <c r="F1" s="280"/>
      <c r="G1" s="280"/>
      <c r="H1" s="280"/>
      <c r="I1" s="181"/>
    </row>
    <row r="2" spans="1:9" x14ac:dyDescent="0.2">
      <c r="A2" s="33" t="s">
        <v>748</v>
      </c>
      <c r="B2" s="266" t="str">
        <f>'DOE25'!A2</f>
        <v>Raymond SD</v>
      </c>
      <c r="C2" s="181"/>
      <c r="D2" s="181" t="s">
        <v>823</v>
      </c>
      <c r="E2" s="181" t="s">
        <v>825</v>
      </c>
      <c r="F2" s="277" t="s">
        <v>852</v>
      </c>
      <c r="G2" s="278"/>
      <c r="H2" s="279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12431670.73</v>
      </c>
      <c r="D5" s="20">
        <f>SUM('DOE25'!L189:L192)+SUM('DOE25'!L207:L210)+SUM('DOE25'!L225:L228)-F5-G5</f>
        <v>12360027.15</v>
      </c>
      <c r="E5" s="244"/>
      <c r="F5" s="256">
        <f>SUM('DOE25'!J189:J192)+SUM('DOE25'!J207:J210)+SUM('DOE25'!J225:J228)</f>
        <v>43893.520000000004</v>
      </c>
      <c r="G5" s="53">
        <f>SUM('DOE25'!K189:K192)+SUM('DOE25'!K207:K210)+SUM('DOE25'!K225:K228)</f>
        <v>27750.059999999998</v>
      </c>
      <c r="H5" s="260"/>
    </row>
    <row r="6" spans="1:9" x14ac:dyDescent="0.2">
      <c r="A6" s="32">
        <v>2100</v>
      </c>
      <c r="B6" t="s">
        <v>832</v>
      </c>
      <c r="C6" s="246">
        <f t="shared" si="0"/>
        <v>1254851.31</v>
      </c>
      <c r="D6" s="20">
        <f>'DOE25'!L194+'DOE25'!L212+'DOE25'!L230-F6-G6</f>
        <v>1252234.6400000001</v>
      </c>
      <c r="E6" s="244"/>
      <c r="F6" s="256">
        <f>'DOE25'!J194+'DOE25'!J212+'DOE25'!J230</f>
        <v>2346.67</v>
      </c>
      <c r="G6" s="53">
        <f>'DOE25'!K194+'DOE25'!K212+'DOE25'!K230</f>
        <v>270</v>
      </c>
      <c r="H6" s="260"/>
    </row>
    <row r="7" spans="1:9" x14ac:dyDescent="0.2">
      <c r="A7" s="32">
        <v>2200</v>
      </c>
      <c r="B7" t="s">
        <v>865</v>
      </c>
      <c r="C7" s="246">
        <f t="shared" si="0"/>
        <v>768544.68</v>
      </c>
      <c r="D7" s="20">
        <f>'DOE25'!L195+'DOE25'!L213+'DOE25'!L231-F7-G7</f>
        <v>638178.09000000008</v>
      </c>
      <c r="E7" s="244"/>
      <c r="F7" s="256">
        <f>'DOE25'!J195+'DOE25'!J213+'DOE25'!J231</f>
        <v>128599.08</v>
      </c>
      <c r="G7" s="53">
        <f>'DOE25'!K195+'DOE25'!K213+'DOE25'!K231</f>
        <v>1767.51</v>
      </c>
      <c r="H7" s="260"/>
    </row>
    <row r="8" spans="1:9" x14ac:dyDescent="0.2">
      <c r="A8" s="32">
        <v>2300</v>
      </c>
      <c r="B8" t="s">
        <v>833</v>
      </c>
      <c r="C8" s="246">
        <f t="shared" si="0"/>
        <v>503824.0300000002</v>
      </c>
      <c r="D8" s="244"/>
      <c r="E8" s="20">
        <f>'DOE25'!L196+'DOE25'!L214+'DOE25'!L232-F8-G8-D9-D11</f>
        <v>480343.70000000019</v>
      </c>
      <c r="F8" s="256">
        <f>'DOE25'!J196+'DOE25'!J214+'DOE25'!J232</f>
        <v>3898.76</v>
      </c>
      <c r="G8" s="53">
        <f>'DOE25'!K196+'DOE25'!K214+'DOE25'!K232</f>
        <v>19581.57</v>
      </c>
      <c r="H8" s="260"/>
    </row>
    <row r="9" spans="1:9" x14ac:dyDescent="0.2">
      <c r="A9" s="32">
        <v>2310</v>
      </c>
      <c r="B9" t="s">
        <v>849</v>
      </c>
      <c r="C9" s="246">
        <f t="shared" si="0"/>
        <v>118315.05</v>
      </c>
      <c r="D9" s="245">
        <v>118315.05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17831</v>
      </c>
      <c r="D10" s="244"/>
      <c r="E10" s="245">
        <v>17831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220909.33</v>
      </c>
      <c r="D11" s="245">
        <v>220909.33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1175017.01</v>
      </c>
      <c r="D12" s="20">
        <f>'DOE25'!L197+'DOE25'!L215+'DOE25'!L233-F12-G12</f>
        <v>1167389.19</v>
      </c>
      <c r="E12" s="244"/>
      <c r="F12" s="256">
        <f>'DOE25'!J197+'DOE25'!J215+'DOE25'!J233</f>
        <v>0</v>
      </c>
      <c r="G12" s="53">
        <f>'DOE25'!K197+'DOE25'!K215+'DOE25'!K233</f>
        <v>7627.82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224022.14999999997</v>
      </c>
      <c r="D13" s="244"/>
      <c r="E13" s="20">
        <f>'DOE25'!L198+'DOE25'!L216+'DOE25'!L234-F13-G13</f>
        <v>222538.14999999997</v>
      </c>
      <c r="F13" s="256">
        <f>'DOE25'!J198+'DOE25'!J216+'DOE25'!J234</f>
        <v>0</v>
      </c>
      <c r="G13" s="53">
        <f>'DOE25'!K198+'DOE25'!K216+'DOE25'!K234</f>
        <v>1484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1637086.15</v>
      </c>
      <c r="D14" s="20">
        <f>'DOE25'!L199+'DOE25'!L217+'DOE25'!L235-F14-G14</f>
        <v>1621076.2</v>
      </c>
      <c r="E14" s="244"/>
      <c r="F14" s="256">
        <f>'DOE25'!J199+'DOE25'!J217+'DOE25'!J235</f>
        <v>16009.949999999999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830208.82000000007</v>
      </c>
      <c r="D15" s="20">
        <f>'DOE25'!L200+'DOE25'!L218+'DOE25'!L236-F15-G15</f>
        <v>830208.82000000007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2472.4899999999998</v>
      </c>
      <c r="D16" s="244"/>
      <c r="E16" s="20">
        <f>'DOE25'!L201+'DOE25'!L219+'DOE25'!L237-F16-G16</f>
        <v>2472.4899999999998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21955.79</v>
      </c>
      <c r="D19" s="20">
        <f>'DOE25'!L245-F19-G19</f>
        <v>21955.79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1044477.73</v>
      </c>
      <c r="D25" s="244"/>
      <c r="E25" s="244"/>
      <c r="F25" s="259"/>
      <c r="G25" s="257"/>
      <c r="H25" s="258">
        <f>'DOE25'!L252+'DOE25'!L253+'DOE25'!L333+'DOE25'!L334</f>
        <v>1044477.73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566344.99</v>
      </c>
      <c r="D29" s="20">
        <f>'DOE25'!L350+'DOE25'!L351+'DOE25'!L352-'DOE25'!I359-F29-G29</f>
        <v>564655.47</v>
      </c>
      <c r="E29" s="244"/>
      <c r="F29" s="256">
        <f>'DOE25'!J350+'DOE25'!J351+'DOE25'!J352</f>
        <v>1049.77</v>
      </c>
      <c r="G29" s="53">
        <f>'DOE25'!K350+'DOE25'!K351+'DOE25'!K352</f>
        <v>639.75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1008511.1099999999</v>
      </c>
      <c r="D31" s="20">
        <f>'DOE25'!L282+'DOE25'!L301+'DOE25'!L320+'DOE25'!L325+'DOE25'!L326+'DOE25'!L327-F31-G31</f>
        <v>973650.2699999999</v>
      </c>
      <c r="E31" s="244"/>
      <c r="F31" s="256">
        <f>'DOE25'!J282+'DOE25'!J301+'DOE25'!J320+'DOE25'!J325+'DOE25'!J326+'DOE25'!J327</f>
        <v>34860.839999999997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19768600</v>
      </c>
      <c r="E33" s="247">
        <f>SUM(E5:E31)</f>
        <v>723185.34000000008</v>
      </c>
      <c r="F33" s="247">
        <f>SUM(F5:F31)</f>
        <v>230658.59000000003</v>
      </c>
      <c r="G33" s="247">
        <f>SUM(G5:G31)</f>
        <v>59120.71</v>
      </c>
      <c r="H33" s="247">
        <f>SUM(H5:H31)</f>
        <v>1044477.73</v>
      </c>
    </row>
    <row r="35" spans="2:8" ht="12" thickBot="1" x14ac:dyDescent="0.25">
      <c r="B35" s="254" t="s">
        <v>878</v>
      </c>
      <c r="D35" s="255">
        <f>E33</f>
        <v>723185.34000000008</v>
      </c>
      <c r="E35" s="250"/>
    </row>
    <row r="36" spans="2:8" ht="12" thickTop="1" x14ac:dyDescent="0.2">
      <c r="B36" t="s">
        <v>846</v>
      </c>
      <c r="D36" s="20">
        <f>D33</f>
        <v>19768600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5266A-B56E-482D-AB7C-C3F9720E275C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7" sqref="A7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Raymond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715438.28</v>
      </c>
      <c r="D9" s="95">
        <f>'DOE25'!G9</f>
        <v>100</v>
      </c>
      <c r="E9" s="95">
        <f>'DOE25'!H9</f>
        <v>0</v>
      </c>
      <c r="F9" s="95">
        <f>'DOE25'!I9</f>
        <v>0</v>
      </c>
      <c r="G9" s="95">
        <f>'DOE25'!J9</f>
        <v>538834.49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9345.0499999999993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542543.18000000005</v>
      </c>
      <c r="D12" s="95" t="str">
        <f>'DOE25'!G12</f>
        <v xml:space="preserve"> </v>
      </c>
      <c r="E12" s="95" t="str">
        <f>'DOE25'!H12</f>
        <v xml:space="preserve"> 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17005.490000000002</v>
      </c>
      <c r="E13" s="95">
        <f>'DOE25'!H13</f>
        <v>530987.21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1200.4100000000001</v>
      </c>
      <c r="D14" s="95">
        <f>'DOE25'!G14</f>
        <v>4675.26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1268526.9200000002</v>
      </c>
      <c r="D19" s="41">
        <f>SUM(D9:D18)</f>
        <v>21780.75</v>
      </c>
      <c r="E19" s="41">
        <f>SUM(E9:E18)</f>
        <v>530987.21</v>
      </c>
      <c r="F19" s="41">
        <f>SUM(F9:F18)</f>
        <v>0</v>
      </c>
      <c r="G19" s="41">
        <f>SUM(G9:G18)</f>
        <v>538834.49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14059.11</v>
      </c>
      <c r="E22" s="95">
        <f>'DOE25'!H23</f>
        <v>528484.06999999995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489108.84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83694.259999999995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128805.5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7721.64</v>
      </c>
      <c r="E30" s="95">
        <f>'DOE25'!H31</f>
        <v>2503.14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701608.6</v>
      </c>
      <c r="D32" s="41">
        <f>SUM(D22:D31)</f>
        <v>21780.75</v>
      </c>
      <c r="E32" s="41">
        <f>SUM(E22:E31)</f>
        <v>530987.21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22729.95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538834.49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544188.37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566918.31999999995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538834.49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1268526.92</v>
      </c>
      <c r="D43" s="41">
        <f>D42+D32</f>
        <v>21780.75</v>
      </c>
      <c r="E43" s="41">
        <f>E42+E32</f>
        <v>530987.21</v>
      </c>
      <c r="F43" s="41">
        <f>F42+F32</f>
        <v>0</v>
      </c>
      <c r="G43" s="41">
        <f>G42+G32</f>
        <v>538834.49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11102575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125214.75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1702.34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9533.59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311621.53999999998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33.64</v>
      </c>
      <c r="D53" s="95">
        <f>SUM('DOE25'!G90:G102)</f>
        <v>9827.7000000000007</v>
      </c>
      <c r="E53" s="95">
        <f>SUM('DOE25'!H90:H102)</f>
        <v>14466.36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126950.73</v>
      </c>
      <c r="D54" s="130">
        <f>SUM(D49:D53)</f>
        <v>321449.24</v>
      </c>
      <c r="E54" s="130">
        <f>SUM(E49:E53)</f>
        <v>14466.36</v>
      </c>
      <c r="F54" s="130">
        <f>SUM(F49:F53)</f>
        <v>0</v>
      </c>
      <c r="G54" s="130">
        <f>SUM(G49:G53)</f>
        <v>9533.59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11229525.73</v>
      </c>
      <c r="D55" s="22">
        <f>D48+D54</f>
        <v>321449.24</v>
      </c>
      <c r="E55" s="22">
        <f>E48+E54</f>
        <v>14466.36</v>
      </c>
      <c r="F55" s="22">
        <f>F48+F54</f>
        <v>0</v>
      </c>
      <c r="G55" s="22">
        <f>G48+G54</f>
        <v>9533.59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5476509.5499999998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2040278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198631.45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7715419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482791.06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304566.15000000002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18503.64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14306</v>
      </c>
      <c r="D69" s="95">
        <f>SUM('DOE25'!G123:G127)</f>
        <v>5864.8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820166.85</v>
      </c>
      <c r="D70" s="130">
        <f>SUM(D64:D69)</f>
        <v>5864.8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 t="str">
        <f>'DOE25'!H129</f>
        <v xml:space="preserve"> 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8535585.8499999996</v>
      </c>
      <c r="D73" s="130">
        <f>SUM(D71:D72)+D70+D62</f>
        <v>5864.8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226427.03</v>
      </c>
      <c r="D80" s="95">
        <f>SUM('DOE25'!G145:G153)</f>
        <v>232005.54</v>
      </c>
      <c r="E80" s="95">
        <f>SUM('DOE25'!H145:H153)</f>
        <v>1024419.37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226427.03</v>
      </c>
      <c r="D83" s="131">
        <f>SUM(D77:D82)</f>
        <v>232005.54</v>
      </c>
      <c r="E83" s="131">
        <f>SUM(E77:E82)</f>
        <v>1024419.37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25951.279999999999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30374.62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30374.62</v>
      </c>
      <c r="D95" s="86">
        <f>SUM(D85:D94)</f>
        <v>25951.279999999999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20021913.23</v>
      </c>
      <c r="D96" s="86">
        <f>D55+D73+D83+D95</f>
        <v>585270.86</v>
      </c>
      <c r="E96" s="86">
        <f>E55+E73+E83+E95</f>
        <v>1038885.73</v>
      </c>
      <c r="F96" s="86">
        <f>F55+F73+F83+F95</f>
        <v>0</v>
      </c>
      <c r="G96" s="86">
        <f>G55+G73+G95</f>
        <v>9533.59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7809605.25</v>
      </c>
      <c r="D101" s="24" t="s">
        <v>312</v>
      </c>
      <c r="E101" s="95">
        <f>('DOE25'!L268)+('DOE25'!L287)+('DOE25'!L306)</f>
        <v>395662.36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4226889.47</v>
      </c>
      <c r="D102" s="24" t="s">
        <v>312</v>
      </c>
      <c r="E102" s="95">
        <f>('DOE25'!L269)+('DOE25'!L288)+('DOE25'!L307)</f>
        <v>447464.37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176995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218181.00999999998</v>
      </c>
      <c r="D104" s="24" t="s">
        <v>312</v>
      </c>
      <c r="E104" s="95">
        <f>+('DOE25'!L271)+('DOE25'!L290)+('DOE25'!L309)</f>
        <v>14723.369999999999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21955.79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12453626.519999998</v>
      </c>
      <c r="D107" s="86">
        <f>SUM(D101:D106)</f>
        <v>0</v>
      </c>
      <c r="E107" s="86">
        <f>SUM(E101:E106)</f>
        <v>857850.1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1254851.31</v>
      </c>
      <c r="D110" s="24" t="s">
        <v>312</v>
      </c>
      <c r="E110" s="95">
        <f>+('DOE25'!L273)+('DOE25'!L292)+('DOE25'!L311)</f>
        <v>989.62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768544.68</v>
      </c>
      <c r="D111" s="24" t="s">
        <v>312</v>
      </c>
      <c r="E111" s="95">
        <f>+('DOE25'!L274)+('DOE25'!L293)+('DOE25'!L312)</f>
        <v>148570.97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843048.41000000015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1175017.01</v>
      </c>
      <c r="D113" s="24" t="s">
        <v>312</v>
      </c>
      <c r="E113" s="95">
        <f>+('DOE25'!L276)+('DOE25'!L295)+('DOE25'!L314)</f>
        <v>1100.42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224022.14999999997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1637086.15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830208.82000000007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2472.4899999999998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585270.86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6735251.0200000014</v>
      </c>
      <c r="D120" s="86">
        <f>SUM(D110:D119)</f>
        <v>585270.86</v>
      </c>
      <c r="E120" s="86">
        <f>SUM(E110:E119)</f>
        <v>150661.01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830933.05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213544.68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30374.62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25951.279999999999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9299.5500000000011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234.04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-9533.590000000002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556.28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1070985.29</v>
      </c>
      <c r="D136" s="141">
        <f>SUM(D122:D135)</f>
        <v>0</v>
      </c>
      <c r="E136" s="141">
        <f>SUM(E122:E135)</f>
        <v>30374.62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20259862.829999998</v>
      </c>
      <c r="D137" s="86">
        <f>(D107+D120+D136)</f>
        <v>585270.86</v>
      </c>
      <c r="E137" s="86">
        <f>(E107+E120+E136)</f>
        <v>1038885.73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10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08/05</v>
      </c>
      <c r="C144" s="152" t="str">
        <f>'DOE25'!G481</f>
        <v>10/03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08/25</v>
      </c>
      <c r="C145" s="152" t="str">
        <f>'DOE25'!G482</f>
        <v>10/13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13402490</v>
      </c>
      <c r="C146" s="137">
        <f>'DOE25'!G483</f>
        <v>246250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4.13</v>
      </c>
      <c r="C147" s="137">
        <f>'DOE25'!G484</f>
        <v>4.3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9442445.3300000001</v>
      </c>
      <c r="C148" s="137">
        <f>'DOE25'!G485</f>
        <v>98500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9540945.3300000001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806308.05</v>
      </c>
      <c r="C150" s="137">
        <f>'DOE25'!G487</f>
        <v>24625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830933.05</v>
      </c>
    </row>
    <row r="151" spans="1:7" x14ac:dyDescent="0.2">
      <c r="A151" s="22" t="s">
        <v>35</v>
      </c>
      <c r="B151" s="137">
        <f>'DOE25'!F488</f>
        <v>8636137.2799999993</v>
      </c>
      <c r="C151" s="137">
        <f>'DOE25'!G488</f>
        <v>73875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8710012.2799999993</v>
      </c>
    </row>
    <row r="152" spans="1:7" x14ac:dyDescent="0.2">
      <c r="A152" s="22" t="s">
        <v>36</v>
      </c>
      <c r="B152" s="137">
        <f>'DOE25'!F489</f>
        <v>6582171.7199999997</v>
      </c>
      <c r="C152" s="137">
        <f>'DOE25'!G489</f>
        <v>6353.26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6588524.9799999995</v>
      </c>
    </row>
    <row r="153" spans="1:7" x14ac:dyDescent="0.2">
      <c r="A153" s="22" t="s">
        <v>37</v>
      </c>
      <c r="B153" s="137">
        <f>'DOE25'!F490</f>
        <v>15218309</v>
      </c>
      <c r="C153" s="137">
        <f>'DOE25'!G490</f>
        <v>80228.259999999995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15298537.26</v>
      </c>
    </row>
    <row r="154" spans="1:7" x14ac:dyDescent="0.2">
      <c r="A154" s="22" t="s">
        <v>38</v>
      </c>
      <c r="B154" s="137">
        <f>'DOE25'!F491</f>
        <v>774869.16</v>
      </c>
      <c r="C154" s="137">
        <f>'DOE25'!G491</f>
        <v>24625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799494.16</v>
      </c>
    </row>
    <row r="155" spans="1:7" x14ac:dyDescent="0.2">
      <c r="A155" s="22" t="s">
        <v>39</v>
      </c>
      <c r="B155" s="137">
        <f>'DOE25'!F492</f>
        <v>238866.84</v>
      </c>
      <c r="C155" s="137">
        <f>'DOE25'!G492</f>
        <v>3176.63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242043.47</v>
      </c>
    </row>
    <row r="156" spans="1:7" x14ac:dyDescent="0.2">
      <c r="A156" s="22" t="s">
        <v>269</v>
      </c>
      <c r="B156" s="137">
        <f>'DOE25'!F493</f>
        <v>1013736</v>
      </c>
      <c r="C156" s="137">
        <f>'DOE25'!G493</f>
        <v>27801.63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1041537.63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85307-7388-4BD3-967B-DB9F840FC167}">
  <sheetPr codeName="Sheet3">
    <tabColor indexed="43"/>
  </sheetPr>
  <dimension ref="A1:D42"/>
  <sheetViews>
    <sheetView workbookViewId="0">
      <selection activeCell="B6" sqref="B6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1" t="s">
        <v>771</v>
      </c>
      <c r="B1" s="281"/>
      <c r="C1" s="281"/>
      <c r="D1" s="281"/>
    </row>
    <row r="2" spans="1:4" x14ac:dyDescent="0.2">
      <c r="A2" s="187" t="s">
        <v>748</v>
      </c>
      <c r="B2" s="186" t="str">
        <f>'DOE25'!A2</f>
        <v>Raymond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12432</v>
      </c>
    </row>
    <row r="5" spans="1:4" x14ac:dyDescent="0.2">
      <c r="B5" t="s">
        <v>735</v>
      </c>
      <c r="C5" s="179">
        <f>IF('DOE25'!G655+'DOE25'!G660=0,0,ROUND('DOE25'!G662,0))</f>
        <v>13262</v>
      </c>
    </row>
    <row r="6" spans="1:4" x14ac:dyDescent="0.2">
      <c r="B6" t="s">
        <v>62</v>
      </c>
      <c r="C6" s="179">
        <f>IF('DOE25'!H655+'DOE25'!H660=0,0,ROUND('DOE25'!H662,0))</f>
        <v>15212</v>
      </c>
    </row>
    <row r="7" spans="1:4" x14ac:dyDescent="0.2">
      <c r="B7" t="s">
        <v>736</v>
      </c>
      <c r="C7" s="179">
        <f>IF('DOE25'!I655+'DOE25'!I660=0,0,ROUND('DOE25'!I662,0))</f>
        <v>13530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8205268</v>
      </c>
      <c r="D10" s="182">
        <f>ROUND((C10/$C$28)*100,1)</f>
        <v>39.700000000000003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4674354</v>
      </c>
      <c r="D11" s="182">
        <f>ROUND((C11/$C$28)*100,1)</f>
        <v>22.6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176995</v>
      </c>
      <c r="D12" s="182">
        <f>ROUND((C12/$C$28)*100,1)</f>
        <v>0.9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232904</v>
      </c>
      <c r="D13" s="182">
        <f>ROUND((C13/$C$28)*100,1)</f>
        <v>1.1000000000000001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1255841</v>
      </c>
      <c r="D15" s="182">
        <f t="shared" ref="D15:D27" si="0">ROUND((C15/$C$28)*100,1)</f>
        <v>6.1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917116</v>
      </c>
      <c r="D16" s="182">
        <f t="shared" si="0"/>
        <v>4.4000000000000004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845521</v>
      </c>
      <c r="D17" s="182">
        <f t="shared" si="0"/>
        <v>4.0999999999999996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1176117</v>
      </c>
      <c r="D18" s="182">
        <f t="shared" si="0"/>
        <v>5.7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224022</v>
      </c>
      <c r="D19" s="182">
        <f t="shared" si="0"/>
        <v>1.1000000000000001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1637086</v>
      </c>
      <c r="D20" s="182">
        <f t="shared" si="0"/>
        <v>7.9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830209</v>
      </c>
      <c r="D21" s="182">
        <f t="shared" si="0"/>
        <v>4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21956</v>
      </c>
      <c r="D24" s="182">
        <f t="shared" si="0"/>
        <v>0.1</v>
      </c>
    </row>
    <row r="25" spans="1:4" x14ac:dyDescent="0.2">
      <c r="A25">
        <v>5120</v>
      </c>
      <c r="B25" t="s">
        <v>751</v>
      </c>
      <c r="C25" s="179">
        <f>ROUND('DOE25'!L253+'DOE25'!L334,0)</f>
        <v>213545</v>
      </c>
      <c r="D25" s="182">
        <f t="shared" si="0"/>
        <v>1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556.28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263821.76</v>
      </c>
      <c r="D27" s="182">
        <f t="shared" si="0"/>
        <v>1.3</v>
      </c>
    </row>
    <row r="28" spans="1:4" x14ac:dyDescent="0.2">
      <c r="B28" s="187" t="s">
        <v>754</v>
      </c>
      <c r="C28" s="180">
        <f>SUM(C10:C27)</f>
        <v>20675312.040000003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20675312.040000003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830933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11102575</v>
      </c>
      <c r="D35" s="182">
        <f t="shared" ref="D35:D40" si="1">ROUND((C35/$C$41)*100,1)</f>
        <v>52.2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150950.6799999997</v>
      </c>
      <c r="D36" s="182">
        <f t="shared" si="1"/>
        <v>0.7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7715419</v>
      </c>
      <c r="D37" s="182">
        <f t="shared" si="1"/>
        <v>36.299999999999997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826032</v>
      </c>
      <c r="D38" s="182">
        <f t="shared" si="1"/>
        <v>3.9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1482852</v>
      </c>
      <c r="D39" s="182">
        <f t="shared" si="1"/>
        <v>7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21277828.68</v>
      </c>
      <c r="D41" s="184">
        <f>SUM(D35:D40)</f>
        <v>100.10000000000001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D442-29F8-4F95-8FC9-DBCC423BE7AD}">
  <sheetPr>
    <tabColor indexed="17"/>
  </sheetPr>
  <dimension ref="A1:IV90"/>
  <sheetViews>
    <sheetView workbookViewId="0">
      <pane ySplit="3" topLeftCell="A4" activePane="bottomLeft" state="frozen"/>
      <selection pane="bottomLeft" activeCell="C19" sqref="C19:M19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0" t="s">
        <v>801</v>
      </c>
      <c r="B1" s="291"/>
      <c r="C1" s="291"/>
      <c r="D1" s="291"/>
      <c r="E1" s="291"/>
      <c r="F1" s="291"/>
      <c r="G1" s="291"/>
      <c r="H1" s="291"/>
      <c r="I1" s="291"/>
      <c r="J1" s="214"/>
      <c r="K1" s="214"/>
      <c r="L1" s="214"/>
      <c r="M1" s="215"/>
    </row>
    <row r="2" spans="1:26" ht="12.75" x14ac:dyDescent="0.2">
      <c r="A2" s="288" t="s">
        <v>798</v>
      </c>
      <c r="B2" s="289"/>
      <c r="C2" s="289"/>
      <c r="D2" s="289"/>
      <c r="E2" s="289"/>
      <c r="F2" s="294" t="str">
        <f>'DOE25'!A2</f>
        <v>Raymond SD</v>
      </c>
      <c r="G2" s="295"/>
      <c r="H2" s="295"/>
      <c r="I2" s="295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2" t="s">
        <v>802</v>
      </c>
      <c r="D3" s="292"/>
      <c r="E3" s="292"/>
      <c r="F3" s="292"/>
      <c r="G3" s="292"/>
      <c r="H3" s="292"/>
      <c r="I3" s="292"/>
      <c r="J3" s="292"/>
      <c r="K3" s="292"/>
      <c r="L3" s="292"/>
      <c r="M3" s="293"/>
    </row>
    <row r="4" spans="1:26" x14ac:dyDescent="0.2">
      <c r="A4" s="219"/>
      <c r="B4" s="220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>
        <v>2</v>
      </c>
      <c r="B6" s="220">
        <v>3</v>
      </c>
      <c r="C6" s="282" t="s">
        <v>899</v>
      </c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>
        <v>3</v>
      </c>
      <c r="B8" s="220">
        <v>24</v>
      </c>
      <c r="C8" s="282" t="s">
        <v>902</v>
      </c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2" t="s">
        <v>903</v>
      </c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 t="s">
        <v>310</v>
      </c>
      <c r="B10" s="220" t="s">
        <v>310</v>
      </c>
      <c r="C10" s="282" t="s">
        <v>310</v>
      </c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>
        <v>4</v>
      </c>
      <c r="B11" s="220">
        <v>18</v>
      </c>
      <c r="C11" s="282" t="s">
        <v>900</v>
      </c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71"/>
      <c r="D12" s="271"/>
      <c r="E12" s="271"/>
      <c r="F12" s="271"/>
      <c r="G12" s="271"/>
      <c r="H12" s="271"/>
      <c r="I12" s="271"/>
      <c r="J12" s="271"/>
      <c r="K12" s="271"/>
      <c r="L12" s="271"/>
      <c r="M12" s="27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>
        <v>6</v>
      </c>
      <c r="B13" s="220">
        <v>8</v>
      </c>
      <c r="C13" s="271" t="s">
        <v>901</v>
      </c>
      <c r="D13" s="271"/>
      <c r="E13" s="271"/>
      <c r="F13" s="271"/>
      <c r="G13" s="271"/>
      <c r="H13" s="271"/>
      <c r="I13" s="271"/>
      <c r="J13" s="271"/>
      <c r="K13" s="271"/>
      <c r="L13" s="271"/>
      <c r="M13" s="27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>
        <v>14</v>
      </c>
      <c r="B15" s="220">
        <v>10</v>
      </c>
      <c r="C15" s="282" t="s">
        <v>904</v>
      </c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2"/>
      <c r="O29" s="212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8"/>
      <c r="AB29" s="208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8"/>
      <c r="AO29" s="208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8"/>
      <c r="BB29" s="208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8"/>
      <c r="BO29" s="208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8"/>
      <c r="CB29" s="208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8"/>
      <c r="CO29" s="208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8"/>
      <c r="DB29" s="208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8"/>
      <c r="DO29" s="208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8"/>
      <c r="EB29" s="208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8"/>
      <c r="EO29" s="208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8"/>
      <c r="FB29" s="208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8"/>
      <c r="FO29" s="208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8"/>
      <c r="GB29" s="208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8"/>
      <c r="GO29" s="208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8"/>
      <c r="HB29" s="208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8"/>
      <c r="HO29" s="208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8"/>
      <c r="IB29" s="208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8"/>
      <c r="IO29" s="208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9"/>
      <c r="B30" s="220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2"/>
      <c r="O30" s="212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8"/>
      <c r="AB30" s="208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8"/>
      <c r="AO30" s="208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8"/>
      <c r="BB30" s="208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8"/>
      <c r="BO30" s="208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8"/>
      <c r="CB30" s="208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8"/>
      <c r="CO30" s="208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8"/>
      <c r="DB30" s="208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8"/>
      <c r="DO30" s="208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8"/>
      <c r="EB30" s="208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8"/>
      <c r="EO30" s="208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8"/>
      <c r="FB30" s="208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8"/>
      <c r="FO30" s="208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8"/>
      <c r="GB30" s="208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8"/>
      <c r="GO30" s="208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8"/>
      <c r="HB30" s="208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8"/>
      <c r="HO30" s="208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8"/>
      <c r="IB30" s="208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8"/>
      <c r="IO30" s="208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9"/>
      <c r="B31" s="220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2"/>
      <c r="O31" s="212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8"/>
      <c r="AB31" s="208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8"/>
      <c r="AO31" s="208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8"/>
      <c r="BB31" s="208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8"/>
      <c r="BO31" s="208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8"/>
      <c r="CB31" s="208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8"/>
      <c r="CO31" s="208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8"/>
      <c r="DB31" s="208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8"/>
      <c r="DO31" s="208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8"/>
      <c r="EB31" s="208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8"/>
      <c r="EO31" s="208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8"/>
      <c r="FB31" s="208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8"/>
      <c r="FO31" s="208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8"/>
      <c r="GB31" s="208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8"/>
      <c r="GO31" s="208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8"/>
      <c r="HB31" s="208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8"/>
      <c r="HO31" s="208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8"/>
      <c r="IB31" s="208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8"/>
      <c r="IO31" s="208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9"/>
      <c r="B32" s="220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4"/>
      <c r="O32" s="224"/>
      <c r="P32" s="286"/>
      <c r="Q32" s="286"/>
      <c r="R32" s="286"/>
      <c r="S32" s="286"/>
      <c r="T32" s="286"/>
      <c r="U32" s="286"/>
      <c r="V32" s="286"/>
      <c r="W32" s="286"/>
      <c r="X32" s="286"/>
      <c r="Y32" s="286"/>
      <c r="Z32" s="287"/>
      <c r="AA32" s="219"/>
      <c r="AB32" s="220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9"/>
      <c r="AO32" s="220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9"/>
      <c r="BB32" s="220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9"/>
      <c r="BO32" s="220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9"/>
      <c r="CB32" s="220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9"/>
      <c r="CO32" s="220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9"/>
      <c r="DB32" s="220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9"/>
      <c r="DO32" s="220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9"/>
      <c r="EB32" s="220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9"/>
      <c r="EO32" s="220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9"/>
      <c r="FB32" s="220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9"/>
      <c r="FO32" s="220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9"/>
      <c r="GB32" s="220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9"/>
      <c r="GO32" s="220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9"/>
      <c r="HB32" s="220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9"/>
      <c r="HO32" s="220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9"/>
      <c r="IB32" s="220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9"/>
      <c r="IO32" s="220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9"/>
      <c r="B33" s="220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2"/>
      <c r="O38" s="212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8"/>
      <c r="AB38" s="208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8"/>
      <c r="AO38" s="208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8"/>
      <c r="BB38" s="208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8"/>
      <c r="BO38" s="208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8"/>
      <c r="CB38" s="208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8"/>
      <c r="CO38" s="208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8"/>
      <c r="DB38" s="208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8"/>
      <c r="DO38" s="208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8"/>
      <c r="EB38" s="208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8"/>
      <c r="EO38" s="208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8"/>
      <c r="FB38" s="208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8"/>
      <c r="FO38" s="208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8"/>
      <c r="GB38" s="208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8"/>
      <c r="GO38" s="208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8"/>
      <c r="HB38" s="208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8"/>
      <c r="HO38" s="208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8"/>
      <c r="IB38" s="208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8"/>
      <c r="IO38" s="208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9"/>
      <c r="B39" s="220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2"/>
      <c r="O39" s="212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8"/>
      <c r="AB39" s="208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8"/>
      <c r="AO39" s="208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8"/>
      <c r="BB39" s="208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8"/>
      <c r="BO39" s="208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8"/>
      <c r="CB39" s="208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8"/>
      <c r="CO39" s="208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8"/>
      <c r="DB39" s="208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8"/>
      <c r="DO39" s="208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8"/>
      <c r="EB39" s="208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8"/>
      <c r="EO39" s="208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8"/>
      <c r="FB39" s="208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8"/>
      <c r="FO39" s="208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8"/>
      <c r="GB39" s="208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8"/>
      <c r="GO39" s="208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8"/>
      <c r="HB39" s="208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8"/>
      <c r="HO39" s="208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8"/>
      <c r="IB39" s="208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8"/>
      <c r="IO39" s="208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9"/>
      <c r="B40" s="220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2"/>
      <c r="O40" s="212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8"/>
      <c r="AB40" s="208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8"/>
      <c r="AO40" s="208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8"/>
      <c r="BB40" s="208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8"/>
      <c r="BO40" s="208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8"/>
      <c r="CB40" s="208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8"/>
      <c r="CO40" s="208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8"/>
      <c r="DB40" s="208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8"/>
      <c r="DO40" s="208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8"/>
      <c r="EB40" s="208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8"/>
      <c r="EO40" s="208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8"/>
      <c r="FB40" s="208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8"/>
      <c r="FO40" s="208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8"/>
      <c r="GB40" s="208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8"/>
      <c r="GO40" s="208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8"/>
      <c r="HB40" s="208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8"/>
      <c r="HO40" s="208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8"/>
      <c r="IB40" s="208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8"/>
      <c r="IO40" s="208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9"/>
      <c r="B41" s="220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9"/>
      <c r="B60" s="220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9"/>
      <c r="B61" s="220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9"/>
      <c r="B62" s="220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9"/>
      <c r="B63" s="220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9"/>
      <c r="B64" s="220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9"/>
      <c r="B65" s="220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9"/>
      <c r="B66" s="220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9"/>
      <c r="B67" s="220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9"/>
      <c r="B68" s="220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9"/>
      <c r="B69" s="220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21"/>
      <c r="B70" s="222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7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8" t="s">
        <v>879</v>
      </c>
      <c r="B72" s="298"/>
      <c r="C72" s="298"/>
      <c r="D72" s="298"/>
      <c r="E72" s="29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9"/>
      <c r="D73" s="299"/>
      <c r="E73" s="299"/>
      <c r="F73" s="299"/>
      <c r="G73" s="299"/>
      <c r="H73" s="299"/>
      <c r="I73" s="299"/>
      <c r="J73" s="299"/>
      <c r="K73" s="299"/>
      <c r="L73" s="299"/>
      <c r="M73" s="299"/>
    </row>
    <row r="74" spans="1:13" x14ac:dyDescent="0.2">
      <c r="A74" s="212"/>
      <c r="B74" s="212"/>
      <c r="C74" s="299"/>
      <c r="D74" s="299"/>
      <c r="E74" s="299"/>
      <c r="F74" s="299"/>
      <c r="G74" s="299"/>
      <c r="H74" s="299"/>
      <c r="I74" s="299"/>
      <c r="J74" s="299"/>
      <c r="K74" s="299"/>
      <c r="L74" s="299"/>
      <c r="M74" s="299"/>
    </row>
    <row r="75" spans="1:13" x14ac:dyDescent="0.2">
      <c r="A75" s="212"/>
      <c r="B75" s="212"/>
      <c r="C75" s="299"/>
      <c r="D75" s="299"/>
      <c r="E75" s="299"/>
      <c r="F75" s="299"/>
      <c r="G75" s="299"/>
      <c r="H75" s="299"/>
      <c r="I75" s="299"/>
      <c r="J75" s="299"/>
      <c r="K75" s="299"/>
      <c r="L75" s="299"/>
      <c r="M75" s="299"/>
    </row>
    <row r="76" spans="1:13" x14ac:dyDescent="0.2">
      <c r="A76" s="212"/>
      <c r="B76" s="212"/>
      <c r="C76" s="299"/>
      <c r="D76" s="299"/>
      <c r="E76" s="299"/>
      <c r="F76" s="299"/>
      <c r="G76" s="299"/>
      <c r="H76" s="299"/>
      <c r="I76" s="299"/>
      <c r="J76" s="299"/>
      <c r="K76" s="299"/>
      <c r="L76" s="299"/>
      <c r="M76" s="299"/>
    </row>
    <row r="77" spans="1:13" x14ac:dyDescent="0.2">
      <c r="A77" s="212"/>
      <c r="B77" s="212"/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</row>
    <row r="78" spans="1:13" x14ac:dyDescent="0.2">
      <c r="A78" s="212"/>
      <c r="B78" s="212"/>
      <c r="C78" s="299"/>
      <c r="D78" s="299"/>
      <c r="E78" s="299"/>
      <c r="F78" s="299"/>
      <c r="G78" s="299"/>
      <c r="H78" s="299"/>
      <c r="I78" s="299"/>
      <c r="J78" s="299"/>
      <c r="K78" s="299"/>
      <c r="L78" s="299"/>
      <c r="M78" s="299"/>
    </row>
    <row r="79" spans="1:13" x14ac:dyDescent="0.2">
      <c r="A79" s="212"/>
      <c r="B79" s="212"/>
      <c r="C79" s="299"/>
      <c r="D79" s="299"/>
      <c r="E79" s="299"/>
      <c r="F79" s="299"/>
      <c r="G79" s="299"/>
      <c r="H79" s="299"/>
      <c r="I79" s="299"/>
      <c r="J79" s="299"/>
      <c r="K79" s="299"/>
      <c r="L79" s="299"/>
      <c r="M79" s="299"/>
    </row>
    <row r="80" spans="1:13" x14ac:dyDescent="0.2">
      <c r="A80" s="212"/>
      <c r="B80" s="212"/>
      <c r="C80" s="299"/>
      <c r="D80" s="299"/>
      <c r="E80" s="299"/>
      <c r="F80" s="299"/>
      <c r="G80" s="299"/>
      <c r="H80" s="299"/>
      <c r="I80" s="299"/>
      <c r="J80" s="299"/>
      <c r="K80" s="299"/>
      <c r="L80" s="299"/>
      <c r="M80" s="299"/>
    </row>
    <row r="81" spans="1:13" x14ac:dyDescent="0.2">
      <c r="A81" s="212"/>
      <c r="B81" s="212"/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</row>
    <row r="82" spans="1:13" x14ac:dyDescent="0.2">
      <c r="A82" s="212"/>
      <c r="B82" s="212"/>
      <c r="C82" s="299"/>
      <c r="D82" s="299"/>
      <c r="E82" s="299"/>
      <c r="F82" s="299"/>
      <c r="G82" s="299"/>
      <c r="H82" s="299"/>
      <c r="I82" s="299"/>
      <c r="J82" s="299"/>
      <c r="K82" s="299"/>
      <c r="L82" s="299"/>
      <c r="M82" s="299"/>
    </row>
    <row r="83" spans="1:13" x14ac:dyDescent="0.2">
      <c r="A83" s="212"/>
      <c r="B83" s="212"/>
      <c r="C83" s="299"/>
      <c r="D83" s="299"/>
      <c r="E83" s="299"/>
      <c r="F83" s="299"/>
      <c r="G83" s="299"/>
      <c r="H83" s="299"/>
      <c r="I83" s="299"/>
      <c r="J83" s="299"/>
      <c r="K83" s="299"/>
      <c r="L83" s="299"/>
      <c r="M83" s="299"/>
    </row>
    <row r="84" spans="1:13" x14ac:dyDescent="0.2">
      <c r="A84" s="212"/>
      <c r="B84" s="212"/>
      <c r="C84" s="299"/>
      <c r="D84" s="299"/>
      <c r="E84" s="299"/>
      <c r="F84" s="299"/>
      <c r="G84" s="299"/>
      <c r="H84" s="299"/>
      <c r="I84" s="299"/>
      <c r="J84" s="299"/>
      <c r="K84" s="299"/>
      <c r="L84" s="299"/>
      <c r="M84" s="299"/>
    </row>
    <row r="85" spans="1:13" x14ac:dyDescent="0.2">
      <c r="A85" s="212"/>
      <c r="B85" s="212"/>
      <c r="C85" s="299"/>
      <c r="D85" s="299"/>
      <c r="E85" s="299"/>
      <c r="F85" s="299"/>
      <c r="G85" s="299"/>
      <c r="H85" s="299"/>
      <c r="I85" s="299"/>
      <c r="J85" s="299"/>
      <c r="K85" s="299"/>
      <c r="L85" s="299"/>
      <c r="M85" s="299"/>
    </row>
    <row r="86" spans="1:13" x14ac:dyDescent="0.2">
      <c r="A86" s="212"/>
      <c r="B86" s="212"/>
      <c r="C86" s="299"/>
      <c r="D86" s="299"/>
      <c r="E86" s="299"/>
      <c r="F86" s="299"/>
      <c r="G86" s="299"/>
      <c r="H86" s="299"/>
      <c r="I86" s="299"/>
      <c r="J86" s="299"/>
      <c r="K86" s="299"/>
      <c r="L86" s="299"/>
      <c r="M86" s="299"/>
    </row>
    <row r="87" spans="1:13" x14ac:dyDescent="0.2">
      <c r="A87" s="212"/>
      <c r="B87" s="212"/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</row>
    <row r="88" spans="1:13" x14ac:dyDescent="0.2">
      <c r="A88" s="212"/>
      <c r="B88" s="212"/>
      <c r="C88" s="299"/>
      <c r="D88" s="299"/>
      <c r="E88" s="299"/>
      <c r="F88" s="299"/>
      <c r="G88" s="299"/>
      <c r="H88" s="299"/>
      <c r="I88" s="299"/>
      <c r="J88" s="299"/>
      <c r="K88" s="299"/>
      <c r="L88" s="299"/>
      <c r="M88" s="299"/>
    </row>
    <row r="89" spans="1:13" x14ac:dyDescent="0.2">
      <c r="A89" s="212"/>
      <c r="B89" s="212"/>
      <c r="C89" s="299"/>
      <c r="D89" s="299"/>
      <c r="E89" s="299"/>
      <c r="F89" s="299"/>
      <c r="G89" s="299"/>
      <c r="H89" s="299"/>
      <c r="I89" s="299"/>
      <c r="J89" s="299"/>
      <c r="K89" s="299"/>
      <c r="L89" s="299"/>
      <c r="M89" s="299"/>
    </row>
    <row r="90" spans="1:13" x14ac:dyDescent="0.2">
      <c r="A90" s="212"/>
      <c r="B90" s="212"/>
      <c r="C90" s="299"/>
      <c r="D90" s="299"/>
      <c r="E90" s="299"/>
      <c r="F90" s="299"/>
      <c r="G90" s="299"/>
      <c r="H90" s="299"/>
      <c r="I90" s="299"/>
      <c r="J90" s="299"/>
      <c r="K90" s="299"/>
      <c r="L90" s="299"/>
      <c r="M90" s="299"/>
    </row>
  </sheetData>
  <sheetProtection password="B30A" sheet="1" objects="1" scenarios="1"/>
  <mergeCells count="221">
    <mergeCell ref="C22:M22"/>
    <mergeCell ref="C23:M23"/>
    <mergeCell ref="C24:M24"/>
    <mergeCell ref="C87:M87"/>
    <mergeCell ref="C88:M88"/>
    <mergeCell ref="C89:M89"/>
    <mergeCell ref="C90:M90"/>
    <mergeCell ref="C25:M25"/>
    <mergeCell ref="C26:M26"/>
    <mergeCell ref="C27:M27"/>
    <mergeCell ref="C28:M28"/>
    <mergeCell ref="C81:M81"/>
    <mergeCell ref="C82:M82"/>
    <mergeCell ref="C83:M83"/>
    <mergeCell ref="C84:M84"/>
    <mergeCell ref="C85:M85"/>
    <mergeCell ref="C86:M86"/>
    <mergeCell ref="C75:M75"/>
    <mergeCell ref="C76:M76"/>
    <mergeCell ref="C77:M77"/>
    <mergeCell ref="C78:M78"/>
    <mergeCell ref="C79:M79"/>
    <mergeCell ref="C80:M80"/>
    <mergeCell ref="C68:M68"/>
    <mergeCell ref="C69:M69"/>
    <mergeCell ref="C70:M70"/>
    <mergeCell ref="A72:E72"/>
    <mergeCell ref="C73:M73"/>
    <mergeCell ref="C74:M74"/>
    <mergeCell ref="C62:M62"/>
    <mergeCell ref="C63:M63"/>
    <mergeCell ref="C64:M64"/>
    <mergeCell ref="C65:M65"/>
    <mergeCell ref="C66:M66"/>
    <mergeCell ref="C67:M67"/>
    <mergeCell ref="C35:M35"/>
    <mergeCell ref="C36:M36"/>
    <mergeCell ref="C14:M14"/>
    <mergeCell ref="C15:M15"/>
    <mergeCell ref="C16:M16"/>
    <mergeCell ref="C17:M17"/>
    <mergeCell ref="C18:M18"/>
    <mergeCell ref="C19:M19"/>
    <mergeCell ref="C20:M20"/>
    <mergeCell ref="C21:M21"/>
    <mergeCell ref="C10:M10"/>
    <mergeCell ref="C11:M11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9:M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C29:M29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C34:M34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2011-10-17T15:40:01Z</cp:lastPrinted>
  <dcterms:created xsi:type="dcterms:W3CDTF">1997-12-04T19:04:30Z</dcterms:created>
  <dcterms:modified xsi:type="dcterms:W3CDTF">2025-01-10T20:34:43Z</dcterms:modified>
</cp:coreProperties>
</file>