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D437637C-17E5-464D-9FA8-1C405A731D16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3A7CD31C-198E-43A1-BE9B-8749077AC0E6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7" i="1" l="1"/>
  <c r="I487" i="1"/>
  <c r="H487" i="1"/>
  <c r="G487" i="1"/>
  <c r="C150" i="2" s="1"/>
  <c r="G150" i="2" s="1"/>
  <c r="F487" i="1"/>
  <c r="K487" i="1" s="1"/>
  <c r="B19" i="12"/>
  <c r="B22" i="12" s="1"/>
  <c r="F269" i="1"/>
  <c r="L269" i="1" s="1"/>
  <c r="G153" i="1"/>
  <c r="D80" i="2" s="1"/>
  <c r="G462" i="1"/>
  <c r="G458" i="1"/>
  <c r="H458" i="1"/>
  <c r="H619" i="1" s="1"/>
  <c r="H462" i="1"/>
  <c r="H153" i="1"/>
  <c r="F360" i="1"/>
  <c r="F359" i="1"/>
  <c r="I350" i="1"/>
  <c r="G350" i="1"/>
  <c r="G354" i="1" s="1"/>
  <c r="F350" i="1"/>
  <c r="L350" i="1" s="1"/>
  <c r="C10" i="12"/>
  <c r="C11" i="12"/>
  <c r="C19" i="12"/>
  <c r="C20" i="12"/>
  <c r="C28" i="12"/>
  <c r="C31" i="12" s="1"/>
  <c r="C37" i="12"/>
  <c r="C38" i="12"/>
  <c r="B20" i="12"/>
  <c r="B21" i="12"/>
  <c r="B28" i="12"/>
  <c r="B31" i="12" s="1"/>
  <c r="A31" i="12" s="1"/>
  <c r="B37" i="12"/>
  <c r="B40" i="12" s="1"/>
  <c r="A40" i="12" s="1"/>
  <c r="B10" i="12"/>
  <c r="B13" i="12" s="1"/>
  <c r="B12" i="12"/>
  <c r="B11" i="12"/>
  <c r="J594" i="1"/>
  <c r="I274" i="1"/>
  <c r="G325" i="1"/>
  <c r="G329" i="1" s="1"/>
  <c r="G330" i="1" s="1"/>
  <c r="G344" i="1" s="1"/>
  <c r="H25" i="1"/>
  <c r="F225" i="1"/>
  <c r="G243" i="1"/>
  <c r="F463" i="1"/>
  <c r="F137" i="1"/>
  <c r="F139" i="1" s="1"/>
  <c r="F102" i="1"/>
  <c r="F103" i="1" s="1"/>
  <c r="G455" i="1"/>
  <c r="G12" i="1"/>
  <c r="G19" i="1" s="1"/>
  <c r="G608" i="1" s="1"/>
  <c r="C37" i="10"/>
  <c r="C60" i="2"/>
  <c r="B2" i="13"/>
  <c r="F8" i="13"/>
  <c r="E8" i="13" s="1"/>
  <c r="G8" i="13"/>
  <c r="L196" i="1"/>
  <c r="L214" i="1"/>
  <c r="L232" i="1"/>
  <c r="D39" i="13"/>
  <c r="F13" i="13"/>
  <c r="G13" i="13"/>
  <c r="L198" i="1"/>
  <c r="C19" i="10" s="1"/>
  <c r="L216" i="1"/>
  <c r="L234" i="1"/>
  <c r="F16" i="13"/>
  <c r="E16" i="13" s="1"/>
  <c r="C16" i="13" s="1"/>
  <c r="G16" i="13"/>
  <c r="G33" i="13" s="1"/>
  <c r="L201" i="1"/>
  <c r="L219" i="1"/>
  <c r="L237" i="1"/>
  <c r="F5" i="13"/>
  <c r="G5" i="13"/>
  <c r="L189" i="1"/>
  <c r="L190" i="1"/>
  <c r="C102" i="2" s="1"/>
  <c r="L191" i="1"/>
  <c r="L192" i="1"/>
  <c r="L207" i="1"/>
  <c r="L208" i="1"/>
  <c r="D5" i="13" s="1"/>
  <c r="L209" i="1"/>
  <c r="L210" i="1"/>
  <c r="L225" i="1"/>
  <c r="L226" i="1"/>
  <c r="L227" i="1"/>
  <c r="L239" i="1" s="1"/>
  <c r="L228" i="1"/>
  <c r="C104" i="2" s="1"/>
  <c r="F6" i="13"/>
  <c r="G6" i="13"/>
  <c r="L194" i="1"/>
  <c r="C15" i="10" s="1"/>
  <c r="L212" i="1"/>
  <c r="L230" i="1"/>
  <c r="F7" i="13"/>
  <c r="D7" i="13" s="1"/>
  <c r="C7" i="13" s="1"/>
  <c r="G7" i="13"/>
  <c r="L195" i="1"/>
  <c r="L213" i="1"/>
  <c r="L231" i="1"/>
  <c r="F12" i="13"/>
  <c r="G12" i="13"/>
  <c r="L197" i="1"/>
  <c r="C18" i="10" s="1"/>
  <c r="L215" i="1"/>
  <c r="D12" i="13" s="1"/>
  <c r="C12" i="13" s="1"/>
  <c r="L233" i="1"/>
  <c r="F14" i="13"/>
  <c r="G14" i="13"/>
  <c r="L199" i="1"/>
  <c r="D14" i="13" s="1"/>
  <c r="C14" i="13" s="1"/>
  <c r="L217" i="1"/>
  <c r="L235" i="1"/>
  <c r="F15" i="13"/>
  <c r="G15" i="13"/>
  <c r="L200" i="1"/>
  <c r="C21" i="10" s="1"/>
  <c r="L218" i="1"/>
  <c r="L236" i="1"/>
  <c r="H652" i="1" s="1"/>
  <c r="F17" i="13"/>
  <c r="D17" i="13" s="1"/>
  <c r="C17" i="13" s="1"/>
  <c r="G17" i="13"/>
  <c r="L243" i="1"/>
  <c r="F18" i="13"/>
  <c r="G18" i="13"/>
  <c r="L244" i="1"/>
  <c r="F19" i="13"/>
  <c r="G19" i="13"/>
  <c r="L245" i="1"/>
  <c r="D19" i="13" s="1"/>
  <c r="C19" i="13" s="1"/>
  <c r="F29" i="13"/>
  <c r="G29" i="13"/>
  <c r="L351" i="1"/>
  <c r="G651" i="1" s="1"/>
  <c r="L352" i="1"/>
  <c r="I359" i="1"/>
  <c r="J282" i="1"/>
  <c r="J301" i="1"/>
  <c r="J320" i="1"/>
  <c r="F31" i="13" s="1"/>
  <c r="K282" i="1"/>
  <c r="K330" i="1" s="1"/>
  <c r="K344" i="1" s="1"/>
  <c r="K301" i="1"/>
  <c r="K320" i="1"/>
  <c r="L268" i="1"/>
  <c r="E101" i="2" s="1"/>
  <c r="L270" i="1"/>
  <c r="L271" i="1"/>
  <c r="E104" i="2" s="1"/>
  <c r="L273" i="1"/>
  <c r="L274" i="1"/>
  <c r="L275" i="1"/>
  <c r="L276" i="1"/>
  <c r="L277" i="1"/>
  <c r="E114" i="2" s="1"/>
  <c r="L278" i="1"/>
  <c r="E115" i="2" s="1"/>
  <c r="L279" i="1"/>
  <c r="L280" i="1"/>
  <c r="C17" i="10" s="1"/>
  <c r="L287" i="1"/>
  <c r="L288" i="1"/>
  <c r="L289" i="1"/>
  <c r="L290" i="1"/>
  <c r="L301" i="1" s="1"/>
  <c r="L292" i="1"/>
  <c r="L293" i="1"/>
  <c r="L294" i="1"/>
  <c r="L295" i="1"/>
  <c r="L296" i="1"/>
  <c r="L297" i="1"/>
  <c r="L298" i="1"/>
  <c r="L299" i="1"/>
  <c r="L306" i="1"/>
  <c r="L307" i="1"/>
  <c r="L308" i="1"/>
  <c r="L309" i="1"/>
  <c r="L320" i="1" s="1"/>
  <c r="L311" i="1"/>
  <c r="L312" i="1"/>
  <c r="L313" i="1"/>
  <c r="L314" i="1"/>
  <c r="L315" i="1"/>
  <c r="L316" i="1"/>
  <c r="L317" i="1"/>
  <c r="L318" i="1"/>
  <c r="L326" i="1"/>
  <c r="L327" i="1"/>
  <c r="L252" i="1"/>
  <c r="H25" i="13" s="1"/>
  <c r="L253" i="1"/>
  <c r="L333" i="1"/>
  <c r="L334" i="1"/>
  <c r="L247" i="1"/>
  <c r="C122" i="2" s="1"/>
  <c r="L328" i="1"/>
  <c r="E122" i="2" s="1"/>
  <c r="E136" i="2" s="1"/>
  <c r="C11" i="13"/>
  <c r="C10" i="13"/>
  <c r="C9" i="13"/>
  <c r="L353" i="1"/>
  <c r="B4" i="12"/>
  <c r="B36" i="12"/>
  <c r="C36" i="12"/>
  <c r="C40" i="12"/>
  <c r="B27" i="12"/>
  <c r="C27" i="12"/>
  <c r="B9" i="12"/>
  <c r="C9" i="12"/>
  <c r="C13" i="12"/>
  <c r="C18" i="12"/>
  <c r="C22" i="12"/>
  <c r="B1" i="12"/>
  <c r="L379" i="1"/>
  <c r="L380" i="1"/>
  <c r="L381" i="1"/>
  <c r="L382" i="1"/>
  <c r="L383" i="1"/>
  <c r="L384" i="1"/>
  <c r="L385" i="1"/>
  <c r="L400" i="1" s="1"/>
  <c r="L387" i="1"/>
  <c r="L388" i="1"/>
  <c r="L389" i="1"/>
  <c r="L390" i="1"/>
  <c r="L393" i="1" s="1"/>
  <c r="C131" i="2" s="1"/>
  <c r="L391" i="1"/>
  <c r="L392" i="1"/>
  <c r="L395" i="1"/>
  <c r="L399" i="1" s="1"/>
  <c r="C132" i="2" s="1"/>
  <c r="L396" i="1"/>
  <c r="L397" i="1"/>
  <c r="L398" i="1"/>
  <c r="L258" i="1"/>
  <c r="J52" i="1"/>
  <c r="J104" i="1" s="1"/>
  <c r="J185" i="1" s="1"/>
  <c r="G51" i="2"/>
  <c r="G53" i="2"/>
  <c r="G54" i="2" s="1"/>
  <c r="F2" i="11"/>
  <c r="L603" i="1"/>
  <c r="L604" i="1" s="1"/>
  <c r="L602" i="1"/>
  <c r="G653" i="1"/>
  <c r="L601" i="1"/>
  <c r="F653" i="1"/>
  <c r="C40" i="10"/>
  <c r="F52" i="1"/>
  <c r="C35" i="10" s="1"/>
  <c r="G52" i="1"/>
  <c r="G104" i="1" s="1"/>
  <c r="H52" i="1"/>
  <c r="H104" i="1" s="1"/>
  <c r="I52" i="1"/>
  <c r="F71" i="1"/>
  <c r="F86" i="1"/>
  <c r="G103" i="1"/>
  <c r="H71" i="1"/>
  <c r="E49" i="2" s="1"/>
  <c r="E54" i="2" s="1"/>
  <c r="H86" i="1"/>
  <c r="H103" i="1"/>
  <c r="I103" i="1"/>
  <c r="I104" i="1" s="1"/>
  <c r="I185" i="1" s="1"/>
  <c r="G620" i="1" s="1"/>
  <c r="J620" i="1" s="1"/>
  <c r="J103" i="1"/>
  <c r="F113" i="1"/>
  <c r="F128" i="1"/>
  <c r="F132" i="1"/>
  <c r="G113" i="1"/>
  <c r="G128" i="1"/>
  <c r="G132" i="1"/>
  <c r="H113" i="1"/>
  <c r="H132" i="1" s="1"/>
  <c r="C38" i="10" s="1"/>
  <c r="H128" i="1"/>
  <c r="I113" i="1"/>
  <c r="I132" i="1" s="1"/>
  <c r="I128" i="1"/>
  <c r="J113" i="1"/>
  <c r="J128" i="1"/>
  <c r="J132" i="1"/>
  <c r="F154" i="1"/>
  <c r="G139" i="1"/>
  <c r="D77" i="2" s="1"/>
  <c r="D83" i="2" s="1"/>
  <c r="G154" i="1"/>
  <c r="H139" i="1"/>
  <c r="H154" i="1"/>
  <c r="H161" i="1" s="1"/>
  <c r="I139" i="1"/>
  <c r="I161" i="1" s="1"/>
  <c r="I154" i="1"/>
  <c r="C10" i="10"/>
  <c r="C16" i="10"/>
  <c r="L242" i="1"/>
  <c r="C23" i="10" s="1"/>
  <c r="L324" i="1"/>
  <c r="E105" i="2" s="1"/>
  <c r="L246" i="1"/>
  <c r="C25" i="10"/>
  <c r="L260" i="1"/>
  <c r="C26" i="10" s="1"/>
  <c r="L261" i="1"/>
  <c r="C135" i="2" s="1"/>
  <c r="L341" i="1"/>
  <c r="L342" i="1"/>
  <c r="I660" i="1"/>
  <c r="G652" i="1"/>
  <c r="I659" i="1"/>
  <c r="C42" i="10"/>
  <c r="L366" i="1"/>
  <c r="F122" i="2" s="1"/>
  <c r="F136" i="2" s="1"/>
  <c r="L367" i="1"/>
  <c r="L368" i="1"/>
  <c r="L369" i="1"/>
  <c r="L370" i="1"/>
  <c r="L371" i="1"/>
  <c r="L372" i="1"/>
  <c r="L374" i="1" s="1"/>
  <c r="G626" i="1" s="1"/>
  <c r="J626" i="1" s="1"/>
  <c r="B2" i="10"/>
  <c r="L336" i="1"/>
  <c r="L337" i="1"/>
  <c r="L343" i="1"/>
  <c r="L338" i="1"/>
  <c r="L339" i="1"/>
  <c r="K343" i="1"/>
  <c r="L511" i="1"/>
  <c r="F539" i="1" s="1"/>
  <c r="L512" i="1"/>
  <c r="F540" i="1"/>
  <c r="K540" i="1" s="1"/>
  <c r="L513" i="1"/>
  <c r="F541" i="1" s="1"/>
  <c r="L516" i="1"/>
  <c r="G539" i="1"/>
  <c r="L517" i="1"/>
  <c r="G540" i="1" s="1"/>
  <c r="G542" i="1" s="1"/>
  <c r="L518" i="1"/>
  <c r="G541" i="1"/>
  <c r="L521" i="1"/>
  <c r="H539" i="1" s="1"/>
  <c r="L522" i="1"/>
  <c r="H540" i="1"/>
  <c r="L523" i="1"/>
  <c r="H541" i="1" s="1"/>
  <c r="L526" i="1"/>
  <c r="I539" i="1"/>
  <c r="L527" i="1"/>
  <c r="I540" i="1" s="1"/>
  <c r="I542" i="1" s="1"/>
  <c r="L528" i="1"/>
  <c r="I541" i="1"/>
  <c r="L531" i="1"/>
  <c r="J539" i="1" s="1"/>
  <c r="J542" i="1" s="1"/>
  <c r="L532" i="1"/>
  <c r="J540" i="1"/>
  <c r="L533" i="1"/>
  <c r="J541" i="1" s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D9" i="2"/>
  <c r="E9" i="2"/>
  <c r="F9" i="2"/>
  <c r="F19" i="2" s="1"/>
  <c r="I431" i="1"/>
  <c r="J9" i="1"/>
  <c r="G9" i="2" s="1"/>
  <c r="C10" i="2"/>
  <c r="D10" i="2"/>
  <c r="E10" i="2"/>
  <c r="F10" i="2"/>
  <c r="I432" i="1"/>
  <c r="J10" i="1" s="1"/>
  <c r="C11" i="2"/>
  <c r="C12" i="2"/>
  <c r="D12" i="2"/>
  <c r="D19" i="2" s="1"/>
  <c r="E12" i="2"/>
  <c r="F12" i="2"/>
  <c r="I433" i="1"/>
  <c r="J12" i="1" s="1"/>
  <c r="G12" i="2" s="1"/>
  <c r="C13" i="2"/>
  <c r="C19" i="2" s="1"/>
  <c r="D13" i="2"/>
  <c r="E13" i="2"/>
  <c r="F13" i="2"/>
  <c r="I434" i="1"/>
  <c r="J13" i="1"/>
  <c r="G13" i="2" s="1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D18" i="2"/>
  <c r="E17" i="2"/>
  <c r="F17" i="2"/>
  <c r="I436" i="1"/>
  <c r="J17" i="1" s="1"/>
  <c r="G17" i="2" s="1"/>
  <c r="C18" i="2"/>
  <c r="E18" i="2"/>
  <c r="F18" i="2"/>
  <c r="I437" i="1"/>
  <c r="J18" i="1"/>
  <c r="G18" i="2" s="1"/>
  <c r="C22" i="2"/>
  <c r="D22" i="2"/>
  <c r="D32" i="2" s="1"/>
  <c r="E22" i="2"/>
  <c r="E32" i="2" s="1"/>
  <c r="F22" i="2"/>
  <c r="I440" i="1"/>
  <c r="J23" i="1"/>
  <c r="C23" i="2"/>
  <c r="C32" i="2" s="1"/>
  <c r="D23" i="2"/>
  <c r="E23" i="2"/>
  <c r="F23" i="2"/>
  <c r="F32" i="2" s="1"/>
  <c r="I441" i="1"/>
  <c r="J24" i="1" s="1"/>
  <c r="C24" i="2"/>
  <c r="D24" i="2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C42" i="2" s="1"/>
  <c r="D34" i="2"/>
  <c r="E34" i="2"/>
  <c r="F34" i="2"/>
  <c r="C35" i="2"/>
  <c r="D35" i="2"/>
  <c r="D42" i="2" s="1"/>
  <c r="D43" i="2" s="1"/>
  <c r="E35" i="2"/>
  <c r="E42" i="2" s="1"/>
  <c r="F35" i="2"/>
  <c r="C36" i="2"/>
  <c r="D36" i="2"/>
  <c r="E36" i="2"/>
  <c r="F36" i="2"/>
  <c r="I446" i="1"/>
  <c r="I450" i="1" s="1"/>
  <c r="C37" i="2"/>
  <c r="D37" i="2"/>
  <c r="E37" i="2"/>
  <c r="F37" i="2"/>
  <c r="I447" i="1"/>
  <c r="J38" i="1"/>
  <c r="C38" i="2"/>
  <c r="D38" i="2"/>
  <c r="E38" i="2"/>
  <c r="F38" i="2"/>
  <c r="F42" i="2" s="1"/>
  <c r="F43" i="2" s="1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C48" i="2"/>
  <c r="F48" i="2"/>
  <c r="F55" i="2" s="1"/>
  <c r="C50" i="2"/>
  <c r="E50" i="2"/>
  <c r="C51" i="2"/>
  <c r="D51" i="2"/>
  <c r="D54" i="2" s="1"/>
  <c r="E51" i="2"/>
  <c r="E53" i="2"/>
  <c r="F51" i="2"/>
  <c r="D52" i="2"/>
  <c r="C53" i="2"/>
  <c r="D53" i="2"/>
  <c r="F53" i="2"/>
  <c r="C58" i="2"/>
  <c r="C59" i="2"/>
  <c r="C61" i="2"/>
  <c r="C62" i="2" s="1"/>
  <c r="D61" i="2"/>
  <c r="E61" i="2"/>
  <c r="E62" i="2"/>
  <c r="F61" i="2"/>
  <c r="F62" i="2" s="1"/>
  <c r="G61" i="2"/>
  <c r="G62" i="2" s="1"/>
  <c r="D62" i="2"/>
  <c r="C64" i="2"/>
  <c r="F64" i="2"/>
  <c r="C65" i="2"/>
  <c r="F65" i="2"/>
  <c r="F70" i="2" s="1"/>
  <c r="F73" i="2" s="1"/>
  <c r="C66" i="2"/>
  <c r="C70" i="2" s="1"/>
  <c r="C73" i="2" s="1"/>
  <c r="C67" i="2"/>
  <c r="C68" i="2"/>
  <c r="E68" i="2"/>
  <c r="E70" i="2" s="1"/>
  <c r="E73" i="2" s="1"/>
  <c r="F68" i="2"/>
  <c r="C69" i="2"/>
  <c r="D69" i="2"/>
  <c r="D70" i="2" s="1"/>
  <c r="D73" i="2" s="1"/>
  <c r="D71" i="2"/>
  <c r="D81" i="2"/>
  <c r="D88" i="2"/>
  <c r="D89" i="2"/>
  <c r="D90" i="2"/>
  <c r="D95" i="2" s="1"/>
  <c r="D91" i="2"/>
  <c r="D92" i="2"/>
  <c r="D93" i="2"/>
  <c r="D94" i="2"/>
  <c r="E69" i="2"/>
  <c r="F69" i="2"/>
  <c r="G69" i="2"/>
  <c r="G70" i="2"/>
  <c r="C71" i="2"/>
  <c r="E71" i="2"/>
  <c r="C72" i="2"/>
  <c r="E72" i="2"/>
  <c r="E77" i="2"/>
  <c r="F77" i="2"/>
  <c r="F83" i="2" s="1"/>
  <c r="C79" i="2"/>
  <c r="E79" i="2"/>
  <c r="F79" i="2"/>
  <c r="C80" i="2"/>
  <c r="E80" i="2"/>
  <c r="F80" i="2"/>
  <c r="C81" i="2"/>
  <c r="E81" i="2"/>
  <c r="F81" i="2"/>
  <c r="C82" i="2"/>
  <c r="C85" i="2"/>
  <c r="C95" i="2" s="1"/>
  <c r="F85" i="2"/>
  <c r="C86" i="2"/>
  <c r="F86" i="2"/>
  <c r="E88" i="2"/>
  <c r="E95" i="2" s="1"/>
  <c r="F88" i="2"/>
  <c r="G88" i="2"/>
  <c r="C89" i="2"/>
  <c r="E89" i="2"/>
  <c r="F89" i="2"/>
  <c r="G89" i="2"/>
  <c r="C90" i="2"/>
  <c r="E90" i="2"/>
  <c r="G90" i="2"/>
  <c r="C91" i="2"/>
  <c r="E91" i="2"/>
  <c r="F91" i="2"/>
  <c r="F95" i="2" s="1"/>
  <c r="C92" i="2"/>
  <c r="E92" i="2"/>
  <c r="E93" i="2"/>
  <c r="E94" i="2"/>
  <c r="F92" i="2"/>
  <c r="C93" i="2"/>
  <c r="F93" i="2"/>
  <c r="C94" i="2"/>
  <c r="F94" i="2"/>
  <c r="G95" i="2"/>
  <c r="C101" i="2"/>
  <c r="C103" i="2"/>
  <c r="E103" i="2"/>
  <c r="C105" i="2"/>
  <c r="D107" i="2"/>
  <c r="F107" i="2"/>
  <c r="G107" i="2"/>
  <c r="G137" i="2" s="1"/>
  <c r="C110" i="2"/>
  <c r="E110" i="2"/>
  <c r="E120" i="2" s="1"/>
  <c r="C111" i="2"/>
  <c r="E111" i="2"/>
  <c r="C112" i="2"/>
  <c r="E112" i="2"/>
  <c r="E113" i="2"/>
  <c r="C116" i="2"/>
  <c r="E116" i="2"/>
  <c r="C117" i="2"/>
  <c r="E117" i="2"/>
  <c r="F120" i="2"/>
  <c r="G120" i="2"/>
  <c r="F126" i="2"/>
  <c r="D126" i="2"/>
  <c r="E126" i="2"/>
  <c r="K411" i="1"/>
  <c r="K426" i="1" s="1"/>
  <c r="G126" i="2" s="1"/>
  <c r="G136" i="2" s="1"/>
  <c r="K419" i="1"/>
  <c r="K425" i="1"/>
  <c r="L255" i="1"/>
  <c r="C127" i="2" s="1"/>
  <c r="E127" i="2"/>
  <c r="L256" i="1"/>
  <c r="C128" i="2" s="1"/>
  <c r="L257" i="1"/>
  <c r="C129" i="2" s="1"/>
  <c r="E129" i="2"/>
  <c r="C134" i="2"/>
  <c r="E134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B150" i="2"/>
  <c r="D150" i="2"/>
  <c r="E150" i="2"/>
  <c r="F150" i="2"/>
  <c r="B151" i="2"/>
  <c r="C151" i="2"/>
  <c r="G151" i="2" s="1"/>
  <c r="D151" i="2"/>
  <c r="E151" i="2"/>
  <c r="F151" i="2"/>
  <c r="B152" i="2"/>
  <c r="C152" i="2"/>
  <c r="G152" i="2" s="1"/>
  <c r="D152" i="2"/>
  <c r="E152" i="2"/>
  <c r="F152" i="2"/>
  <c r="F490" i="1"/>
  <c r="K490" i="1" s="1"/>
  <c r="G490" i="1"/>
  <c r="C153" i="2"/>
  <c r="H490" i="1"/>
  <c r="D153" i="2" s="1"/>
  <c r="I490" i="1"/>
  <c r="E153" i="2"/>
  <c r="J490" i="1"/>
  <c r="F153" i="2" s="1"/>
  <c r="B154" i="2"/>
  <c r="C154" i="2"/>
  <c r="G154" i="2" s="1"/>
  <c r="D154" i="2"/>
  <c r="E154" i="2"/>
  <c r="F154" i="2"/>
  <c r="B155" i="2"/>
  <c r="G155" i="2" s="1"/>
  <c r="C155" i="2"/>
  <c r="D155" i="2"/>
  <c r="E155" i="2"/>
  <c r="F155" i="2"/>
  <c r="F493" i="1"/>
  <c r="B156" i="2" s="1"/>
  <c r="G493" i="1"/>
  <c r="C156" i="2"/>
  <c r="H493" i="1"/>
  <c r="D156" i="2" s="1"/>
  <c r="I493" i="1"/>
  <c r="E156" i="2"/>
  <c r="J493" i="1"/>
  <c r="F156" i="2" s="1"/>
  <c r="F19" i="1"/>
  <c r="H19" i="1"/>
  <c r="G609" i="1" s="1"/>
  <c r="I19" i="1"/>
  <c r="F33" i="1"/>
  <c r="G33" i="1"/>
  <c r="H33" i="1"/>
  <c r="I33" i="1"/>
  <c r="I44" i="1" s="1"/>
  <c r="H610" i="1" s="1"/>
  <c r="F43" i="1"/>
  <c r="F44" i="1" s="1"/>
  <c r="H607" i="1" s="1"/>
  <c r="G43" i="1"/>
  <c r="G44" i="1" s="1"/>
  <c r="H608" i="1" s="1"/>
  <c r="H43" i="1"/>
  <c r="G614" i="1" s="1"/>
  <c r="I43" i="1"/>
  <c r="F169" i="1"/>
  <c r="F184" i="1"/>
  <c r="I169" i="1"/>
  <c r="I184" i="1" s="1"/>
  <c r="F175" i="1"/>
  <c r="G175" i="1"/>
  <c r="G184" i="1" s="1"/>
  <c r="H175" i="1"/>
  <c r="I175" i="1"/>
  <c r="J175" i="1"/>
  <c r="G635" i="1" s="1"/>
  <c r="J184" i="1"/>
  <c r="F180" i="1"/>
  <c r="G180" i="1"/>
  <c r="H180" i="1"/>
  <c r="H184" i="1" s="1"/>
  <c r="I180" i="1"/>
  <c r="F203" i="1"/>
  <c r="G203" i="1"/>
  <c r="G249" i="1" s="1"/>
  <c r="G263" i="1" s="1"/>
  <c r="H203" i="1"/>
  <c r="H249" i="1" s="1"/>
  <c r="H263" i="1" s="1"/>
  <c r="I203" i="1"/>
  <c r="J203" i="1"/>
  <c r="J249" i="1" s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L262" i="1"/>
  <c r="F282" i="1"/>
  <c r="G282" i="1"/>
  <c r="H282" i="1"/>
  <c r="H330" i="1" s="1"/>
  <c r="H344" i="1" s="1"/>
  <c r="I282" i="1"/>
  <c r="F301" i="1"/>
  <c r="G301" i="1"/>
  <c r="H301" i="1"/>
  <c r="I301" i="1"/>
  <c r="F320" i="1"/>
  <c r="G320" i="1"/>
  <c r="H320" i="1"/>
  <c r="I320" i="1"/>
  <c r="I330" i="1" s="1"/>
  <c r="I344" i="1" s="1"/>
  <c r="F329" i="1"/>
  <c r="L329" i="1" s="1"/>
  <c r="H329" i="1"/>
  <c r="I329" i="1"/>
  <c r="J329" i="1"/>
  <c r="K329" i="1"/>
  <c r="F354" i="1"/>
  <c r="H354" i="1"/>
  <c r="I354" i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H400" i="1" s="1"/>
  <c r="H634" i="1" s="1"/>
  <c r="J634" i="1" s="1"/>
  <c r="I385" i="1"/>
  <c r="F393" i="1"/>
  <c r="G393" i="1"/>
  <c r="H393" i="1"/>
  <c r="I393" i="1"/>
  <c r="I400" i="1" s="1"/>
  <c r="F399" i="1"/>
  <c r="F400" i="1" s="1"/>
  <c r="H633" i="1" s="1"/>
  <c r="J633" i="1" s="1"/>
  <c r="G399" i="1"/>
  <c r="G400" i="1" s="1"/>
  <c r="H635" i="1" s="1"/>
  <c r="H399" i="1"/>
  <c r="I399" i="1"/>
  <c r="L405" i="1"/>
  <c r="L406" i="1"/>
  <c r="L411" i="1" s="1"/>
  <c r="L407" i="1"/>
  <c r="L408" i="1"/>
  <c r="L409" i="1"/>
  <c r="L410" i="1"/>
  <c r="F411" i="1"/>
  <c r="F426" i="1" s="1"/>
  <c r="G411" i="1"/>
  <c r="G426" i="1" s="1"/>
  <c r="H411" i="1"/>
  <c r="H426" i="1" s="1"/>
  <c r="I411" i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H425" i="1"/>
  <c r="I425" i="1"/>
  <c r="J425" i="1"/>
  <c r="J426" i="1" s="1"/>
  <c r="I426" i="1"/>
  <c r="F438" i="1"/>
  <c r="G629" i="1" s="1"/>
  <c r="J629" i="1" s="1"/>
  <c r="G438" i="1"/>
  <c r="H438" i="1"/>
  <c r="G631" i="1" s="1"/>
  <c r="J631" i="1" s="1"/>
  <c r="I438" i="1"/>
  <c r="G632" i="1" s="1"/>
  <c r="F444" i="1"/>
  <c r="G444" i="1"/>
  <c r="H444" i="1"/>
  <c r="H451" i="1" s="1"/>
  <c r="H631" i="1" s="1"/>
  <c r="F450" i="1"/>
  <c r="G450" i="1"/>
  <c r="H450" i="1"/>
  <c r="F451" i="1"/>
  <c r="G451" i="1"/>
  <c r="H630" i="1" s="1"/>
  <c r="J630" i="1" s="1"/>
  <c r="F460" i="1"/>
  <c r="F466" i="1" s="1"/>
  <c r="H612" i="1" s="1"/>
  <c r="G460" i="1"/>
  <c r="H460" i="1"/>
  <c r="H466" i="1" s="1"/>
  <c r="H614" i="1" s="1"/>
  <c r="I460" i="1"/>
  <c r="J460" i="1"/>
  <c r="F464" i="1"/>
  <c r="G464" i="1"/>
  <c r="H464" i="1"/>
  <c r="I464" i="1"/>
  <c r="I466" i="1" s="1"/>
  <c r="H615" i="1" s="1"/>
  <c r="J464" i="1"/>
  <c r="J466" i="1" s="1"/>
  <c r="H616" i="1" s="1"/>
  <c r="K485" i="1"/>
  <c r="K486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I514" i="1"/>
  <c r="J514" i="1"/>
  <c r="K514" i="1"/>
  <c r="K535" i="1" s="1"/>
  <c r="L514" i="1"/>
  <c r="F519" i="1"/>
  <c r="G519" i="1"/>
  <c r="G535" i="1" s="1"/>
  <c r="H519" i="1"/>
  <c r="H535" i="1" s="1"/>
  <c r="I519" i="1"/>
  <c r="J519" i="1"/>
  <c r="K519" i="1"/>
  <c r="F524" i="1"/>
  <c r="G524" i="1"/>
  <c r="H524" i="1"/>
  <c r="I524" i="1"/>
  <c r="I535" i="1" s="1"/>
  <c r="J524" i="1"/>
  <c r="J535" i="1" s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L547" i="1"/>
  <c r="L548" i="1"/>
  <c r="L549" i="1"/>
  <c r="F550" i="1"/>
  <c r="F561" i="1" s="1"/>
  <c r="G550" i="1"/>
  <c r="H550" i="1"/>
  <c r="H561" i="1" s="1"/>
  <c r="I550" i="1"/>
  <c r="I561" i="1" s="1"/>
  <c r="J550" i="1"/>
  <c r="J561" i="1" s="1"/>
  <c r="K550" i="1"/>
  <c r="K561" i="1"/>
  <c r="L552" i="1"/>
  <c r="L555" i="1" s="1"/>
  <c r="L553" i="1"/>
  <c r="L554" i="1"/>
  <c r="F555" i="1"/>
  <c r="G555" i="1"/>
  <c r="H555" i="1"/>
  <c r="I555" i="1"/>
  <c r="J555" i="1"/>
  <c r="K555" i="1"/>
  <c r="L557" i="1"/>
  <c r="L560" i="1"/>
  <c r="L558" i="1"/>
  <c r="L559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I588" i="1"/>
  <c r="H640" i="1" s="1"/>
  <c r="J588" i="1"/>
  <c r="H641" i="1"/>
  <c r="K592" i="1"/>
  <c r="K593" i="1"/>
  <c r="K594" i="1"/>
  <c r="K595" i="1"/>
  <c r="G638" i="1" s="1"/>
  <c r="H595" i="1"/>
  <c r="I595" i="1"/>
  <c r="J595" i="1"/>
  <c r="F604" i="1"/>
  <c r="G604" i="1"/>
  <c r="H604" i="1"/>
  <c r="I604" i="1"/>
  <c r="J604" i="1"/>
  <c r="K604" i="1"/>
  <c r="G607" i="1"/>
  <c r="G610" i="1"/>
  <c r="J610" i="1" s="1"/>
  <c r="G612" i="1"/>
  <c r="J612" i="1" s="1"/>
  <c r="G615" i="1"/>
  <c r="J615" i="1" s="1"/>
  <c r="H617" i="1"/>
  <c r="H618" i="1"/>
  <c r="H620" i="1"/>
  <c r="H621" i="1"/>
  <c r="H622" i="1"/>
  <c r="H623" i="1"/>
  <c r="G624" i="1"/>
  <c r="J624" i="1" s="1"/>
  <c r="H625" i="1"/>
  <c r="H626" i="1"/>
  <c r="H627" i="1"/>
  <c r="H628" i="1"/>
  <c r="H629" i="1"/>
  <c r="G630" i="1"/>
  <c r="G633" i="1"/>
  <c r="G634" i="1"/>
  <c r="H637" i="1"/>
  <c r="G639" i="1"/>
  <c r="H639" i="1"/>
  <c r="J639" i="1"/>
  <c r="G640" i="1"/>
  <c r="G641" i="1"/>
  <c r="J641" i="1" s="1"/>
  <c r="G642" i="1"/>
  <c r="J642" i="1"/>
  <c r="H642" i="1"/>
  <c r="G643" i="1"/>
  <c r="H643" i="1"/>
  <c r="J643" i="1"/>
  <c r="G644" i="1"/>
  <c r="J644" i="1" s="1"/>
  <c r="H644" i="1"/>
  <c r="G645" i="1"/>
  <c r="J645" i="1" s="1"/>
  <c r="H645" i="1"/>
  <c r="G149" i="2"/>
  <c r="F54" i="2"/>
  <c r="E83" i="2"/>
  <c r="E19" i="2"/>
  <c r="D18" i="13"/>
  <c r="C18" i="13"/>
  <c r="D6" i="13"/>
  <c r="C6" i="13" s="1"/>
  <c r="G37" i="2"/>
  <c r="G22" i="2"/>
  <c r="G466" i="1"/>
  <c r="H613" i="1" s="1"/>
  <c r="I249" i="1"/>
  <c r="I263" i="1"/>
  <c r="F249" i="1"/>
  <c r="F263" i="1"/>
  <c r="G561" i="1"/>
  <c r="L550" i="1"/>
  <c r="L561" i="1" s="1"/>
  <c r="G31" i="13"/>
  <c r="F330" i="1"/>
  <c r="F344" i="1" s="1"/>
  <c r="I655" i="1"/>
  <c r="C8" i="13" l="1"/>
  <c r="G23" i="2"/>
  <c r="J33" i="1"/>
  <c r="C5" i="13"/>
  <c r="G32" i="2"/>
  <c r="F104" i="1"/>
  <c r="F185" i="1" s="1"/>
  <c r="G617" i="1" s="1"/>
  <c r="J617" i="1" s="1"/>
  <c r="L426" i="1"/>
  <c r="G628" i="1" s="1"/>
  <c r="J628" i="1" s="1"/>
  <c r="K541" i="1"/>
  <c r="C43" i="2"/>
  <c r="H185" i="1"/>
  <c r="G619" i="1" s="1"/>
  <c r="J619" i="1" s="1"/>
  <c r="G621" i="1"/>
  <c r="J621" i="1" s="1"/>
  <c r="G636" i="1"/>
  <c r="J636" i="1" s="1"/>
  <c r="G627" i="1"/>
  <c r="J627" i="1" s="1"/>
  <c r="H636" i="1"/>
  <c r="A13" i="12"/>
  <c r="J608" i="1"/>
  <c r="C11" i="10"/>
  <c r="E102" i="2"/>
  <c r="E107" i="2" s="1"/>
  <c r="E137" i="2" s="1"/>
  <c r="L282" i="1"/>
  <c r="J632" i="1"/>
  <c r="J614" i="1"/>
  <c r="G185" i="1"/>
  <c r="G618" i="1" s="1"/>
  <c r="J618" i="1" s="1"/>
  <c r="L354" i="1"/>
  <c r="D29" i="13"/>
  <c r="C29" i="13" s="1"/>
  <c r="F651" i="1"/>
  <c r="I651" i="1" s="1"/>
  <c r="D119" i="2"/>
  <c r="D120" i="2" s="1"/>
  <c r="D137" i="2" s="1"/>
  <c r="H651" i="1"/>
  <c r="F96" i="2"/>
  <c r="F542" i="1"/>
  <c r="K539" i="1"/>
  <c r="K542" i="1" s="1"/>
  <c r="C24" i="10"/>
  <c r="C36" i="10"/>
  <c r="F161" i="1"/>
  <c r="C77" i="2"/>
  <c r="C83" i="2" s="1"/>
  <c r="J635" i="1"/>
  <c r="F137" i="2"/>
  <c r="C25" i="13"/>
  <c r="H33" i="13"/>
  <c r="H650" i="1"/>
  <c r="J607" i="1"/>
  <c r="G156" i="2"/>
  <c r="H542" i="1"/>
  <c r="J640" i="1"/>
  <c r="J263" i="1"/>
  <c r="G73" i="2"/>
  <c r="E43" i="2"/>
  <c r="G10" i="2"/>
  <c r="G19" i="2" s="1"/>
  <c r="J19" i="1"/>
  <c r="G611" i="1" s="1"/>
  <c r="H44" i="1"/>
  <c r="H609" i="1" s="1"/>
  <c r="J609" i="1" s="1"/>
  <c r="D15" i="13"/>
  <c r="C15" i="13" s="1"/>
  <c r="L519" i="1"/>
  <c r="L535" i="1" s="1"/>
  <c r="I444" i="1"/>
  <c r="I451" i="1" s="1"/>
  <c r="H632" i="1" s="1"/>
  <c r="C114" i="2"/>
  <c r="C49" i="2"/>
  <c r="C54" i="2" s="1"/>
  <c r="C55" i="2" s="1"/>
  <c r="C96" i="2" s="1"/>
  <c r="J37" i="1"/>
  <c r="C29" i="10"/>
  <c r="H653" i="1"/>
  <c r="I653" i="1" s="1"/>
  <c r="C130" i="2"/>
  <c r="C133" i="2" s="1"/>
  <c r="B18" i="12"/>
  <c r="A22" i="12" s="1"/>
  <c r="J330" i="1"/>
  <c r="J344" i="1" s="1"/>
  <c r="C113" i="2"/>
  <c r="C120" i="2" s="1"/>
  <c r="C106" i="2"/>
  <c r="C107" i="2" s="1"/>
  <c r="E48" i="2"/>
  <c r="E55" i="2" s="1"/>
  <c r="E96" i="2" s="1"/>
  <c r="F652" i="1"/>
  <c r="I652" i="1" s="1"/>
  <c r="C20" i="10"/>
  <c r="G613" i="1"/>
  <c r="J613" i="1" s="1"/>
  <c r="L524" i="1"/>
  <c r="B153" i="2"/>
  <c r="G153" i="2" s="1"/>
  <c r="D48" i="2"/>
  <c r="D55" i="2" s="1"/>
  <c r="D96" i="2" s="1"/>
  <c r="C13" i="10"/>
  <c r="G161" i="1"/>
  <c r="C12" i="10"/>
  <c r="L325" i="1"/>
  <c r="E106" i="2" s="1"/>
  <c r="F33" i="13"/>
  <c r="K493" i="1"/>
  <c r="F22" i="13"/>
  <c r="C22" i="13" s="1"/>
  <c r="L221" i="1"/>
  <c r="G650" i="1" s="1"/>
  <c r="G654" i="1" s="1"/>
  <c r="G48" i="2"/>
  <c r="G55" i="2" s="1"/>
  <c r="C32" i="10"/>
  <c r="L203" i="1"/>
  <c r="E13" i="13"/>
  <c r="C13" i="13" s="1"/>
  <c r="C115" i="2"/>
  <c r="C136" i="2" l="1"/>
  <c r="C137" i="2" s="1"/>
  <c r="D12" i="10"/>
  <c r="H654" i="1"/>
  <c r="C27" i="10"/>
  <c r="G625" i="1"/>
  <c r="J625" i="1" s="1"/>
  <c r="G36" i="2"/>
  <c r="G42" i="2" s="1"/>
  <c r="G43" i="2" s="1"/>
  <c r="J43" i="1"/>
  <c r="L330" i="1"/>
  <c r="L344" i="1" s="1"/>
  <c r="G623" i="1" s="1"/>
  <c r="J623" i="1" s="1"/>
  <c r="D31" i="13"/>
  <c r="C28" i="10"/>
  <c r="H638" i="1"/>
  <c r="J638" i="1" s="1"/>
  <c r="G96" i="2"/>
  <c r="C39" i="10"/>
  <c r="E33" i="13"/>
  <c r="D35" i="13" s="1"/>
  <c r="D24" i="10"/>
  <c r="L249" i="1"/>
  <c r="L263" i="1" s="1"/>
  <c r="G622" i="1" s="1"/>
  <c r="J622" i="1" s="1"/>
  <c r="F650" i="1"/>
  <c r="G662" i="1"/>
  <c r="C5" i="10" s="1"/>
  <c r="G657" i="1"/>
  <c r="G616" i="1" l="1"/>
  <c r="J44" i="1"/>
  <c r="H611" i="1" s="1"/>
  <c r="J611" i="1" s="1"/>
  <c r="F654" i="1"/>
  <c r="I650" i="1"/>
  <c r="I654" i="1" s="1"/>
  <c r="D27" i="10"/>
  <c r="D39" i="10"/>
  <c r="D25" i="10"/>
  <c r="D22" i="10"/>
  <c r="C30" i="10"/>
  <c r="D10" i="10"/>
  <c r="D16" i="10"/>
  <c r="D19" i="10"/>
  <c r="D26" i="10"/>
  <c r="D21" i="10"/>
  <c r="D23" i="10"/>
  <c r="D17" i="10"/>
  <c r="D18" i="10"/>
  <c r="D15" i="10"/>
  <c r="D13" i="10"/>
  <c r="D11" i="10"/>
  <c r="D20" i="10"/>
  <c r="H662" i="1"/>
  <c r="C6" i="10" s="1"/>
  <c r="H657" i="1"/>
  <c r="C31" i="13"/>
  <c r="D33" i="13"/>
  <c r="D36" i="13" s="1"/>
  <c r="C41" i="10"/>
  <c r="D28" i="10" l="1"/>
  <c r="I662" i="1"/>
  <c r="C7" i="10" s="1"/>
  <c r="I657" i="1"/>
  <c r="F662" i="1"/>
  <c r="C4" i="10" s="1"/>
  <c r="F657" i="1"/>
  <c r="D37" i="10"/>
  <c r="D40" i="10"/>
  <c r="D38" i="10"/>
  <c r="D35" i="10"/>
  <c r="D36" i="10"/>
  <c r="J616" i="1"/>
  <c r="H646" i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364EAB66-54DA-4872-8909-557F06174CCA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67F96013-823A-4C33-8931-F4BC18EBB8DC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0691DB1B-DA67-47AC-9B53-C2F9C31CD245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B416F7C-16C5-47F3-9F38-45C9E0A406EF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F5DE17FD-A0A7-411D-BC9F-0490E1E1BF2E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8B8128F-3714-4CA7-AE67-2DE055357D04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DDAB567C-0535-4ED5-83E2-FE3B0417232F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300CD209-BB88-4237-A969-1625EED4BBA9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8B81EA13-D812-480D-880A-96A03313B3A3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8BD95B88-2F24-4FED-AC54-287ECAB54B08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4614A2ED-7AB6-41D7-9A41-168DCE6D0F37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DB50EAAD-5314-4E2D-9322-828B3BEA7170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<sst xmlns="http://schemas.openxmlformats.org/spreadsheetml/2006/main" count="3879" uniqueCount="911">
  <si>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</si>
  <si>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</si>
  <si>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</si>
  <si>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</si>
  <si>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</si>
  <si>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</si>
  <si>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</si>
  <si>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</si>
  <si>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</si>
  <si>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</si>
  <si>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</si>
  <si>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</si>
  <si>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</si>
  <si>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</si>
  <si>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</si>
  <si>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</si>
  <si>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</si>
  <si>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</si>
  <si>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</si>
  <si>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</si>
  <si>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</si>
  <si>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</si>
  <si>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</si>
  <si>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</si>
  <si>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</si>
  <si>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</si>
  <si>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</si>
  <si>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</si>
  <si>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</si>
  <si>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</si>
  <si>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</si>
  <si>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</si>
  <si>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</si>
  <si>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</si>
  <si>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</si>
  <si>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</si>
  <si>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</si>
  <si>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</si>
  <si>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</si>
  <si>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</si>
  <si>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</si>
  <si>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</si>
  <si>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</si>
  <si>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</si>
  <si>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</si>
  <si>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</si>
  <si>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</si>
  <si>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</si>
  <si>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</si>
  <si>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</si>
  <si>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</si>
  <si>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</si>
  <si>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</si>
  <si>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</si>
  <si>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</si>
  <si>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</si>
  <si>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</si>
  <si>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</si>
  <si>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</si>
  <si>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</si>
  <si>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</si>
  <si>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</si>
  <si>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</si>
  <si>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</si>
  <si>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</si>
  <si>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</si>
  <si>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</si>
  <si>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</si>
  <si>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</si>
  <si>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</si>
  <si>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</si>
  <si>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</si>
  <si>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</si>
  <si>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</si>
  <si>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</si>
  <si>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</si>
  <si>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</si>
  <si>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</si>
  <si>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</si>
  <si>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</si>
  <si>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</si>
  <si>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</si>
  <si>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</si>
  <si>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</si>
  <si>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</si>
  <si>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</si>
  <si>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</si>
  <si>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</si>
  <si>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</si>
  <si>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</si>
  <si>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</si>
  <si>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</si>
  <si>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</si>
  <si>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</si>
  <si>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</si>
  <si>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</si>
  <si>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</si>
  <si>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</si>
  <si>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</si>
  <si>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</si>
  <si>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</si>
  <si>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</si>
  <si>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</si>
  <si>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</si>
  <si>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</si>
  <si>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</si>
  <si>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</si>
  <si>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</si>
  <si>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</si>
  <si>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</si>
  <si>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</si>
  <si>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</si>
  <si>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</si>
  <si>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</si>
  <si>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</si>
  <si>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</si>
  <si>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</si>
  <si>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</si>
  <si>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</si>
  <si>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</si>
  <si>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</si>
  <si>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</si>
  <si>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</si>
  <si>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</si>
  <si>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</si>
  <si>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</si>
  <si>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</si>
  <si>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</si>
  <si>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</si>
  <si>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</si>
  <si>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</si>
  <si>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</si>
  <si>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</si>
  <si>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</si>
  <si>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</si>
  <si>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</si>
  <si>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</si>
  <si>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</si>
  <si>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</si>
  <si>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</si>
  <si>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</si>
  <si>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</si>
  <si>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</si>
  <si>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</si>
  <si>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</si>
  <si>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</si>
  <si>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</si>
  <si>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</si>
  <si>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</si>
  <si>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</si>
  <si>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</si>
  <si>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</si>
  <si>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</si>
  <si>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</si>
  <si>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</si>
  <si>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</si>
  <si>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</si>
  <si>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</si>
  <si>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</si>
  <si>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</si>
  <si>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</si>
  <si>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</si>
  <si>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</si>
  <si>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</si>
  <si>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</si>
  <si>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</si>
  <si>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</si>
  <si>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</si>
  <si>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</si>
  <si>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</si>
  <si>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</si>
  <si>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</si>
  <si>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</si>
  <si>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</si>
  <si>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</si>
  <si>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</si>
  <si>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</si>
  <si>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</si>
  <si>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</si>
  <si>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</si>
  <si>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</si>
  <si>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</si>
  <si>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</si>
  <si>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</si>
  <si>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</si>
  <si>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</si>
  <si>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</si>
  <si>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</si>
  <si>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</si>
  <si>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</si>
  <si>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</si>
  <si>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</si>
  <si>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</si>
  <si>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</si>
  <si>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</si>
  <si>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</si>
  <si>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</si>
  <si>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</si>
  <si>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</si>
  <si>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</si>
  <si>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</si>
  <si>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</si>
  <si>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</si>
  <si>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</si>
  <si>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</si>
  <si>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</si>
  <si>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</si>
  <si>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</si>
  <si>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</si>
  <si>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</si>
  <si>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</si>
  <si>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</si>
  <si>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</si>
  <si>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</si>
  <si>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</si>
  <si>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</si>
  <si>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</si>
  <si>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</si>
  <si>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</si>
  <si>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</si>
  <si>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</si>
  <si>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</si>
  <si>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</si>
  <si>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</si>
  <si>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</si>
  <si>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</si>
  <si>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</si>
  <si>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</si>
  <si>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</si>
  <si>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</si>
  <si>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</si>
  <si>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</si>
  <si>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</si>
  <si>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</si>
  <si>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</si>
  <si>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</si>
  <si>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</si>
  <si>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</si>
  <si>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</si>
  <si>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</si>
  <si>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</si>
  <si>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</si>
  <si>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</si>
  <si>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</si>
  <si>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</si>
  <si>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</si>
  <si>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</si>
  <si>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</si>
  <si>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</si>
  <si>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</si>
  <si>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</si>
  <si>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</si>
  <si>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</si>
  <si>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</si>
  <si>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</si>
  <si>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</si>
  <si>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</si>
  <si>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</si>
  <si>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</si>
  <si>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</si>
  <si>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</si>
  <si>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</si>
  <si>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</si>
  <si>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</si>
  <si>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</si>
  <si>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</si>
  <si>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</si>
  <si>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</si>
  <si>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</si>
  <si>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</si>
  <si>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</si>
  <si>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</si>
  <si>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</si>
  <si>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</si>
  <si>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</si>
  <si>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</si>
  <si>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</si>
  <si>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</si>
  <si>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</si>
  <si>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</si>
  <si>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</si>
  <si>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</si>
  <si>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</si>
  <si>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</si>
  <si>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</si>
  <si>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</si>
  <si>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</si>
  <si>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</si>
  <si>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</si>
  <si>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</si>
  <si>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</si>
  <si>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</si>
  <si>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</si>
  <si>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</si>
  <si>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</si>
  <si>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</si>
  <si>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</si>
  <si>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</si>
  <si>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</si>
  <si>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</si>
  <si>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</si>
  <si>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</si>
  <si>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</si>
  <si>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</si>
  <si>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</si>
  <si>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</si>
  <si>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</si>
  <si>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</si>
  <si>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</si>
  <si>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</si>
  <si>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</si>
  <si>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</si>
  <si>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</si>
  <si>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</si>
  <si>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</si>
  <si>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</si>
  <si>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</si>
  <si>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</si>
  <si>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</si>
  <si>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</si>
  <si>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</si>
  <si>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</si>
  <si>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</si>
  <si>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</si>
  <si>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</si>
  <si>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</si>
  <si>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</si>
  <si>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</si>
  <si>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</si>
  <si>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</si>
  <si>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</si>
  <si>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</si>
  <si>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</si>
  <si>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</si>
  <si>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</si>
  <si>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</si>
  <si>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</si>
  <si>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</si>
  <si>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</si>
  <si>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</si>
  <si>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</si>
  <si>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</si>
  <si>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</si>
  <si>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</si>
  <si>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</si>
  <si>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</si>
  <si>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</si>
  <si>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</si>
  <si>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</si>
  <si>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</si>
  <si>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</si>
  <si>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</si>
  <si>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</si>
  <si>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</si>
  <si>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</si>
  <si>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</si>
  <si>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</si>
  <si>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</si>
  <si>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</si>
  <si>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</si>
  <si>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</si>
  <si>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</si>
  <si>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</si>
  <si>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</si>
  <si>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</si>
  <si>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</si>
  <si>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</si>
  <si>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</si>
  <si>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</si>
  <si>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</si>
  <si>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</si>
  <si>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</si>
  <si>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</si>
  <si>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</si>
  <si>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</si>
  <si>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</si>
  <si>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</si>
  <si>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</si>
  <si>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</si>
  <si>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</si>
  <si>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</si>
  <si>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</si>
  <si>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</si>
  <si>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</si>
  <si>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</si>
  <si>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</si>
  <si>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</si>
  <si>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</si>
  <si>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</si>
  <si>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</si>
  <si>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</si>
  <si>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</si>
  <si>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</si>
  <si>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</si>
  <si>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</si>
  <si>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</si>
  <si>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</si>
  <si>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</si>
  <si>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</si>
  <si>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</si>
  <si>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</si>
  <si>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</si>
  <si>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</si>
  <si>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</si>
  <si>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</si>
  <si>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</si>
  <si>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</si>
  <si>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</si>
  <si>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</si>
  <si>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</si>
  <si>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</si>
  <si>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</si>
  <si>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</si>
  <si>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</si>
  <si>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</si>
  <si>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</si>
  <si>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</si>
  <si>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</si>
  <si>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</si>
  <si>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</si>
  <si>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</si>
  <si>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</si>
  <si>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</si>
  <si>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</si>
  <si>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</si>
  <si>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</si>
  <si>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</si>
  <si>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</si>
  <si>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</si>
  <si>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</si>
  <si>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</si>
  <si>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</si>
  <si>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</si>
  <si>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</si>
  <si>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</si>
  <si>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</si>
  <si>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</si>
  <si>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</si>
  <si>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</si>
  <si>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</si>
  <si>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</si>
  <si>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</si>
  <si>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</si>
  <si>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</si>
  <si>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</si>
  <si>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</si>
  <si>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</si>
  <si>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</si>
  <si>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</si>
  <si>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</si>
  <si>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</si>
  <si>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</si>
  <si>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</si>
  <si>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</si>
  <si>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</si>
  <si>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</si>
  <si>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</si>
  <si>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</si>
  <si>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</si>
  <si>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</si>
  <si>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</si>
  <si>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</si>
  <si>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</si>
  <si>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</si>
  <si>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</si>
  <si>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</si>
  <si>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</si>
  <si>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</si>
  <si>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</si>
  <si>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</si>
  <si>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</si>
  <si>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</si>
  <si>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</si>
  <si>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</si>
  <si>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</si>
  <si>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</si>
  <si>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</si>
  <si>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</si>
  <si>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</si>
  <si>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</si>
  <si>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</si>
  <si>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</si>
  <si>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</si>
  <si>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</si>
  <si>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</si>
  <si>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</si>
  <si>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</si>
  <si>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</si>
  <si>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</si>
  <si>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</si>
  <si>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</si>
  <si>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</si>
  <si>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</si>
  <si>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</si>
  <si>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</si>
  <si>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</si>
  <si>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</si>
  <si>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</si>
  <si>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</si>
  <si>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</si>
  <si>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</si>
  <si>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</si>
  <si>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</si>
  <si>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</si>
  <si>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</si>
  <si>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</si>
  <si>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</si>
  <si>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</si>
  <si>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</si>
  <si>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</si>
  <si>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</si>
  <si>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</si>
  <si>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</si>
  <si>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</si>
  <si>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</si>
  <si>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</si>
  <si>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</si>
  <si>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</si>
  <si>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</si>
  <si>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</si>
  <si>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</si>
  <si>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</si>
  <si>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</si>
  <si>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</si>
  <si>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</si>
  <si>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</si>
  <si>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</si>
  <si>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</si>
  <si>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</si>
  <si>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</si>
  <si>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</si>
  <si>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</si>
  <si>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</si>
  <si>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</si>
  <si>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</si>
  <si>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</si>
  <si>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</si>
  <si>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</si>
  <si>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</si>
  <si>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</si>
  <si>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</si>
  <si>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</si>
  <si>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</si>
  <si>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</si>
  <si>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</si>
  <si>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</si>
  <si>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</si>
  <si>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</si>
  <si>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</si>
  <si>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</si>
  <si>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</si>
  <si>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</si>
  <si>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</si>
  <si>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</si>
  <si>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</si>
  <si>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</si>
  <si>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</si>
  <si>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</si>
  <si>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</si>
  <si>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</si>
  <si>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</si>
  <si>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</si>
  <si>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</si>
  <si>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</si>
  <si>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</si>
  <si>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</si>
  <si>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</si>
  <si>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</si>
  <si>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</si>
  <si>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</si>
  <si>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</si>
  <si>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</si>
  <si>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</si>
  <si>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</si>
  <si>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</si>
  <si>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</si>
  <si>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</si>
  <si>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</si>
  <si>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</si>
  <si>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</si>
  <si>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</si>
  <si>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</si>
  <si>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</si>
  <si>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</si>
  <si>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</si>
  <si>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</si>
  <si>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</si>
  <si>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</si>
  <si>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</si>
  <si>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</si>
  <si>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</si>
  <si>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</si>
  <si>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</si>
  <si>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</si>
  <si>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</si>
  <si>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</si>
  <si>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</si>
  <si>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</si>
  <si>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</si>
  <si>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</si>
  <si>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</si>
  <si>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</si>
  <si>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</si>
  <si>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</si>
  <si>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</si>
  <si>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</si>
  <si>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</si>
  <si>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</si>
  <si>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</si>
  <si>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</si>
  <si>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</si>
  <si>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</si>
  <si>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</si>
  <si>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</si>
  <si>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</si>
  <si>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</si>
  <si>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</si>
  <si>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</si>
  <si>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</si>
  <si>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</si>
  <si>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</si>
  <si>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</si>
  <si>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</si>
  <si>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</si>
  <si>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</si>
  <si>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</si>
  <si>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</si>
  <si>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</si>
  <si>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</si>
  <si>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</si>
  <si>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</si>
  <si>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</si>
  <si>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</si>
  <si>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</si>
  <si>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</si>
  <si>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</si>
  <si>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</si>
  <si>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</si>
  <si>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</si>
  <si>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</si>
  <si>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</si>
  <si>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</si>
  <si>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</si>
  <si>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</si>
  <si>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</si>
  <si>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</si>
  <si>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</si>
  <si>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</si>
  <si>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</si>
  <si>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</si>
  <si>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</si>
  <si>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</si>
  <si>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</si>
  <si>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</si>
  <si>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</si>
  <si>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</si>
  <si>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</si>
  <si>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</si>
  <si>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</si>
  <si>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</si>
  <si>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</si>
  <si>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</si>
  <si>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</si>
  <si>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</si>
  <si>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</si>
  <si>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</si>
  <si>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</si>
  <si>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</si>
  <si>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</si>
  <si>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</si>
  <si>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</si>
  <si>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</si>
  <si>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</si>
  <si>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</si>
  <si>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</si>
  <si>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</si>
  <si>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</si>
  <si>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</si>
  <si>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</si>
  <si>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</si>
  <si>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</si>
  <si>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</si>
  <si>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</si>
  <si>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</si>
  <si>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</si>
  <si>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</si>
  <si>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</si>
  <si>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</si>
  <si>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</si>
  <si>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</si>
  <si>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</si>
  <si>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</si>
  <si>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</si>
  <si>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</si>
  <si>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</si>
  <si>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</si>
  <si>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</si>
  <si>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</si>
  <si>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</si>
  <si>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</si>
  <si>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</si>
  <si>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</si>
  <si>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</si>
  <si>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</si>
  <si>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</si>
  <si>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</si>
  <si>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</si>
  <si>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</si>
  <si>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</si>
  <si>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</si>
  <si>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</si>
  <si>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</si>
  <si>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</si>
  <si>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</si>
  <si>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</si>
  <si>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</si>
  <si>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</si>
  <si>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</si>
  <si>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</si>
  <si>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</si>
  <si>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</si>
  <si>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</si>
  <si>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</si>
  <si>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</si>
  <si>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</si>
  <si>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</si>
  <si>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</si>
  <si>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</si>
  <si>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</si>
  <si>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</si>
  <si>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</si>
  <si>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</si>
  <si>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</si>
  <si>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</si>
  <si>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</si>
  <si>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</si>
  <si>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</si>
  <si>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</si>
  <si>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</si>
  <si>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</si>
  <si>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</si>
  <si>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</si>
  <si>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</si>
  <si>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</si>
  <si>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</si>
  <si>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</si>
  <si>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</si>
  <si>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</si>
  <si>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</si>
  <si>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</si>
  <si>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</si>
  <si>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</si>
  <si>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</si>
  <si>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</si>
  <si>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</si>
  <si>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</si>
  <si>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</si>
  <si>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</si>
  <si>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</si>
  <si>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</si>
  <si>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</si>
  <si>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</si>
  <si>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</si>
  <si>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</si>
  <si>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</si>
  <si>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</si>
  <si>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</si>
  <si>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</si>
  <si>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</si>
  <si>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</si>
  <si>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</si>
  <si>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</si>
  <si>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</si>
  <si>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</si>
  <si>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</si>
  <si>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</si>
  <si>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</si>
  <si>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</si>
  <si>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</si>
  <si>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</si>
  <si>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</si>
  <si>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</si>
  <si>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</si>
  <si>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</si>
  <si>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</si>
  <si>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</si>
  <si>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</si>
  <si>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</si>
  <si>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</si>
  <si>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</si>
  <si>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</si>
  <si>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</si>
  <si>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</si>
  <si>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</si>
  <si>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</si>
  <si>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</si>
  <si>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</si>
  <si>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</si>
  <si>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</si>
  <si>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</si>
  <si>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</si>
  <si>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</si>
  <si>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</si>
  <si>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</si>
  <si>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</si>
  <si>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</si>
  <si>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</si>
  <si>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</si>
  <si>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</si>
  <si>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</si>
  <si>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</si>
  <si>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</si>
  <si>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</si>
  <si>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</si>
  <si>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</si>
  <si>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</si>
  <si>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</si>
  <si>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</si>
  <si>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</si>
  <si>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</si>
  <si>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</si>
  <si>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</si>
  <si>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</si>
  <si>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</si>
  <si>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</si>
  <si>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</si>
  <si>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</si>
  <si>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</si>
  <si>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</si>
  <si>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</si>
  <si>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</si>
  <si>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</si>
  <si>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</si>
  <si>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</si>
  <si>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</si>
  <si>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</si>
  <si>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</si>
  <si>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</si>
  <si>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</si>
  <si>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</si>
  <si>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</si>
  <si>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</si>
  <si>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</si>
  <si>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</si>
  <si>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</si>
  <si>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</si>
  <si>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</si>
  <si>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</si>
  <si>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</si>
  <si>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</si>
  <si>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</si>
  <si>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</si>
  <si>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</si>
  <si>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</si>
  <si>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</si>
  <si>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</si>
  <si>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</si>
  <si>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</si>
  <si>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</si>
  <si>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</si>
  <si>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</si>
  <si>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</si>
  <si>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</si>
  <si>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</si>
  <si>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</si>
  <si>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</si>
  <si>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</si>
  <si>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</si>
  <si>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</si>
  <si>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</si>
  <si>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</si>
  <si>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</si>
  <si>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</si>
  <si>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</si>
  <si>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</si>
  <si>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</si>
  <si>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</si>
  <si>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</si>
  <si>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</si>
  <si>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</si>
  <si>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</si>
  <si>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</si>
  <si>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</si>
  <si>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</si>
  <si>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</si>
  <si>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</si>
  <si>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</si>
  <si>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</si>
  <si>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</si>
  <si>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</si>
  <si>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</si>
  <si>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</si>
  <si>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</si>
  <si>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</si>
  <si>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VARIES</t>
  </si>
  <si>
    <t>07/01/01</t>
  </si>
  <si>
    <t>07/01/03</t>
  </si>
  <si>
    <t>07/01/05</t>
  </si>
  <si>
    <t>PRIOR TO 2020</t>
  </si>
  <si>
    <t>07/01/21</t>
  </si>
  <si>
    <t>07/01/23</t>
  </si>
  <si>
    <t>07/01/25</t>
  </si>
  <si>
    <t>BEYOND 2027</t>
  </si>
  <si>
    <t>turned over to the city.</t>
  </si>
  <si>
    <t>6 Col. 1</t>
  </si>
  <si>
    <t>3 Col. 2</t>
  </si>
  <si>
    <t>6 Col. 2</t>
  </si>
  <si>
    <t>$13,917.93 is ending inventory</t>
  </si>
  <si>
    <t>$  9,660.92 is beginning inventory</t>
  </si>
  <si>
    <t>The $ 716,204.72 is made up of $ 80,748.42 in excess revenue and $635,456.30 in appropriation not spent that was</t>
  </si>
  <si>
    <t>Rochester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</si>
</sst>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D48A-6885-4634-8758-985210A7A52C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I655" sqref="I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910</v>
      </c>
      <c r="B2" s="21">
        <v>461</v>
      </c>
      <c r="C2" s="21">
        <v>461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/>
      <c r="G9" s="18"/>
      <c r="H9" s="18"/>
      <c r="I9" s="18">
        <v>6998.49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>
        <f>302214.66-84908.97</f>
        <v>217305.68999999997</v>
      </c>
      <c r="H12" s="18">
        <v>752788.7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>
        <v>83452.38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13917.93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0</v>
      </c>
      <c r="G19" s="41">
        <f>SUM(G9:G18)</f>
        <v>314675.99999999994</v>
      </c>
      <c r="H19" s="41">
        <f>SUM(H9:H18)</f>
        <v>752788.7</v>
      </c>
      <c r="I19" s="41">
        <f>SUM(I9:I18)</f>
        <v>6998.49</v>
      </c>
      <c r="J19" s="41">
        <f>SUM(J9:J18)</f>
        <v>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>
        <f>697024.67+8721.73</f>
        <v>705746.4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0</v>
      </c>
      <c r="G33" s="41">
        <f>SUM(G23:G32)</f>
        <v>0</v>
      </c>
      <c r="H33" s="41">
        <f>SUM(H23:H32)</f>
        <v>705746.4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13917.93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>
        <v>5062.32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300758.07</v>
      </c>
      <c r="H41" s="18">
        <v>47042.3</v>
      </c>
      <c r="I41" s="18">
        <v>1936.17</v>
      </c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/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0</v>
      </c>
      <c r="G43" s="41">
        <f>SUM(G35:G42)</f>
        <v>314676</v>
      </c>
      <c r="H43" s="41">
        <f>SUM(H35:H42)</f>
        <v>47042.3</v>
      </c>
      <c r="I43" s="41">
        <f>SUM(I35:I42)</f>
        <v>6998.49</v>
      </c>
      <c r="J43" s="41">
        <f>SUM(J35:J42)</f>
        <v>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0</v>
      </c>
      <c r="G44" s="41">
        <f>G43+G33</f>
        <v>314676</v>
      </c>
      <c r="H44" s="41">
        <f>H43+H33</f>
        <v>752788.70000000007</v>
      </c>
      <c r="I44" s="41">
        <f>I43+I33</f>
        <v>6998.49</v>
      </c>
      <c r="J44" s="41">
        <f>J43+J33</f>
        <v>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21474000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21474000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9115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>
        <v>20100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2031065.73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416744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18732.45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>
        <v>2380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2475657.1800000002</v>
      </c>
      <c r="G71" s="45" t="s">
        <v>312</v>
      </c>
      <c r="H71" s="41">
        <f>SUM(H55:H70)</f>
        <v>22480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770166.5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12202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22230</v>
      </c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14320.84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126183.77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21276.51+31957.83</f>
        <v>53234.34</v>
      </c>
      <c r="G102" s="18">
        <v>25128.71</v>
      </c>
      <c r="H102" s="18"/>
      <c r="I102" s="18">
        <v>3916.87</v>
      </c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228170.94999999998</v>
      </c>
      <c r="G103" s="41">
        <f>SUM(G88:G102)</f>
        <v>795295.21</v>
      </c>
      <c r="H103" s="41">
        <f>SUM(H88:H102)</f>
        <v>0</v>
      </c>
      <c r="I103" s="41">
        <f>SUM(I88:I102)</f>
        <v>3916.87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24177828.129999999</v>
      </c>
      <c r="G104" s="41">
        <f>G52+G103</f>
        <v>795295.21</v>
      </c>
      <c r="H104" s="41">
        <f>H52+H71+H86+H103</f>
        <v>22480</v>
      </c>
      <c r="I104" s="41">
        <f>I52+I103</f>
        <v>3916.87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21672069.18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5165725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786039.82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27623834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1024228.14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396396.92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50712.26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30690.13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19265.45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1502027.45</v>
      </c>
      <c r="G128" s="41">
        <f>SUM(G115:G127)</f>
        <v>19265.45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29125861.449999999</v>
      </c>
      <c r="G132" s="41">
        <f>G113+SUM(G128:G129)</f>
        <v>19265.45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f>68759.4+88240.34</f>
        <v>156999.74</v>
      </c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156999.74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2353642.25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465540.35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171243.43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13745.05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967057.67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1821437.57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581274.96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f>3615.08+60170.65</f>
        <v>63785.73</v>
      </c>
      <c r="H153" s="18">
        <f>172724.45-60170.65</f>
        <v>112553.80000000002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581274.96</v>
      </c>
      <c r="G154" s="41">
        <f>SUM(G142:G153)</f>
        <v>1030843.4</v>
      </c>
      <c r="H154" s="41">
        <f>SUM(H142:H153)</f>
        <v>4938162.45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88984.14</v>
      </c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827258.84</v>
      </c>
      <c r="G161" s="41">
        <f>G139+G154+SUM(G155:G160)</f>
        <v>1030843.4</v>
      </c>
      <c r="H161" s="41">
        <f>H139+H154+SUM(H155:H160)</f>
        <v>4938162.45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54130948.420000002</v>
      </c>
      <c r="G185" s="47">
        <f>G104+G132+G161+G184</f>
        <v>1845404.06</v>
      </c>
      <c r="H185" s="47">
        <f>H104+H132+H161+H184</f>
        <v>4960642.45</v>
      </c>
      <c r="I185" s="47">
        <f>I104+I132+I161+I184</f>
        <v>3916.87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7010220.25</v>
      </c>
      <c r="G189" s="18">
        <v>2663790.67</v>
      </c>
      <c r="H189" s="18">
        <v>104673.16</v>
      </c>
      <c r="I189" s="18">
        <v>244180.48000000001</v>
      </c>
      <c r="J189" s="18">
        <v>7030.52</v>
      </c>
      <c r="K189" s="18"/>
      <c r="L189" s="19">
        <f>SUM(F189:K189)</f>
        <v>10029895.08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4485301.51</v>
      </c>
      <c r="G190" s="18">
        <v>1552271.76</v>
      </c>
      <c r="H190" s="18">
        <v>419826.26</v>
      </c>
      <c r="I190" s="18">
        <v>37004.120000000003</v>
      </c>
      <c r="J190" s="18">
        <v>168.29</v>
      </c>
      <c r="K190" s="18">
        <v>100</v>
      </c>
      <c r="L190" s="19">
        <f>SUM(F190:K190)</f>
        <v>6494671.9399999995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432838.12</v>
      </c>
      <c r="G194" s="18">
        <v>187209.55</v>
      </c>
      <c r="H194" s="18">
        <v>1804.54</v>
      </c>
      <c r="I194" s="18">
        <v>3564.63</v>
      </c>
      <c r="J194" s="18">
        <v>927.47</v>
      </c>
      <c r="K194" s="18"/>
      <c r="L194" s="19">
        <f t="shared" ref="L194:L200" si="0">SUM(F194:K194)</f>
        <v>626344.30999999994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324993.05</v>
      </c>
      <c r="G195" s="18">
        <v>103954.92</v>
      </c>
      <c r="H195" s="18">
        <v>250261.46</v>
      </c>
      <c r="I195" s="18">
        <v>34563.18</v>
      </c>
      <c r="J195" s="18">
        <v>32189.98</v>
      </c>
      <c r="K195" s="18">
        <v>68.53</v>
      </c>
      <c r="L195" s="19">
        <f t="shared" si="0"/>
        <v>746031.12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421461.6</v>
      </c>
      <c r="G196" s="18">
        <v>164763.92000000001</v>
      </c>
      <c r="H196" s="18">
        <v>115773.01</v>
      </c>
      <c r="I196" s="18">
        <v>5570.88</v>
      </c>
      <c r="J196" s="18">
        <v>11453.41</v>
      </c>
      <c r="K196" s="18">
        <v>9531.32</v>
      </c>
      <c r="L196" s="19">
        <f t="shared" si="0"/>
        <v>728554.14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911549.91</v>
      </c>
      <c r="G197" s="18">
        <v>402137.66</v>
      </c>
      <c r="H197" s="18">
        <v>3292</v>
      </c>
      <c r="I197" s="18">
        <v>12123.02</v>
      </c>
      <c r="J197" s="18">
        <v>3651.51</v>
      </c>
      <c r="K197" s="18">
        <v>6899.54</v>
      </c>
      <c r="L197" s="19">
        <f t="shared" si="0"/>
        <v>1339653.6400000001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122886.53</v>
      </c>
      <c r="G198" s="18">
        <v>54484.44</v>
      </c>
      <c r="H198" s="18">
        <v>11724.47</v>
      </c>
      <c r="I198" s="18">
        <v>2701.4</v>
      </c>
      <c r="J198" s="18">
        <v>0</v>
      </c>
      <c r="K198" s="18">
        <v>325.42</v>
      </c>
      <c r="L198" s="19">
        <f t="shared" si="0"/>
        <v>192122.26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692630.7</v>
      </c>
      <c r="G199" s="18">
        <v>339282.71</v>
      </c>
      <c r="H199" s="18">
        <v>356696.9</v>
      </c>
      <c r="I199" s="18">
        <v>406910.85</v>
      </c>
      <c r="J199" s="18">
        <v>19244.54</v>
      </c>
      <c r="K199" s="18">
        <v>117</v>
      </c>
      <c r="L199" s="19">
        <f t="shared" si="0"/>
        <v>1814882.7000000002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599783.41</v>
      </c>
      <c r="I200" s="18"/>
      <c r="J200" s="18"/>
      <c r="K200" s="18"/>
      <c r="L200" s="19">
        <f t="shared" si="0"/>
        <v>599783.41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>
        <v>1847.4</v>
      </c>
      <c r="H201" s="18"/>
      <c r="I201" s="18"/>
      <c r="J201" s="18"/>
      <c r="K201" s="18"/>
      <c r="L201" s="19">
        <f>SUM(F201:K201)</f>
        <v>1847.4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14401881.669999998</v>
      </c>
      <c r="G203" s="41">
        <f t="shared" si="1"/>
        <v>5469743.0300000003</v>
      </c>
      <c r="H203" s="41">
        <f t="shared" si="1"/>
        <v>1863835.21</v>
      </c>
      <c r="I203" s="41">
        <f t="shared" si="1"/>
        <v>746618.56</v>
      </c>
      <c r="J203" s="41">
        <f t="shared" si="1"/>
        <v>74665.72</v>
      </c>
      <c r="K203" s="41">
        <f t="shared" si="1"/>
        <v>17041.809999999998</v>
      </c>
      <c r="L203" s="41">
        <f t="shared" si="1"/>
        <v>22573786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3268738.43</v>
      </c>
      <c r="G207" s="18">
        <v>1340165.03</v>
      </c>
      <c r="H207" s="18">
        <v>47383.41</v>
      </c>
      <c r="I207" s="18">
        <v>99697.600000000006</v>
      </c>
      <c r="J207" s="18">
        <v>4967.78</v>
      </c>
      <c r="K207" s="18">
        <v>1389</v>
      </c>
      <c r="L207" s="19">
        <f>SUM(F207:K207)</f>
        <v>4762341.25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1416286.31</v>
      </c>
      <c r="G208" s="18">
        <v>589783</v>
      </c>
      <c r="H208" s="18">
        <v>670055.49</v>
      </c>
      <c r="I208" s="18">
        <v>11450.26</v>
      </c>
      <c r="J208" s="18">
        <v>464.26</v>
      </c>
      <c r="K208" s="18">
        <v>530</v>
      </c>
      <c r="L208" s="19">
        <f>SUM(F208:K208)</f>
        <v>2688569.3199999994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45937.21</v>
      </c>
      <c r="G210" s="18">
        <v>8598.2099999999991</v>
      </c>
      <c r="H210" s="18">
        <v>7592.58</v>
      </c>
      <c r="I210" s="18">
        <v>1333.09</v>
      </c>
      <c r="J210" s="18">
        <v>3668.67</v>
      </c>
      <c r="K210" s="18">
        <v>4635.2</v>
      </c>
      <c r="L210" s="19">
        <f>SUM(F210:K210)</f>
        <v>71764.959999999992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352393.55</v>
      </c>
      <c r="G212" s="18">
        <v>134996.78</v>
      </c>
      <c r="H212" s="18">
        <v>854.7</v>
      </c>
      <c r="I212" s="18">
        <v>3581.89</v>
      </c>
      <c r="J212" s="18">
        <v>467.93</v>
      </c>
      <c r="K212" s="18"/>
      <c r="L212" s="19">
        <f t="shared" ref="L212:L218" si="2">SUM(F212:K212)</f>
        <v>492294.85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161417.75</v>
      </c>
      <c r="G213" s="18">
        <v>46124.44</v>
      </c>
      <c r="H213" s="18">
        <v>126264.13</v>
      </c>
      <c r="I213" s="18">
        <v>21320.35</v>
      </c>
      <c r="J213" s="18">
        <v>17990.95</v>
      </c>
      <c r="K213" s="18">
        <v>34.58</v>
      </c>
      <c r="L213" s="19">
        <f t="shared" si="2"/>
        <v>373152.2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212639.5</v>
      </c>
      <c r="G214" s="18">
        <v>83128.149999999994</v>
      </c>
      <c r="H214" s="18">
        <v>58410.83</v>
      </c>
      <c r="I214" s="18">
        <v>2810.67</v>
      </c>
      <c r="J214" s="18">
        <v>5778.58</v>
      </c>
      <c r="K214" s="18">
        <v>4808.82</v>
      </c>
      <c r="L214" s="19">
        <f t="shared" si="2"/>
        <v>367576.55000000005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298198.28999999998</v>
      </c>
      <c r="G215" s="18">
        <v>150959.79999999999</v>
      </c>
      <c r="H215" s="18">
        <v>5924</v>
      </c>
      <c r="I215" s="18">
        <v>9433.1200000000008</v>
      </c>
      <c r="J215" s="18">
        <v>3767</v>
      </c>
      <c r="K215" s="18">
        <v>911</v>
      </c>
      <c r="L215" s="19">
        <f t="shared" si="2"/>
        <v>469193.20999999996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61999.8</v>
      </c>
      <c r="G216" s="18">
        <v>27488.959999999999</v>
      </c>
      <c r="H216" s="18">
        <v>5915.32</v>
      </c>
      <c r="I216" s="18">
        <v>1362.94</v>
      </c>
      <c r="J216" s="18">
        <v>0</v>
      </c>
      <c r="K216" s="18">
        <v>164.18</v>
      </c>
      <c r="L216" s="19">
        <f t="shared" si="2"/>
        <v>96931.200000000012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297183.53999999998</v>
      </c>
      <c r="G217" s="18">
        <v>171230.1</v>
      </c>
      <c r="H217" s="18">
        <v>164371.22</v>
      </c>
      <c r="I217" s="18">
        <v>205108.48000000001</v>
      </c>
      <c r="J217" s="18">
        <v>478.97</v>
      </c>
      <c r="K217" s="18">
        <v>57</v>
      </c>
      <c r="L217" s="19">
        <f t="shared" si="2"/>
        <v>838429.30999999994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478985.38</v>
      </c>
      <c r="I218" s="18"/>
      <c r="J218" s="18"/>
      <c r="K218" s="18"/>
      <c r="L218" s="19">
        <f t="shared" si="2"/>
        <v>478985.38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>
        <v>932.07</v>
      </c>
      <c r="H219" s="18"/>
      <c r="I219" s="18"/>
      <c r="J219" s="18"/>
      <c r="K219" s="18"/>
      <c r="L219" s="19">
        <f>SUM(F219:K219)</f>
        <v>932.07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6114794.3799999999</v>
      </c>
      <c r="G221" s="41">
        <f>SUM(G207:G220)</f>
        <v>2553406.5399999996</v>
      </c>
      <c r="H221" s="41">
        <f>SUM(H207:H220)</f>
        <v>1565757.06</v>
      </c>
      <c r="I221" s="41">
        <f>SUM(I207:I220)</f>
        <v>356098.4</v>
      </c>
      <c r="J221" s="41">
        <f>SUM(J207:J220)</f>
        <v>37584.14</v>
      </c>
      <c r="K221" s="41">
        <f t="shared" si="3"/>
        <v>12529.779999999999</v>
      </c>
      <c r="L221" s="41">
        <f t="shared" si="3"/>
        <v>10640170.300000001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4064327.17+0.02</f>
        <v>4064327.19</v>
      </c>
      <c r="G225" s="18">
        <v>1626774.12</v>
      </c>
      <c r="H225" s="18">
        <v>74253.05</v>
      </c>
      <c r="I225" s="18">
        <v>130047.02</v>
      </c>
      <c r="J225" s="18">
        <v>33608.46</v>
      </c>
      <c r="K225" s="18">
        <v>6290</v>
      </c>
      <c r="L225" s="19">
        <f>SUM(F225:K225)</f>
        <v>5935299.8399999999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1235065.81</v>
      </c>
      <c r="G226" s="18">
        <v>554062.49</v>
      </c>
      <c r="H226" s="18">
        <v>1210002.52</v>
      </c>
      <c r="I226" s="18">
        <v>5205.29</v>
      </c>
      <c r="J226" s="18">
        <v>162</v>
      </c>
      <c r="K226" s="18">
        <v>530</v>
      </c>
      <c r="L226" s="19">
        <f>SUM(F226:K226)</f>
        <v>3005028.1100000003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1275476.3500000001</v>
      </c>
      <c r="G227" s="18">
        <v>562781.43999999994</v>
      </c>
      <c r="H227" s="18">
        <v>65835.34</v>
      </c>
      <c r="I227" s="18">
        <v>50428.58</v>
      </c>
      <c r="J227" s="18">
        <v>6331.91</v>
      </c>
      <c r="K227" s="18"/>
      <c r="L227" s="19">
        <f>SUM(F227:K227)</f>
        <v>1960853.62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311065.64</v>
      </c>
      <c r="G228" s="18">
        <v>60912.65</v>
      </c>
      <c r="H228" s="18">
        <v>68333.19</v>
      </c>
      <c r="I228" s="18">
        <v>12213.1</v>
      </c>
      <c r="J228" s="18">
        <v>33017.99</v>
      </c>
      <c r="K228" s="18">
        <v>41716.78</v>
      </c>
      <c r="L228" s="19">
        <f>SUM(F228:K228)</f>
        <v>527259.35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668433.74</v>
      </c>
      <c r="G230" s="18">
        <v>245158.01</v>
      </c>
      <c r="H230" s="18">
        <v>3854.54</v>
      </c>
      <c r="I230" s="18">
        <v>5331.7</v>
      </c>
      <c r="J230" s="18">
        <v>2185.5300000000002</v>
      </c>
      <c r="K230" s="18">
        <v>495</v>
      </c>
      <c r="L230" s="19">
        <f t="shared" ref="L230:L236" si="4">SUM(F230:K230)</f>
        <v>925458.52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241716.9</v>
      </c>
      <c r="G231" s="18">
        <v>54712.11</v>
      </c>
      <c r="H231" s="18">
        <v>200259.93</v>
      </c>
      <c r="I231" s="18">
        <v>68245.84</v>
      </c>
      <c r="J231" s="18">
        <v>25923.81</v>
      </c>
      <c r="K231" s="18">
        <v>54.84</v>
      </c>
      <c r="L231" s="19">
        <f t="shared" si="4"/>
        <v>590913.43000000005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442786.77</v>
      </c>
      <c r="G232" s="18">
        <v>258883.97</v>
      </c>
      <c r="H232" s="18">
        <v>91158.62</v>
      </c>
      <c r="I232" s="18">
        <v>7887.68</v>
      </c>
      <c r="J232" s="18">
        <v>10899.21</v>
      </c>
      <c r="K232" s="18">
        <v>7626.99</v>
      </c>
      <c r="L232" s="19">
        <f t="shared" si="4"/>
        <v>819243.24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522610.32</v>
      </c>
      <c r="G233" s="18">
        <v>168883.42</v>
      </c>
      <c r="H233" s="18">
        <v>19650.3</v>
      </c>
      <c r="I233" s="18">
        <v>21101.88</v>
      </c>
      <c r="J233" s="18">
        <v>479</v>
      </c>
      <c r="K233" s="18">
        <v>7312</v>
      </c>
      <c r="L233" s="19">
        <f t="shared" si="4"/>
        <v>740036.92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98334.15</v>
      </c>
      <c r="G234" s="18">
        <v>43598.61</v>
      </c>
      <c r="H234" s="18">
        <v>9381.9500000000007</v>
      </c>
      <c r="I234" s="18">
        <v>2161.67</v>
      </c>
      <c r="J234" s="18">
        <v>0</v>
      </c>
      <c r="K234" s="18">
        <v>260.39999999999998</v>
      </c>
      <c r="L234" s="19">
        <f t="shared" si="4"/>
        <v>153736.78000000003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523960.75</v>
      </c>
      <c r="G235" s="18">
        <v>241018.88</v>
      </c>
      <c r="H235" s="18">
        <v>360411.84</v>
      </c>
      <c r="I235" s="18">
        <v>397836.72</v>
      </c>
      <c r="J235" s="18">
        <v>1729.02</v>
      </c>
      <c r="K235" s="18">
        <v>126</v>
      </c>
      <c r="L235" s="19">
        <f t="shared" si="4"/>
        <v>1525083.21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778506.61</v>
      </c>
      <c r="I236" s="18"/>
      <c r="J236" s="18"/>
      <c r="K236" s="18"/>
      <c r="L236" s="19">
        <f t="shared" si="4"/>
        <v>778506.61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>
        <v>1478.29</v>
      </c>
      <c r="H237" s="18"/>
      <c r="I237" s="18"/>
      <c r="J237" s="18"/>
      <c r="K237" s="18"/>
      <c r="L237" s="19">
        <f>SUM(F237:K237)</f>
        <v>1478.29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9383777.620000001</v>
      </c>
      <c r="G239" s="41">
        <f t="shared" si="5"/>
        <v>3818263.9899999998</v>
      </c>
      <c r="H239" s="41">
        <f t="shared" si="5"/>
        <v>2881647.8899999997</v>
      </c>
      <c r="I239" s="41">
        <f t="shared" si="5"/>
        <v>700459.48</v>
      </c>
      <c r="J239" s="41">
        <f t="shared" si="5"/>
        <v>114336.92999999998</v>
      </c>
      <c r="K239" s="41">
        <f t="shared" si="5"/>
        <v>64412.009999999995</v>
      </c>
      <c r="L239" s="41">
        <f t="shared" si="5"/>
        <v>16962897.919999998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10479.969999999999</v>
      </c>
      <c r="G243" s="18">
        <f>801.67+226.04+11</f>
        <v>1038.71</v>
      </c>
      <c r="H243" s="18">
        <v>1103.5999999999999</v>
      </c>
      <c r="I243" s="18">
        <v>198.56</v>
      </c>
      <c r="J243" s="18"/>
      <c r="K243" s="18"/>
      <c r="L243" s="19">
        <f t="shared" si="6"/>
        <v>12820.84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10479.969999999999</v>
      </c>
      <c r="G248" s="41">
        <f t="shared" si="7"/>
        <v>1038.71</v>
      </c>
      <c r="H248" s="41">
        <f t="shared" si="7"/>
        <v>1103.5999999999999</v>
      </c>
      <c r="I248" s="41">
        <f t="shared" si="7"/>
        <v>198.56</v>
      </c>
      <c r="J248" s="41">
        <f t="shared" si="7"/>
        <v>0</v>
      </c>
      <c r="K248" s="41">
        <f t="shared" si="7"/>
        <v>0</v>
      </c>
      <c r="L248" s="41">
        <f>SUM(F248:K248)</f>
        <v>12820.84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29910933.639999997</v>
      </c>
      <c r="G249" s="41">
        <f t="shared" si="8"/>
        <v>11842452.270000001</v>
      </c>
      <c r="H249" s="41">
        <f t="shared" si="8"/>
        <v>6312343.7599999998</v>
      </c>
      <c r="I249" s="41">
        <f t="shared" si="8"/>
        <v>1803375</v>
      </c>
      <c r="J249" s="41">
        <f t="shared" si="8"/>
        <v>226586.78999999998</v>
      </c>
      <c r="K249" s="41">
        <f t="shared" si="8"/>
        <v>93983.599999999991</v>
      </c>
      <c r="L249" s="41">
        <f t="shared" si="8"/>
        <v>50189675.060000002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2603009.8199999998</v>
      </c>
      <c r="L252" s="19">
        <f>SUM(F252:K252)</f>
        <v>2603009.8199999998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622058.81999999995</v>
      </c>
      <c r="L253" s="19">
        <f>SUM(F253:K253)</f>
        <v>622058.81999999995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3225068.6399999997</v>
      </c>
      <c r="L262" s="41">
        <f t="shared" si="9"/>
        <v>3225068.6399999997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29910933.639999997</v>
      </c>
      <c r="G263" s="42">
        <f t="shared" si="11"/>
        <v>11842452.270000001</v>
      </c>
      <c r="H263" s="42">
        <f t="shared" si="11"/>
        <v>6312343.7599999998</v>
      </c>
      <c r="I263" s="42">
        <f t="shared" si="11"/>
        <v>1803375</v>
      </c>
      <c r="J263" s="42">
        <f t="shared" si="11"/>
        <v>226586.78999999998</v>
      </c>
      <c r="K263" s="42">
        <f t="shared" si="11"/>
        <v>3319052.2399999998</v>
      </c>
      <c r="L263" s="42">
        <f t="shared" si="11"/>
        <v>53414743.700000003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72449.97</v>
      </c>
      <c r="G268" s="18">
        <v>25330.45</v>
      </c>
      <c r="H268" s="18">
        <v>17175.84</v>
      </c>
      <c r="I268" s="18">
        <v>18091.2</v>
      </c>
      <c r="J268" s="18">
        <v>35105.64</v>
      </c>
      <c r="K268" s="18">
        <v>0</v>
      </c>
      <c r="L268" s="19">
        <f>SUM(F268:K268)</f>
        <v>168153.09999999998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1265662.26+0.08</f>
        <v>1265662.3400000001</v>
      </c>
      <c r="G269" s="18">
        <v>421130.2</v>
      </c>
      <c r="H269" s="18">
        <v>83627.679999999993</v>
      </c>
      <c r="I269" s="18">
        <v>5252.74</v>
      </c>
      <c r="J269" s="18">
        <v>2529.84</v>
      </c>
      <c r="K269" s="18">
        <v>0</v>
      </c>
      <c r="L269" s="19">
        <f>SUM(F269:K269)</f>
        <v>1778202.8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2277.92</v>
      </c>
      <c r="G270" s="18">
        <v>356.95</v>
      </c>
      <c r="H270" s="18">
        <v>0</v>
      </c>
      <c r="I270" s="18">
        <v>1528.06</v>
      </c>
      <c r="J270" s="18">
        <v>0</v>
      </c>
      <c r="K270" s="18">
        <v>0</v>
      </c>
      <c r="L270" s="19">
        <f>SUM(F270:K270)</f>
        <v>4162.93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333877.11</v>
      </c>
      <c r="G273" s="18">
        <v>92347.17</v>
      </c>
      <c r="H273" s="18">
        <v>115694.95</v>
      </c>
      <c r="I273" s="18">
        <v>1942.97</v>
      </c>
      <c r="J273" s="18">
        <v>1735.56</v>
      </c>
      <c r="K273" s="18">
        <v>0</v>
      </c>
      <c r="L273" s="19">
        <f t="shared" ref="L273:L279" si="12">SUM(F273:K273)</f>
        <v>545597.76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54227.57</v>
      </c>
      <c r="G274" s="18">
        <v>27323.68</v>
      </c>
      <c r="H274" s="18">
        <v>29600.33</v>
      </c>
      <c r="I274" s="18">
        <f>171.32-40.3-63.92</f>
        <v>67.09999999999998</v>
      </c>
      <c r="J274" s="18">
        <v>0</v>
      </c>
      <c r="K274" s="18">
        <v>0</v>
      </c>
      <c r="L274" s="19">
        <f t="shared" si="12"/>
        <v>111218.68000000001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99719.81</v>
      </c>
      <c r="G275" s="18">
        <v>30924.7</v>
      </c>
      <c r="H275" s="18">
        <v>56571.51</v>
      </c>
      <c r="I275" s="18">
        <v>945.11</v>
      </c>
      <c r="J275" s="18">
        <v>0</v>
      </c>
      <c r="K275" s="18">
        <v>21.69</v>
      </c>
      <c r="L275" s="19">
        <f t="shared" si="12"/>
        <v>188182.81999999998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8135.44</v>
      </c>
      <c r="G276" s="18">
        <v>10057.58</v>
      </c>
      <c r="H276" s="18">
        <v>458.52</v>
      </c>
      <c r="I276" s="18">
        <v>241.76</v>
      </c>
      <c r="J276" s="18">
        <v>0</v>
      </c>
      <c r="K276" s="18">
        <v>200.02</v>
      </c>
      <c r="L276" s="19">
        <f t="shared" si="12"/>
        <v>19093.32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44611.08</v>
      </c>
      <c r="L277" s="19">
        <f t="shared" si="12"/>
        <v>44611.08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663.58</v>
      </c>
      <c r="I278" s="18">
        <v>0</v>
      </c>
      <c r="J278" s="18">
        <v>748.85</v>
      </c>
      <c r="K278" s="18">
        <v>0</v>
      </c>
      <c r="L278" s="19">
        <f t="shared" si="12"/>
        <v>1412.43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60.48</v>
      </c>
      <c r="J280" s="18">
        <v>213.39</v>
      </c>
      <c r="K280" s="18">
        <v>0</v>
      </c>
      <c r="L280" s="19">
        <f>SUM(F280:K280)</f>
        <v>273.87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1836350.16</v>
      </c>
      <c r="G282" s="42">
        <f t="shared" si="13"/>
        <v>607470.73</v>
      </c>
      <c r="H282" s="42">
        <f t="shared" si="13"/>
        <v>303792.41000000003</v>
      </c>
      <c r="I282" s="42">
        <f t="shared" si="13"/>
        <v>28129.420000000002</v>
      </c>
      <c r="J282" s="42">
        <f t="shared" si="13"/>
        <v>40333.279999999992</v>
      </c>
      <c r="K282" s="42">
        <f t="shared" si="13"/>
        <v>44832.79</v>
      </c>
      <c r="L282" s="41">
        <f t="shared" si="13"/>
        <v>2860908.79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27237.59</v>
      </c>
      <c r="G287" s="18">
        <v>8027.83</v>
      </c>
      <c r="H287" s="18">
        <v>328.37</v>
      </c>
      <c r="I287" s="18">
        <v>3147.56</v>
      </c>
      <c r="J287" s="18">
        <v>12364.31</v>
      </c>
      <c r="K287" s="18">
        <v>0</v>
      </c>
      <c r="L287" s="19">
        <f>SUM(F287:K287)</f>
        <v>51105.659999999996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169414.22</v>
      </c>
      <c r="G288" s="18">
        <v>54131.05</v>
      </c>
      <c r="H288" s="18">
        <v>39383.99</v>
      </c>
      <c r="I288" s="18">
        <v>3633.49</v>
      </c>
      <c r="J288" s="18">
        <v>1276.3800000000001</v>
      </c>
      <c r="K288" s="18">
        <v>0</v>
      </c>
      <c r="L288" s="19">
        <f>SUM(F288:K288)</f>
        <v>267839.13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1149.28</v>
      </c>
      <c r="G289" s="18">
        <v>180.09</v>
      </c>
      <c r="H289" s="18">
        <v>0</v>
      </c>
      <c r="I289" s="18">
        <v>770.95</v>
      </c>
      <c r="J289" s="18">
        <v>0</v>
      </c>
      <c r="K289" s="18">
        <v>0</v>
      </c>
      <c r="L289" s="19">
        <f>SUM(F289:K289)</f>
        <v>2100.3199999999997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155369.71</v>
      </c>
      <c r="G292" s="18">
        <v>44510.17</v>
      </c>
      <c r="H292" s="18">
        <v>58371.44</v>
      </c>
      <c r="I292" s="18">
        <v>980.28</v>
      </c>
      <c r="J292" s="18">
        <v>875.64</v>
      </c>
      <c r="K292" s="18">
        <v>0</v>
      </c>
      <c r="L292" s="19">
        <f t="shared" ref="L292:L298" si="14">SUM(F292:K292)</f>
        <v>260107.24000000002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23499.040000000001</v>
      </c>
      <c r="G293" s="18">
        <v>10584.19</v>
      </c>
      <c r="H293" s="18">
        <v>14883.77</v>
      </c>
      <c r="I293" s="18">
        <v>0</v>
      </c>
      <c r="J293" s="18">
        <v>0</v>
      </c>
      <c r="K293" s="18">
        <v>0</v>
      </c>
      <c r="L293" s="19">
        <f t="shared" si="14"/>
        <v>48967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36088.76</v>
      </c>
      <c r="G294" s="18">
        <v>11365.86</v>
      </c>
      <c r="H294" s="18">
        <v>28541.96</v>
      </c>
      <c r="I294" s="18">
        <v>476.83</v>
      </c>
      <c r="J294" s="18">
        <v>0</v>
      </c>
      <c r="K294" s="18">
        <v>10.95</v>
      </c>
      <c r="L294" s="19">
        <f t="shared" si="14"/>
        <v>76484.36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4104.5600000000004</v>
      </c>
      <c r="G295" s="18">
        <v>5074.3500000000004</v>
      </c>
      <c r="H295" s="18">
        <v>231.34</v>
      </c>
      <c r="I295" s="18">
        <v>121.97</v>
      </c>
      <c r="J295" s="18">
        <v>0</v>
      </c>
      <c r="K295" s="18">
        <v>100.92</v>
      </c>
      <c r="L295" s="19">
        <f t="shared" si="14"/>
        <v>9633.14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>
        <v>17676.150000000001</v>
      </c>
      <c r="L296" s="19">
        <f t="shared" si="14"/>
        <v>17676.150000000001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0</v>
      </c>
      <c r="G297" s="18">
        <v>0</v>
      </c>
      <c r="H297" s="18">
        <v>334.79</v>
      </c>
      <c r="I297" s="18">
        <v>0</v>
      </c>
      <c r="J297" s="18">
        <v>377.81</v>
      </c>
      <c r="K297" s="18">
        <v>0</v>
      </c>
      <c r="L297" s="19">
        <f t="shared" si="14"/>
        <v>712.6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0</v>
      </c>
      <c r="G299" s="18">
        <v>0</v>
      </c>
      <c r="H299" s="18">
        <v>0</v>
      </c>
      <c r="I299" s="18">
        <v>30.51</v>
      </c>
      <c r="J299" s="18">
        <v>107.66</v>
      </c>
      <c r="K299" s="18">
        <v>0</v>
      </c>
      <c r="L299" s="19">
        <f>SUM(F299:K299)</f>
        <v>138.16999999999999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416863.16</v>
      </c>
      <c r="G301" s="42">
        <f t="shared" si="15"/>
        <v>133873.54</v>
      </c>
      <c r="H301" s="42">
        <f t="shared" si="15"/>
        <v>142075.66</v>
      </c>
      <c r="I301" s="42">
        <f t="shared" si="15"/>
        <v>9161.5899999999983</v>
      </c>
      <c r="J301" s="42">
        <f t="shared" si="15"/>
        <v>15001.799999999997</v>
      </c>
      <c r="K301" s="42">
        <f t="shared" si="15"/>
        <v>17788.02</v>
      </c>
      <c r="L301" s="41">
        <f t="shared" si="15"/>
        <v>734763.77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43199.9</v>
      </c>
      <c r="G306" s="18">
        <v>12732.44</v>
      </c>
      <c r="H306" s="18">
        <v>20620.8</v>
      </c>
      <c r="I306" s="18">
        <v>4992.1499999999996</v>
      </c>
      <c r="J306" s="18">
        <v>19610.29</v>
      </c>
      <c r="K306" s="18">
        <v>0</v>
      </c>
      <c r="L306" s="19">
        <f>SUM(F306:K306)</f>
        <v>101155.57999999999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268697.71999999997</v>
      </c>
      <c r="G307" s="18">
        <v>85854.01</v>
      </c>
      <c r="H307" s="18">
        <v>62464.58</v>
      </c>
      <c r="I307" s="18">
        <v>5762.85</v>
      </c>
      <c r="J307" s="18">
        <v>2024.38</v>
      </c>
      <c r="K307" s="18">
        <v>0</v>
      </c>
      <c r="L307" s="19">
        <f>SUM(F307:K307)</f>
        <v>424803.54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1822.8</v>
      </c>
      <c r="G308" s="18">
        <v>285.63</v>
      </c>
      <c r="H308" s="18">
        <v>23662</v>
      </c>
      <c r="I308" s="18">
        <v>20668.740000000002</v>
      </c>
      <c r="J308" s="18">
        <v>108430.6</v>
      </c>
      <c r="K308" s="18">
        <v>0</v>
      </c>
      <c r="L308" s="19">
        <f>SUM(F308:K308)</f>
        <v>154869.77000000002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246422.58</v>
      </c>
      <c r="G311" s="18">
        <v>70594.92</v>
      </c>
      <c r="H311" s="18">
        <v>92579.43</v>
      </c>
      <c r="I311" s="18">
        <v>1554.77</v>
      </c>
      <c r="J311" s="18">
        <v>1388.8</v>
      </c>
      <c r="K311" s="18">
        <v>0</v>
      </c>
      <c r="L311" s="19">
        <f t="shared" ref="L311:L317" si="16">SUM(F311:K311)</f>
        <v>412540.5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37270.589999999997</v>
      </c>
      <c r="G312" s="18">
        <v>16786.97</v>
      </c>
      <c r="H312" s="18">
        <v>23606.25</v>
      </c>
      <c r="I312" s="18">
        <v>0</v>
      </c>
      <c r="J312" s="18">
        <v>0</v>
      </c>
      <c r="K312" s="18">
        <v>5759.16</v>
      </c>
      <c r="L312" s="19">
        <f t="shared" si="16"/>
        <v>83422.97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57238.22</v>
      </c>
      <c r="G313" s="18">
        <v>18026.72</v>
      </c>
      <c r="H313" s="18">
        <v>45268.68</v>
      </c>
      <c r="I313" s="18">
        <v>756.28</v>
      </c>
      <c r="J313" s="18">
        <v>0</v>
      </c>
      <c r="K313" s="18">
        <v>17.36</v>
      </c>
      <c r="L313" s="19">
        <f t="shared" si="16"/>
        <v>121307.26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6510</v>
      </c>
      <c r="G314" s="18">
        <v>8048.11</v>
      </c>
      <c r="H314" s="18">
        <v>366.91</v>
      </c>
      <c r="I314" s="18">
        <v>193.46</v>
      </c>
      <c r="J314" s="18">
        <v>0</v>
      </c>
      <c r="K314" s="18">
        <v>160.06</v>
      </c>
      <c r="L314" s="19">
        <f t="shared" si="16"/>
        <v>15278.539999999999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>
        <v>33672.980000000003</v>
      </c>
      <c r="L315" s="19">
        <f t="shared" si="16"/>
        <v>33672.980000000003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0</v>
      </c>
      <c r="G316" s="18">
        <v>0</v>
      </c>
      <c r="H316" s="18">
        <v>531</v>
      </c>
      <c r="I316" s="18">
        <v>0</v>
      </c>
      <c r="J316" s="18">
        <v>599.23</v>
      </c>
      <c r="K316" s="18">
        <v>0</v>
      </c>
      <c r="L316" s="19">
        <f t="shared" si="16"/>
        <v>1130.23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0</v>
      </c>
      <c r="G318" s="18">
        <v>0</v>
      </c>
      <c r="H318" s="18">
        <v>0</v>
      </c>
      <c r="I318" s="18">
        <v>48.39</v>
      </c>
      <c r="J318" s="18">
        <v>170.76</v>
      </c>
      <c r="K318" s="18">
        <v>0</v>
      </c>
      <c r="L318" s="19">
        <f>SUM(F318:K318)</f>
        <v>219.14999999999998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661161.80999999994</v>
      </c>
      <c r="G320" s="42">
        <f t="shared" si="17"/>
        <v>212328.8</v>
      </c>
      <c r="H320" s="42">
        <f t="shared" si="17"/>
        <v>269099.64999999997</v>
      </c>
      <c r="I320" s="42">
        <f t="shared" si="17"/>
        <v>33976.639999999999</v>
      </c>
      <c r="J320" s="42">
        <f t="shared" si="17"/>
        <v>132224.06000000003</v>
      </c>
      <c r="K320" s="42">
        <f t="shared" si="17"/>
        <v>39609.560000000005</v>
      </c>
      <c r="L320" s="41">
        <f t="shared" si="17"/>
        <v>1348400.52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12035.87</v>
      </c>
      <c r="G325" s="18">
        <f>920.76+135.64+46</f>
        <v>1102.4000000000001</v>
      </c>
      <c r="H325" s="18">
        <v>167.6</v>
      </c>
      <c r="I325" s="18">
        <v>212.74</v>
      </c>
      <c r="J325" s="18">
        <v>0</v>
      </c>
      <c r="K325" s="18">
        <v>0</v>
      </c>
      <c r="L325" s="19">
        <f t="shared" si="18"/>
        <v>13518.61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12035.87</v>
      </c>
      <c r="G329" s="41">
        <f t="shared" si="19"/>
        <v>1102.4000000000001</v>
      </c>
      <c r="H329" s="41">
        <f t="shared" si="19"/>
        <v>167.6</v>
      </c>
      <c r="I329" s="41">
        <f t="shared" si="19"/>
        <v>212.74</v>
      </c>
      <c r="J329" s="41">
        <f t="shared" si="19"/>
        <v>0</v>
      </c>
      <c r="K329" s="41">
        <f t="shared" si="19"/>
        <v>0</v>
      </c>
      <c r="L329" s="41">
        <f t="shared" si="18"/>
        <v>13518.61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2926411</v>
      </c>
      <c r="G330" s="41">
        <f t="shared" si="20"/>
        <v>954775.47000000009</v>
      </c>
      <c r="H330" s="41">
        <f t="shared" si="20"/>
        <v>715135.32</v>
      </c>
      <c r="I330" s="41">
        <f t="shared" si="20"/>
        <v>71480.39</v>
      </c>
      <c r="J330" s="41">
        <f t="shared" si="20"/>
        <v>187559.14</v>
      </c>
      <c r="K330" s="41">
        <f t="shared" si="20"/>
        <v>102230.37</v>
      </c>
      <c r="L330" s="41">
        <f t="shared" si="20"/>
        <v>4957591.6900000004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2926411</v>
      </c>
      <c r="G344" s="41">
        <f>G330</f>
        <v>954775.47000000009</v>
      </c>
      <c r="H344" s="41">
        <f>H330</f>
        <v>715135.32</v>
      </c>
      <c r="I344" s="41">
        <f>I330</f>
        <v>71480.39</v>
      </c>
      <c r="J344" s="41">
        <f>J330</f>
        <v>187559.14</v>
      </c>
      <c r="K344" s="47">
        <f>K330+K343</f>
        <v>102230.37</v>
      </c>
      <c r="L344" s="41">
        <f>L330+L343</f>
        <v>4957591.6900000004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217933.5+0.01+3249.98</f>
        <v>221183.49000000002</v>
      </c>
      <c r="G350" s="18">
        <f>87171.08+209.51+112.47</f>
        <v>87493.06</v>
      </c>
      <c r="H350" s="18">
        <v>143916.81</v>
      </c>
      <c r="I350" s="18">
        <f>337889.5+3256.34+52403.71</f>
        <v>393549.55000000005</v>
      </c>
      <c r="J350" s="18">
        <v>6738.45</v>
      </c>
      <c r="K350" s="18">
        <v>938.64</v>
      </c>
      <c r="L350" s="13">
        <f>SUM(F350:K350)</f>
        <v>853820.00000000012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90647.11</v>
      </c>
      <c r="G351" s="18">
        <v>26770.17</v>
      </c>
      <c r="H351" s="18">
        <v>68483.86</v>
      </c>
      <c r="I351" s="18">
        <v>169631.14</v>
      </c>
      <c r="J351" s="18">
        <v>7947.87</v>
      </c>
      <c r="K351" s="18"/>
      <c r="L351" s="19">
        <f>SUM(F351:K351)</f>
        <v>363480.15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178855.54</v>
      </c>
      <c r="G352" s="18">
        <v>43254.34</v>
      </c>
      <c r="H352" s="18">
        <v>111782.27</v>
      </c>
      <c r="I352" s="18">
        <v>269041.76</v>
      </c>
      <c r="J352" s="18"/>
      <c r="K352" s="18"/>
      <c r="L352" s="19">
        <f>SUM(F352:K352)</f>
        <v>602933.91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490686.14</v>
      </c>
      <c r="G354" s="47">
        <f t="shared" si="22"/>
        <v>157517.57</v>
      </c>
      <c r="H354" s="47">
        <f t="shared" si="22"/>
        <v>324182.94</v>
      </c>
      <c r="I354" s="47">
        <f t="shared" si="22"/>
        <v>832222.45000000007</v>
      </c>
      <c r="J354" s="47">
        <f t="shared" si="22"/>
        <v>14686.32</v>
      </c>
      <c r="K354" s="47">
        <f t="shared" si="22"/>
        <v>938.64</v>
      </c>
      <c r="L354" s="47">
        <f t="shared" si="22"/>
        <v>1820234.06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311508.01+52403.71</f>
        <v>363911.72000000003</v>
      </c>
      <c r="G359" s="18">
        <v>157164.76</v>
      </c>
      <c r="H359" s="18">
        <v>249269.58</v>
      </c>
      <c r="I359" s="56">
        <f>SUM(F359:H359)</f>
        <v>770346.06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26381.49+3256.34</f>
        <v>29637.83</v>
      </c>
      <c r="G360" s="63">
        <v>12466.38</v>
      </c>
      <c r="H360" s="63">
        <v>19772.18</v>
      </c>
      <c r="I360" s="56">
        <f>SUM(F360:H360)</f>
        <v>61876.39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393549.55000000005</v>
      </c>
      <c r="G361" s="47">
        <f>SUM(G359:G360)</f>
        <v>169631.14</v>
      </c>
      <c r="H361" s="47">
        <f>SUM(H359:H360)</f>
        <v>269041.76</v>
      </c>
      <c r="I361" s="47">
        <f>SUM(I359:I360)</f>
        <v>832222.45000000007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>
        <v>287.95</v>
      </c>
      <c r="K371" s="18"/>
      <c r="L371" s="13">
        <f t="shared" si="23"/>
        <v>287.95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287.95</v>
      </c>
      <c r="K374" s="47">
        <f t="shared" si="24"/>
        <v>0</v>
      </c>
      <c r="L374" s="47">
        <f t="shared" si="24"/>
        <v>287.95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0</v>
      </c>
      <c r="I438" s="13">
        <f>SUM(I431:I437)</f>
        <v>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0</v>
      </c>
      <c r="I450" s="83">
        <f>SUM(I446:I449)</f>
        <v>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0</v>
      </c>
      <c r="I451" s="42">
        <f>I444+I450</f>
        <v>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/>
      <c r="G455" s="18">
        <f>275588.07+9660.92</f>
        <v>285248.99</v>
      </c>
      <c r="H455" s="18">
        <v>43991.54</v>
      </c>
      <c r="I455" s="18">
        <v>3369.57</v>
      </c>
      <c r="J455" s="18"/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54130948.420000002</v>
      </c>
      <c r="G458" s="18">
        <f>1785233.41+60170.65</f>
        <v>1845404.0599999998</v>
      </c>
      <c r="H458" s="18">
        <f>5020813.1-60170.65</f>
        <v>4960642.4499999993</v>
      </c>
      <c r="I458" s="18">
        <v>3916.87</v>
      </c>
      <c r="J458" s="18"/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>
        <v>13917.93</v>
      </c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54130948.420000002</v>
      </c>
      <c r="G460" s="53">
        <f>SUM(G458:G459)</f>
        <v>1859321.9899999998</v>
      </c>
      <c r="H460" s="53">
        <f>SUM(H458:H459)</f>
        <v>4960642.4499999993</v>
      </c>
      <c r="I460" s="53">
        <f>SUM(I458:I459)</f>
        <v>3916.87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53414743.700000003</v>
      </c>
      <c r="G462" s="18">
        <f>1760063.41+60170.65</f>
        <v>1820234.0599999998</v>
      </c>
      <c r="H462" s="18">
        <f>5017762.34-60170.65</f>
        <v>4957591.6899999995</v>
      </c>
      <c r="I462" s="18">
        <v>287.95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f>F458-F462</f>
        <v>716204.71999999881</v>
      </c>
      <c r="G463" s="18">
        <v>9660.92</v>
      </c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54130948.420000002</v>
      </c>
      <c r="G464" s="53">
        <f>SUM(G462:G463)</f>
        <v>1829894.9799999997</v>
      </c>
      <c r="H464" s="53">
        <f>SUM(H462:H463)</f>
        <v>4957591.6899999995</v>
      </c>
      <c r="I464" s="53">
        <f>SUM(I462:I463)</f>
        <v>287.95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0</v>
      </c>
      <c r="G466" s="53">
        <f>(G455+G460)- G464</f>
        <v>314675.99999999977</v>
      </c>
      <c r="H466" s="53">
        <f>(H455+H460)- H464</f>
        <v>47042.299999999814</v>
      </c>
      <c r="I466" s="53">
        <f>(I455+I460)- I464</f>
        <v>6998.4900000000007</v>
      </c>
      <c r="J466" s="53">
        <f>(J455+J460)- J464</f>
        <v>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 t="s">
        <v>894</v>
      </c>
      <c r="G480" s="154">
        <v>20</v>
      </c>
      <c r="H480" s="154">
        <v>20</v>
      </c>
      <c r="I480" s="154">
        <v>20</v>
      </c>
      <c r="J480" s="154" t="s">
        <v>894</v>
      </c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895</v>
      </c>
      <c r="H481" s="155" t="s">
        <v>896</v>
      </c>
      <c r="I481" s="155" t="s">
        <v>897</v>
      </c>
      <c r="J481" s="154" t="s">
        <v>894</v>
      </c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898</v>
      </c>
      <c r="G482" s="155" t="s">
        <v>899</v>
      </c>
      <c r="H482" s="155" t="s">
        <v>900</v>
      </c>
      <c r="I482" s="155" t="s">
        <v>901</v>
      </c>
      <c r="J482" s="155" t="s">
        <v>902</v>
      </c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 t="s">
        <v>894</v>
      </c>
      <c r="G483" s="18">
        <v>4704717</v>
      </c>
      <c r="H483" s="18">
        <v>3237000</v>
      </c>
      <c r="I483" s="18">
        <v>1378525</v>
      </c>
      <c r="J483" s="18">
        <v>1992991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 t="s">
        <v>894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8262342</v>
      </c>
      <c r="G485" s="18">
        <v>2162913</v>
      </c>
      <c r="H485" s="18">
        <v>2082000</v>
      </c>
      <c r="I485" s="18">
        <v>1030000</v>
      </c>
      <c r="J485" s="18">
        <v>2435495</v>
      </c>
      <c r="K485" s="53">
        <f>SUM(F485:J485)</f>
        <v>15972750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f>F485-F488</f>
        <v>1995124</v>
      </c>
      <c r="G487" s="18">
        <f>G485-G488</f>
        <v>237536</v>
      </c>
      <c r="H487" s="18">
        <f>H485-H488</f>
        <v>165000</v>
      </c>
      <c r="I487" s="18">
        <f>I485-I488</f>
        <v>70000</v>
      </c>
      <c r="J487" s="18">
        <f>J485-J488</f>
        <v>135351</v>
      </c>
      <c r="K487" s="53">
        <f t="shared" si="34"/>
        <v>2603011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6267218</v>
      </c>
      <c r="G488" s="205">
        <v>1925377</v>
      </c>
      <c r="H488" s="205">
        <v>1917000</v>
      </c>
      <c r="I488" s="205">
        <v>960000</v>
      </c>
      <c r="J488" s="205">
        <v>2300144</v>
      </c>
      <c r="K488" s="206">
        <f t="shared" si="34"/>
        <v>13369739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841847</v>
      </c>
      <c r="G489" s="18">
        <v>182978</v>
      </c>
      <c r="H489" s="18">
        <v>521202</v>
      </c>
      <c r="I489" s="18">
        <v>307013</v>
      </c>
      <c r="J489" s="18">
        <v>856193</v>
      </c>
      <c r="K489" s="53">
        <f t="shared" si="34"/>
        <v>2709233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7109065</v>
      </c>
      <c r="G490" s="42">
        <f>SUM(G488:G489)</f>
        <v>2108355</v>
      </c>
      <c r="H490" s="42">
        <f>SUM(H488:H489)</f>
        <v>2438202</v>
      </c>
      <c r="I490" s="42">
        <f>SUM(I488:I489)</f>
        <v>1267013</v>
      </c>
      <c r="J490" s="42">
        <f>SUM(J488:J489)</f>
        <v>3156337</v>
      </c>
      <c r="K490" s="42">
        <f t="shared" si="34"/>
        <v>16078972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1180460</v>
      </c>
      <c r="G491" s="205">
        <v>199165</v>
      </c>
      <c r="H491" s="205">
        <v>165000</v>
      </c>
      <c r="I491" s="205">
        <v>70000</v>
      </c>
      <c r="J491" s="205">
        <v>134293</v>
      </c>
      <c r="K491" s="206">
        <f t="shared" si="34"/>
        <v>1748918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261046</v>
      </c>
      <c r="G492" s="18">
        <v>35623</v>
      </c>
      <c r="H492" s="18">
        <v>82950</v>
      </c>
      <c r="I492" s="18">
        <v>41313</v>
      </c>
      <c r="J492" s="18">
        <v>89461</v>
      </c>
      <c r="K492" s="53">
        <f t="shared" si="34"/>
        <v>510393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1441506</v>
      </c>
      <c r="G493" s="42">
        <f>SUM(G491:G492)</f>
        <v>234788</v>
      </c>
      <c r="H493" s="42">
        <f>SUM(H491:H492)</f>
        <v>247950</v>
      </c>
      <c r="I493" s="42">
        <f>SUM(I491:I492)</f>
        <v>111313</v>
      </c>
      <c r="J493" s="42">
        <f>SUM(J491:J492)</f>
        <v>223754</v>
      </c>
      <c r="K493" s="42">
        <f t="shared" si="34"/>
        <v>2259311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4498868.71</v>
      </c>
      <c r="G511" s="18">
        <v>1547068.1</v>
      </c>
      <c r="H511" s="18">
        <v>263918.74</v>
      </c>
      <c r="I511" s="18">
        <v>37491.519999999997</v>
      </c>
      <c r="J511" s="18">
        <v>168.29</v>
      </c>
      <c r="K511" s="18">
        <v>100</v>
      </c>
      <c r="L511" s="88">
        <f>SUM(F511:K511)</f>
        <v>6347615.3600000003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1420356.35</v>
      </c>
      <c r="G512" s="18">
        <v>586926.09</v>
      </c>
      <c r="H512" s="18">
        <v>498151.57</v>
      </c>
      <c r="I512" s="18">
        <v>11513.5</v>
      </c>
      <c r="J512" s="18">
        <v>464.26</v>
      </c>
      <c r="K512" s="18">
        <v>530</v>
      </c>
      <c r="L512" s="88">
        <f>SUM(F512:K512)</f>
        <v>2517941.7699999996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1241521.06</v>
      </c>
      <c r="G513" s="18">
        <v>549531.32999999996</v>
      </c>
      <c r="H513" s="18">
        <v>947770.12</v>
      </c>
      <c r="I513" s="18">
        <v>5305.59</v>
      </c>
      <c r="J513" s="18">
        <v>162</v>
      </c>
      <c r="K513" s="18">
        <v>530</v>
      </c>
      <c r="L513" s="88">
        <f>SUM(F513:K513)</f>
        <v>2744820.1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7160746.120000001</v>
      </c>
      <c r="G514" s="108">
        <f t="shared" ref="G514:L514" si="35">SUM(G511:G513)</f>
        <v>2683525.52</v>
      </c>
      <c r="H514" s="108">
        <f t="shared" si="35"/>
        <v>1709840.4300000002</v>
      </c>
      <c r="I514" s="108">
        <f t="shared" si="35"/>
        <v>54310.61</v>
      </c>
      <c r="J514" s="108">
        <f t="shared" si="35"/>
        <v>794.55</v>
      </c>
      <c r="K514" s="108">
        <f t="shared" si="35"/>
        <v>1160</v>
      </c>
      <c r="L514" s="89">
        <f t="shared" si="35"/>
        <v>11610377.229999999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256556.31</v>
      </c>
      <c r="G516" s="18">
        <v>75213.03</v>
      </c>
      <c r="H516" s="18">
        <v>157018.28</v>
      </c>
      <c r="I516" s="18"/>
      <c r="J516" s="18"/>
      <c r="K516" s="18"/>
      <c r="L516" s="88">
        <f>SUM(F516:K516)</f>
        <v>488787.62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116359.14</v>
      </c>
      <c r="G517" s="18">
        <v>35865.53</v>
      </c>
      <c r="H517" s="18">
        <v>172464.33</v>
      </c>
      <c r="I517" s="18"/>
      <c r="J517" s="18"/>
      <c r="K517" s="18"/>
      <c r="L517" s="88">
        <f>SUM(F517:K517)</f>
        <v>324689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184550.24</v>
      </c>
      <c r="G518" s="18">
        <v>56884.14</v>
      </c>
      <c r="H518" s="18">
        <v>263121.23</v>
      </c>
      <c r="I518" s="18"/>
      <c r="J518" s="18"/>
      <c r="K518" s="18"/>
      <c r="L518" s="88">
        <f>SUM(F518:K518)</f>
        <v>504555.61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557465.68999999994</v>
      </c>
      <c r="G519" s="89">
        <f t="shared" ref="G519:L519" si="36">SUM(G516:G518)</f>
        <v>167962.7</v>
      </c>
      <c r="H519" s="89">
        <f t="shared" si="36"/>
        <v>592603.84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1318032.23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172120.27</v>
      </c>
      <c r="G521" s="18">
        <v>64699.22</v>
      </c>
      <c r="H521" s="18">
        <v>2461.4</v>
      </c>
      <c r="I521" s="18">
        <v>555.51</v>
      </c>
      <c r="J521" s="18">
        <v>0</v>
      </c>
      <c r="K521" s="18">
        <v>28011.82</v>
      </c>
      <c r="L521" s="88">
        <f>SUM(F521:K521)</f>
        <v>267848.21999999997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86839.64</v>
      </c>
      <c r="G522" s="18">
        <v>32642.62</v>
      </c>
      <c r="H522" s="18">
        <v>1241.8499999999999</v>
      </c>
      <c r="I522" s="18">
        <v>280.27</v>
      </c>
      <c r="J522" s="18">
        <v>0</v>
      </c>
      <c r="K522" s="18">
        <v>9301.35</v>
      </c>
      <c r="L522" s="88">
        <f>SUM(F522:K522)</f>
        <v>130305.73000000001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137731.13</v>
      </c>
      <c r="G523" s="18">
        <v>51772.480000000003</v>
      </c>
      <c r="H523" s="18">
        <v>1969.62</v>
      </c>
      <c r="I523" s="18">
        <v>444.52</v>
      </c>
      <c r="J523" s="18">
        <v>0</v>
      </c>
      <c r="K523" s="18">
        <v>14752.31</v>
      </c>
      <c r="L523" s="88">
        <f>SUM(F523:K523)</f>
        <v>206670.06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396691.04</v>
      </c>
      <c r="G524" s="89">
        <f t="shared" ref="G524:L524" si="37">SUM(G521:G523)</f>
        <v>149114.32</v>
      </c>
      <c r="H524" s="89">
        <f t="shared" si="37"/>
        <v>5672.87</v>
      </c>
      <c r="I524" s="89">
        <f t="shared" si="37"/>
        <v>1280.3</v>
      </c>
      <c r="J524" s="89">
        <f t="shared" si="37"/>
        <v>0</v>
      </c>
      <c r="K524" s="89">
        <f t="shared" si="37"/>
        <v>52065.479999999996</v>
      </c>
      <c r="L524" s="89">
        <f t="shared" si="37"/>
        <v>604824.01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9250.41</v>
      </c>
      <c r="I526" s="18"/>
      <c r="J526" s="18"/>
      <c r="K526" s="18"/>
      <c r="L526" s="88">
        <f>SUM(F526:K526)</f>
        <v>9250.41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4667.1000000000004</v>
      </c>
      <c r="I527" s="18"/>
      <c r="J527" s="18"/>
      <c r="K527" s="18"/>
      <c r="L527" s="88">
        <f>SUM(F527:K527)</f>
        <v>4667.1000000000004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7402.21</v>
      </c>
      <c r="I528" s="18"/>
      <c r="J528" s="18"/>
      <c r="K528" s="18"/>
      <c r="L528" s="88">
        <f>SUM(F528:K528)</f>
        <v>7402.21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21319.72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21319.72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188998.26</v>
      </c>
      <c r="I531" s="18"/>
      <c r="J531" s="18"/>
      <c r="K531" s="18"/>
      <c r="L531" s="88">
        <f>SUM(F531:K531)</f>
        <v>188998.26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263272.42</v>
      </c>
      <c r="I532" s="18"/>
      <c r="J532" s="18"/>
      <c r="K532" s="18"/>
      <c r="L532" s="88">
        <f>SUM(F532:K532)</f>
        <v>263272.42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336504.46</v>
      </c>
      <c r="I533" s="18"/>
      <c r="J533" s="18"/>
      <c r="K533" s="18"/>
      <c r="L533" s="88">
        <f>SUM(F533:K533)</f>
        <v>336504.46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788775.14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788775.14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8114902.8500000006</v>
      </c>
      <c r="G535" s="89">
        <f t="shared" ref="G535:L535" si="40">G514+G519+G524+G529+G534</f>
        <v>3000602.54</v>
      </c>
      <c r="H535" s="89">
        <f t="shared" si="40"/>
        <v>3118212.0000000005</v>
      </c>
      <c r="I535" s="89">
        <f t="shared" si="40"/>
        <v>55590.91</v>
      </c>
      <c r="J535" s="89">
        <f t="shared" si="40"/>
        <v>794.55</v>
      </c>
      <c r="K535" s="89">
        <f t="shared" si="40"/>
        <v>53225.479999999996</v>
      </c>
      <c r="L535" s="89">
        <f t="shared" si="40"/>
        <v>14343328.33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6347615.3600000003</v>
      </c>
      <c r="G539" s="87">
        <f>L516</f>
        <v>488787.62</v>
      </c>
      <c r="H539" s="87">
        <f>L521</f>
        <v>267848.21999999997</v>
      </c>
      <c r="I539" s="87">
        <f>L526</f>
        <v>9250.41</v>
      </c>
      <c r="J539" s="87">
        <f>L531</f>
        <v>188998.26</v>
      </c>
      <c r="K539" s="87">
        <f>SUM(F539:J539)</f>
        <v>7302499.8700000001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2517941.7699999996</v>
      </c>
      <c r="G540" s="87">
        <f>L517</f>
        <v>324689</v>
      </c>
      <c r="H540" s="87">
        <f>L522</f>
        <v>130305.73000000001</v>
      </c>
      <c r="I540" s="87">
        <f>L527</f>
        <v>4667.1000000000004</v>
      </c>
      <c r="J540" s="87">
        <f>L532</f>
        <v>263272.42</v>
      </c>
      <c r="K540" s="87">
        <f>SUM(F540:J540)</f>
        <v>3240876.0199999996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2744820.1</v>
      </c>
      <c r="G541" s="87">
        <f>L518</f>
        <v>504555.61</v>
      </c>
      <c r="H541" s="87">
        <f>L523</f>
        <v>206670.06</v>
      </c>
      <c r="I541" s="87">
        <f>L528</f>
        <v>7402.21</v>
      </c>
      <c r="J541" s="87">
        <f>L533</f>
        <v>336504.46</v>
      </c>
      <c r="K541" s="87">
        <f>SUM(F541:J541)</f>
        <v>3799952.44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11610377.229999999</v>
      </c>
      <c r="G542" s="89">
        <f t="shared" si="41"/>
        <v>1318032.23</v>
      </c>
      <c r="H542" s="89">
        <f t="shared" si="41"/>
        <v>604824.01</v>
      </c>
      <c r="I542" s="89">
        <f t="shared" si="41"/>
        <v>21319.72</v>
      </c>
      <c r="J542" s="89">
        <f t="shared" si="41"/>
        <v>788775.14</v>
      </c>
      <c r="K542" s="89">
        <f t="shared" si="41"/>
        <v>14343328.33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1148003.8799999999</v>
      </c>
      <c r="G547" s="18">
        <v>390154.9</v>
      </c>
      <c r="H547" s="18">
        <v>110077.03</v>
      </c>
      <c r="I547" s="18">
        <v>2149.5100000000002</v>
      </c>
      <c r="J547" s="18">
        <v>0</v>
      </c>
      <c r="K547" s="18">
        <v>12161.67</v>
      </c>
      <c r="L547" s="88">
        <f>SUM(F547:K547)</f>
        <v>1662546.9899999998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v>94744.22</v>
      </c>
      <c r="G548" s="18">
        <v>31296.71</v>
      </c>
      <c r="H548" s="18">
        <v>52728.46</v>
      </c>
      <c r="I548" s="18">
        <v>2123.7399999999998</v>
      </c>
      <c r="J548" s="18">
        <v>0</v>
      </c>
      <c r="K548" s="18">
        <v>1301.23</v>
      </c>
      <c r="L548" s="88">
        <f>SUM(F548:K548)</f>
        <v>182194.36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>
        <v>150268.10999999999</v>
      </c>
      <c r="G549" s="18">
        <v>49637.86</v>
      </c>
      <c r="H549" s="18">
        <v>83629.429999999993</v>
      </c>
      <c r="I549" s="18">
        <v>3368.33</v>
      </c>
      <c r="J549" s="18">
        <v>0</v>
      </c>
      <c r="K549" s="18">
        <v>2063.79</v>
      </c>
      <c r="L549" s="88">
        <f>SUM(F549:K549)</f>
        <v>288967.51999999996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1393016.21</v>
      </c>
      <c r="G550" s="108">
        <f t="shared" si="42"/>
        <v>471089.47000000003</v>
      </c>
      <c r="H550" s="108">
        <f t="shared" si="42"/>
        <v>246434.91999999998</v>
      </c>
      <c r="I550" s="108">
        <f t="shared" si="42"/>
        <v>7641.58</v>
      </c>
      <c r="J550" s="108">
        <f t="shared" si="42"/>
        <v>0</v>
      </c>
      <c r="K550" s="108">
        <f t="shared" si="42"/>
        <v>15526.689999999999</v>
      </c>
      <c r="L550" s="89">
        <f t="shared" si="42"/>
        <v>2133708.8699999996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2779.32</v>
      </c>
      <c r="G552" s="18">
        <v>394.56</v>
      </c>
      <c r="H552" s="18">
        <v>4874.6499999999996</v>
      </c>
      <c r="I552" s="18">
        <v>5422.39</v>
      </c>
      <c r="J552" s="18">
        <v>829.96</v>
      </c>
      <c r="K552" s="18"/>
      <c r="L552" s="88">
        <f>SUM(F552:K552)</f>
        <v>14300.880000000001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2779.32</v>
      </c>
      <c r="G555" s="89">
        <f t="shared" si="43"/>
        <v>394.56</v>
      </c>
      <c r="H555" s="89">
        <f t="shared" si="43"/>
        <v>4874.6499999999996</v>
      </c>
      <c r="I555" s="89">
        <f t="shared" si="43"/>
        <v>5422.39</v>
      </c>
      <c r="J555" s="89">
        <f t="shared" si="43"/>
        <v>829.96</v>
      </c>
      <c r="K555" s="89">
        <f t="shared" si="43"/>
        <v>0</v>
      </c>
      <c r="L555" s="89">
        <f t="shared" si="43"/>
        <v>14300.880000000001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1395795.53</v>
      </c>
      <c r="G561" s="89">
        <f t="shared" ref="G561:L561" si="45">G550+G555+G560</f>
        <v>471484.03</v>
      </c>
      <c r="H561" s="89">
        <f t="shared" si="45"/>
        <v>251309.56999999998</v>
      </c>
      <c r="I561" s="89">
        <f t="shared" si="45"/>
        <v>13063.970000000001</v>
      </c>
      <c r="J561" s="89">
        <f t="shared" si="45"/>
        <v>829.96</v>
      </c>
      <c r="K561" s="89">
        <f t="shared" si="45"/>
        <v>15526.689999999999</v>
      </c>
      <c r="L561" s="89">
        <f t="shared" si="45"/>
        <v>2148009.7499999995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86237.06</v>
      </c>
      <c r="G569" s="18">
        <v>0</v>
      </c>
      <c r="H569" s="18">
        <v>153279.16</v>
      </c>
      <c r="I569" s="87">
        <f t="shared" si="46"/>
        <v>239516.22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163684.4</v>
      </c>
      <c r="G572" s="18">
        <v>476429.45</v>
      </c>
      <c r="H572" s="18">
        <v>792644.81</v>
      </c>
      <c r="I572" s="87">
        <f t="shared" si="46"/>
        <v>1432758.6600000001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>
        <v>20204.18</v>
      </c>
      <c r="H573" s="18"/>
      <c r="I573" s="87">
        <f t="shared" si="46"/>
        <v>20204.18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37977.79</v>
      </c>
      <c r="I574" s="87">
        <f t="shared" si="46"/>
        <v>37977.79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410785.15</v>
      </c>
      <c r="I581" s="18">
        <v>207252.94</v>
      </c>
      <c r="J581" s="18">
        <v>328711.44</v>
      </c>
      <c r="K581" s="104">
        <f t="shared" ref="K581:K587" si="47">SUM(H581:J581)</f>
        <v>946749.53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188998.26</v>
      </c>
      <c r="I582" s="18">
        <v>263272.42</v>
      </c>
      <c r="J582" s="18">
        <v>336504.46</v>
      </c>
      <c r="K582" s="104">
        <f t="shared" si="47"/>
        <v>788775.14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37800</v>
      </c>
      <c r="K583" s="104">
        <f t="shared" si="47"/>
        <v>37800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7980.02</v>
      </c>
      <c r="J584" s="18">
        <v>70448.95</v>
      </c>
      <c r="K584" s="104">
        <f t="shared" si="47"/>
        <v>78428.97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>
        <v>480</v>
      </c>
      <c r="J585" s="18">
        <v>5041.76</v>
      </c>
      <c r="K585" s="104">
        <f t="shared" si="47"/>
        <v>5521.76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599783.41</v>
      </c>
      <c r="I588" s="108">
        <f>SUM(I581:I587)</f>
        <v>478985.38</v>
      </c>
      <c r="J588" s="108">
        <f>SUM(J581:J587)</f>
        <v>778506.61</v>
      </c>
      <c r="K588" s="108">
        <f>SUM(K581:K587)</f>
        <v>1857275.4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130916.98</v>
      </c>
      <c r="I594" s="18">
        <v>56948.35</v>
      </c>
      <c r="J594" s="18">
        <f>226280.61-0.01</f>
        <v>226280.59999999998</v>
      </c>
      <c r="K594" s="104">
        <f>SUM(H594:J594)</f>
        <v>414145.92999999993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130916.98</v>
      </c>
      <c r="I595" s="108">
        <f>SUM(I592:I594)</f>
        <v>56948.35</v>
      </c>
      <c r="J595" s="108">
        <f>SUM(J592:J594)</f>
        <v>226280.59999999998</v>
      </c>
      <c r="K595" s="108">
        <f>SUM(K592:K594)</f>
        <v>414145.92999999993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14618.98</v>
      </c>
      <c r="G602" s="18">
        <v>2325.31</v>
      </c>
      <c r="H602" s="18"/>
      <c r="I602" s="18"/>
      <c r="J602" s="18"/>
      <c r="K602" s="18"/>
      <c r="L602" s="88">
        <f>SUM(F602:K602)</f>
        <v>16944.29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29201.599999999999</v>
      </c>
      <c r="G603" s="18">
        <v>4456.58</v>
      </c>
      <c r="H603" s="18"/>
      <c r="I603" s="18">
        <v>215.3</v>
      </c>
      <c r="J603" s="18"/>
      <c r="K603" s="18"/>
      <c r="L603" s="88">
        <f>SUM(F603:K603)</f>
        <v>33873.480000000003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43820.58</v>
      </c>
      <c r="G604" s="108">
        <f t="shared" si="48"/>
        <v>6781.8899999999994</v>
      </c>
      <c r="H604" s="108">
        <f t="shared" si="48"/>
        <v>0</v>
      </c>
      <c r="I604" s="108">
        <f t="shared" si="48"/>
        <v>215.3</v>
      </c>
      <c r="J604" s="108">
        <f t="shared" si="48"/>
        <v>0</v>
      </c>
      <c r="K604" s="108">
        <f t="shared" si="48"/>
        <v>0</v>
      </c>
      <c r="L604" s="89">
        <f t="shared" si="48"/>
        <v>50817.770000000004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0</v>
      </c>
      <c r="H607" s="109">
        <f>SUM(F44)</f>
        <v>0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314675.99999999994</v>
      </c>
      <c r="H608" s="109">
        <f>SUM(G44)</f>
        <v>314676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752788.7</v>
      </c>
      <c r="H609" s="109">
        <f>SUM(H44)</f>
        <v>752788.70000000007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6998.49</v>
      </c>
      <c r="H610" s="109">
        <f>SUM(I44)</f>
        <v>6998.49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0</v>
      </c>
      <c r="H611" s="109">
        <f>SUM(J44)</f>
        <v>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0</v>
      </c>
      <c r="H612" s="109">
        <f>F466</f>
        <v>0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314676</v>
      </c>
      <c r="H613" s="109">
        <f>G466</f>
        <v>314675.99999999977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47042.3</v>
      </c>
      <c r="H614" s="109">
        <f>H466</f>
        <v>47042.299999999814</v>
      </c>
      <c r="I614" s="121" t="s">
        <v>110</v>
      </c>
      <c r="J614" s="109">
        <f t="shared" si="49"/>
        <v>1.8917489796876907E-10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6998.49</v>
      </c>
      <c r="H615" s="109">
        <f>I466</f>
        <v>6998.4900000000007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0</v>
      </c>
      <c r="H616" s="109">
        <f>J466</f>
        <v>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54130948.420000002</v>
      </c>
      <c r="H617" s="104">
        <f>SUM(F458)</f>
        <v>54130948.420000002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1845404.06</v>
      </c>
      <c r="H618" s="104">
        <f>SUM(G458)</f>
        <v>1845404.0599999998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4960642.45</v>
      </c>
      <c r="H619" s="104">
        <f>SUM(H458)</f>
        <v>4960642.4499999993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3916.87</v>
      </c>
      <c r="H620" s="104">
        <f>SUM(I458)</f>
        <v>3916.87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53414743.700000003</v>
      </c>
      <c r="H622" s="104">
        <f>SUM(F462)</f>
        <v>53414743.700000003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4957591.6900000004</v>
      </c>
      <c r="H623" s="104">
        <f>SUM(H462)</f>
        <v>4957591.6899999995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832222.45000000007</v>
      </c>
      <c r="H624" s="104">
        <f>I361</f>
        <v>832222.45000000007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1820234.06</v>
      </c>
      <c r="H625" s="104">
        <f>SUM(G462)</f>
        <v>1820234.0599999998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287.95</v>
      </c>
      <c r="H626" s="104">
        <f>SUM(I462)</f>
        <v>287.95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0</v>
      </c>
      <c r="H632" s="104">
        <f>SUM(I451)</f>
        <v>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1857275.4</v>
      </c>
      <c r="H637" s="104">
        <f>L200+L218+L236</f>
        <v>1857275.4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414145.92999999993</v>
      </c>
      <c r="H638" s="104">
        <f>(J249+J330)-(J247+J328)</f>
        <v>414145.93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599783.41</v>
      </c>
      <c r="H639" s="104">
        <f>H588</f>
        <v>599783.41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478985.38</v>
      </c>
      <c r="H640" s="104">
        <f>I588</f>
        <v>478985.38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778506.61</v>
      </c>
      <c r="H641" s="104">
        <f>J588</f>
        <v>778506.61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26288514.789999999</v>
      </c>
      <c r="G650" s="19">
        <f>(L221+L301+L351)</f>
        <v>11738414.220000001</v>
      </c>
      <c r="H650" s="19">
        <f>(L239+L320+L352)</f>
        <v>18914232.349999998</v>
      </c>
      <c r="I650" s="19">
        <f>SUM(F650:H650)</f>
        <v>56941161.359999999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373050.35166862007</v>
      </c>
      <c r="G651" s="19">
        <f>(L351/IF(SUM(L350:L352)=0,1,SUM(L350:L352))*(SUM(G89:G102)))</f>
        <v>158811.45649207415</v>
      </c>
      <c r="H651" s="19">
        <f>(L352/IF(SUM(L350:L352)=0,1,SUM(L350:L352))*(SUM(G89:G102)))</f>
        <v>263433.40183930582</v>
      </c>
      <c r="I651" s="19">
        <f>SUM(F651:H651)</f>
        <v>795295.21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599783.41</v>
      </c>
      <c r="G652" s="19">
        <f>(L218+L298)-(J218+J298)</f>
        <v>478985.38</v>
      </c>
      <c r="H652" s="19">
        <f>(L236+L317)-(J236+J317)</f>
        <v>778506.61</v>
      </c>
      <c r="I652" s="19">
        <f>SUM(F652:H652)</f>
        <v>1857275.4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380838.44</v>
      </c>
      <c r="G653" s="200">
        <f>SUM(G565:G577)+SUM(I592:I594)+L602</f>
        <v>570526.27</v>
      </c>
      <c r="H653" s="200">
        <f>SUM(H565:H577)+SUM(J592:J594)+L603</f>
        <v>1244055.8400000001</v>
      </c>
      <c r="I653" s="19">
        <f>SUM(F653:H653)</f>
        <v>2195420.5499999998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24934842.588331379</v>
      </c>
      <c r="G654" s="19">
        <f>G650-SUM(G651:G653)</f>
        <v>10530091.113507926</v>
      </c>
      <c r="H654" s="19">
        <f>H650-SUM(H651:H653)</f>
        <v>16628236.498160692</v>
      </c>
      <c r="I654" s="19">
        <f>I650-SUM(I651:I653)</f>
        <v>52093170.200000003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1907.22</v>
      </c>
      <c r="G655" s="249">
        <v>962.24</v>
      </c>
      <c r="H655" s="249">
        <v>1525.22</v>
      </c>
      <c r="I655" s="19">
        <f>SUM(F655:H655)</f>
        <v>4394.68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13073.92</v>
      </c>
      <c r="G657" s="19">
        <f>ROUND(G654/G655,2)</f>
        <v>10943.31</v>
      </c>
      <c r="H657" s="19">
        <f>ROUND(H654/H655,2)</f>
        <v>10902.19</v>
      </c>
      <c r="I657" s="19">
        <f>ROUND(I654/I655,2)</f>
        <v>11853.69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-2.13</v>
      </c>
      <c r="I660" s="19">
        <f>SUM(F660:H660)</f>
        <v>-2.13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13073.92</v>
      </c>
      <c r="G662" s="19">
        <f>ROUND((G654+G659)/(G655+G660),2)</f>
        <v>10943.31</v>
      </c>
      <c r="H662" s="19">
        <f>ROUND((H654+H659)/(H655+H660),2)</f>
        <v>10917.44</v>
      </c>
      <c r="I662" s="19">
        <f>ROUND((I654+I659)/(I655+I660),2)</f>
        <v>11859.44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2623-25AD-46C6-B0FE-09986A471F0D}">
  <sheetPr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Rochester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14486173.33</v>
      </c>
      <c r="C9" s="230">
        <f>'DOE25'!G189+'DOE25'!G207+'DOE25'!G225+'DOE25'!G268+'DOE25'!G287+'DOE25'!G306</f>
        <v>5676820.540000001</v>
      </c>
    </row>
    <row r="10" spans="1:3" x14ac:dyDescent="0.2">
      <c r="A10" t="s">
        <v>810</v>
      </c>
      <c r="B10" s="241">
        <f>13275937.67+4090.21+130975.59+1173.25-6.85</f>
        <v>13412169.870000001</v>
      </c>
      <c r="C10" s="241">
        <f>4197230.33+11422.7+1054340.67+51310.07+11410.82</f>
        <v>5325714.5900000008</v>
      </c>
    </row>
    <row r="11" spans="1:3" x14ac:dyDescent="0.2">
      <c r="A11" t="s">
        <v>811</v>
      </c>
      <c r="B11" s="241">
        <f>503576.21+5285.28</f>
        <v>508861.49000000005</v>
      </c>
      <c r="C11" s="241">
        <f>159244.1+12.39+14992.87</f>
        <v>174249.36000000002</v>
      </c>
    </row>
    <row r="12" spans="1:3" x14ac:dyDescent="0.2">
      <c r="A12" t="s">
        <v>812</v>
      </c>
      <c r="B12" s="241">
        <f>563771.97+1370</f>
        <v>565141.97</v>
      </c>
      <c r="C12" s="241">
        <v>176856.59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14486173.330000002</v>
      </c>
      <c r="C13" s="232">
        <f>SUM(C10:C12)</f>
        <v>5676820.540000001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8840427.910000002</v>
      </c>
      <c r="C18" s="230">
        <f>'DOE25'!G190+'DOE25'!G208+'DOE25'!G226+'DOE25'!G269+'DOE25'!G288+'DOE25'!G307</f>
        <v>3257232.51</v>
      </c>
    </row>
    <row r="19" spans="1:3" x14ac:dyDescent="0.2">
      <c r="A19" t="s">
        <v>810</v>
      </c>
      <c r="B19" s="241">
        <f>4838956.24+225199.83+1046176.66+2235.48+0.08</f>
        <v>6112568.290000001</v>
      </c>
      <c r="C19" s="241">
        <f>1731058.09+413037.08+407646.59-28378.22</f>
        <v>2523363.5399999996</v>
      </c>
    </row>
    <row r="20" spans="1:3" x14ac:dyDescent="0.2">
      <c r="A20" t="s">
        <v>811</v>
      </c>
      <c r="B20" s="241">
        <f>1877965.07+198789.01+187527.12+543.84+30422.25+4800.65</f>
        <v>2300047.94</v>
      </c>
      <c r="C20" s="241">
        <f>651370.6+49770.78</f>
        <v>701141.38</v>
      </c>
    </row>
    <row r="21" spans="1:3" x14ac:dyDescent="0.2">
      <c r="A21" t="s">
        <v>812</v>
      </c>
      <c r="B21" s="241">
        <f>14999.85+29106.05+50781.43+7046.96+1483.8+3119.78+285891.98+650.58+34731.25</f>
        <v>427811.68</v>
      </c>
      <c r="C21" s="241">
        <v>32727.59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8840427.9100000001</v>
      </c>
      <c r="C22" s="232">
        <f>SUM(C19:C21)</f>
        <v>3257232.5099999993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1280726.3500000001</v>
      </c>
      <c r="C27" s="235">
        <f>'DOE25'!G191+'DOE25'!G209+'DOE25'!G227+'DOE25'!G270+'DOE25'!G289+'DOE25'!G308</f>
        <v>563604.10999999987</v>
      </c>
    </row>
    <row r="28" spans="1:3" x14ac:dyDescent="0.2">
      <c r="A28" t="s">
        <v>810</v>
      </c>
      <c r="B28" s="241">
        <f>1187882.96+5250</f>
        <v>1193132.96</v>
      </c>
      <c r="C28" s="241">
        <f>822.67+101460.58+6477+451693.22-2138.89-19425.47</f>
        <v>538889.11</v>
      </c>
    </row>
    <row r="29" spans="1:3" x14ac:dyDescent="0.2">
      <c r="A29" t="s">
        <v>811</v>
      </c>
      <c r="B29" s="241">
        <v>59634.06</v>
      </c>
      <c r="C29" s="241">
        <v>22576.11</v>
      </c>
    </row>
    <row r="30" spans="1:3" x14ac:dyDescent="0.2">
      <c r="A30" t="s">
        <v>812</v>
      </c>
      <c r="B30" s="241">
        <v>27959.33</v>
      </c>
      <c r="C30" s="241">
        <v>2138.89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1280726.3500000001</v>
      </c>
      <c r="C31" s="232">
        <f>SUM(C28:C30)</f>
        <v>563604.11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357002.85000000003</v>
      </c>
      <c r="C36" s="236">
        <f>'DOE25'!G192+'DOE25'!G210+'DOE25'!G228+'DOE25'!G271+'DOE25'!G290+'DOE25'!G309</f>
        <v>69510.86</v>
      </c>
    </row>
    <row r="37" spans="1:3" x14ac:dyDescent="0.2">
      <c r="A37" t="s">
        <v>810</v>
      </c>
      <c r="B37" s="241">
        <f>60506.86+103403.83+128162.2+43655.78</f>
        <v>335728.67000000004</v>
      </c>
      <c r="C37" s="241">
        <f>5484.34+5060.75+326+51612.99+6781.89-225.12-195.12</f>
        <v>68845.73000000001</v>
      </c>
    </row>
    <row r="38" spans="1:3" x14ac:dyDescent="0.2">
      <c r="A38" t="s">
        <v>811</v>
      </c>
      <c r="B38" s="241">
        <v>164.8</v>
      </c>
      <c r="C38" s="241">
        <f>244.89+195.12+225.12</f>
        <v>665.13</v>
      </c>
    </row>
    <row r="39" spans="1:3" x14ac:dyDescent="0.2">
      <c r="A39" t="s">
        <v>812</v>
      </c>
      <c r="B39" s="241">
        <v>21109.38</v>
      </c>
      <c r="C39" s="241">
        <v>0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357002.85000000003</v>
      </c>
      <c r="C40" s="232">
        <f>SUM(C37:C39)</f>
        <v>69510.860000000015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2D20-534E-4A2B-83DF-143C1353DCBF}">
  <sheetPr>
    <tabColor indexed="11"/>
  </sheetPr>
  <dimension ref="A1:I51"/>
  <sheetViews>
    <sheetView workbookViewId="0">
      <pane ySplit="4" topLeftCell="A5" activePane="bottomLeft" state="frozen"/>
      <selection pane="bottomLeft" activeCell="A5" sqref="A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Rochester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35475683.469999999</v>
      </c>
      <c r="D5" s="20">
        <f>SUM('DOE25'!L189:L192)+SUM('DOE25'!L207:L210)+SUM('DOE25'!L225:L228)-F5-G5</f>
        <v>35331072.609999999</v>
      </c>
      <c r="E5" s="244"/>
      <c r="F5" s="256">
        <f>SUM('DOE25'!J189:J192)+SUM('DOE25'!J207:J210)+SUM('DOE25'!J225:J228)</f>
        <v>89419.87999999999</v>
      </c>
      <c r="G5" s="53">
        <f>SUM('DOE25'!K189:K192)+SUM('DOE25'!K207:K210)+SUM('DOE25'!K225:K228)</f>
        <v>55190.979999999996</v>
      </c>
      <c r="H5" s="260"/>
    </row>
    <row r="6" spans="1:9" x14ac:dyDescent="0.2">
      <c r="A6" s="32">
        <v>2100</v>
      </c>
      <c r="B6" t="s">
        <v>832</v>
      </c>
      <c r="C6" s="246">
        <f t="shared" si="0"/>
        <v>2044097.68</v>
      </c>
      <c r="D6" s="20">
        <f>'DOE25'!L194+'DOE25'!L212+'DOE25'!L230-F6-G6</f>
        <v>2040021.75</v>
      </c>
      <c r="E6" s="244"/>
      <c r="F6" s="256">
        <f>'DOE25'!J194+'DOE25'!J212+'DOE25'!J230</f>
        <v>3580.9300000000003</v>
      </c>
      <c r="G6" s="53">
        <f>'DOE25'!K194+'DOE25'!K212+'DOE25'!K230</f>
        <v>495</v>
      </c>
      <c r="H6" s="260"/>
    </row>
    <row r="7" spans="1:9" x14ac:dyDescent="0.2">
      <c r="A7" s="32">
        <v>2200</v>
      </c>
      <c r="B7" t="s">
        <v>865</v>
      </c>
      <c r="C7" s="246">
        <f t="shared" si="0"/>
        <v>1710096.75</v>
      </c>
      <c r="D7" s="20">
        <f>'DOE25'!L195+'DOE25'!L213+'DOE25'!L231-F7-G7</f>
        <v>1633834.06</v>
      </c>
      <c r="E7" s="244"/>
      <c r="F7" s="256">
        <f>'DOE25'!J195+'DOE25'!J213+'DOE25'!J231</f>
        <v>76104.740000000005</v>
      </c>
      <c r="G7" s="53">
        <f>'DOE25'!K195+'DOE25'!K213+'DOE25'!K231</f>
        <v>157.94999999999999</v>
      </c>
      <c r="H7" s="260"/>
    </row>
    <row r="8" spans="1:9" x14ac:dyDescent="0.2">
      <c r="A8" s="32">
        <v>2300</v>
      </c>
      <c r="B8" t="s">
        <v>833</v>
      </c>
      <c r="C8" s="246">
        <f t="shared" si="0"/>
        <v>1523331.3699999999</v>
      </c>
      <c r="D8" s="244"/>
      <c r="E8" s="20">
        <f>'DOE25'!L196+'DOE25'!L214+'DOE25'!L232-F8-G8-D9-D11</f>
        <v>1473233.04</v>
      </c>
      <c r="F8" s="256">
        <f>'DOE25'!J196+'DOE25'!J214+'DOE25'!J232</f>
        <v>28131.199999999997</v>
      </c>
      <c r="G8" s="53">
        <f>'DOE25'!K196+'DOE25'!K214+'DOE25'!K232</f>
        <v>21967.129999999997</v>
      </c>
      <c r="H8" s="260"/>
    </row>
    <row r="9" spans="1:9" x14ac:dyDescent="0.2">
      <c r="A9" s="32">
        <v>2310</v>
      </c>
      <c r="B9" t="s">
        <v>849</v>
      </c>
      <c r="C9" s="246">
        <f t="shared" si="0"/>
        <v>153573.76000000001</v>
      </c>
      <c r="D9" s="245">
        <v>153573.76000000001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5190</v>
      </c>
      <c r="D10" s="244"/>
      <c r="E10" s="245">
        <v>5190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238468.8</v>
      </c>
      <c r="D11" s="245">
        <v>238468.8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2548883.77</v>
      </c>
      <c r="D12" s="20">
        <f>'DOE25'!L197+'DOE25'!L215+'DOE25'!L233-F12-G12</f>
        <v>2525863.7200000002</v>
      </c>
      <c r="E12" s="244"/>
      <c r="F12" s="256">
        <f>'DOE25'!J197+'DOE25'!J215+'DOE25'!J233</f>
        <v>7897.51</v>
      </c>
      <c r="G12" s="53">
        <f>'DOE25'!K197+'DOE25'!K215+'DOE25'!K233</f>
        <v>15122.54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442790.24000000005</v>
      </c>
      <c r="D13" s="244"/>
      <c r="E13" s="20">
        <f>'DOE25'!L198+'DOE25'!L216+'DOE25'!L234-F13-G13</f>
        <v>442040.24000000005</v>
      </c>
      <c r="F13" s="256">
        <f>'DOE25'!J198+'DOE25'!J216+'DOE25'!J234</f>
        <v>0</v>
      </c>
      <c r="G13" s="53">
        <f>'DOE25'!K198+'DOE25'!K216+'DOE25'!K234</f>
        <v>750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4178395.22</v>
      </c>
      <c r="D14" s="20">
        <f>'DOE25'!L199+'DOE25'!L217+'DOE25'!L235-F14-G14</f>
        <v>4156642.6900000004</v>
      </c>
      <c r="E14" s="244"/>
      <c r="F14" s="256">
        <f>'DOE25'!J199+'DOE25'!J217+'DOE25'!J235</f>
        <v>21452.530000000002</v>
      </c>
      <c r="G14" s="53">
        <f>'DOE25'!K199+'DOE25'!K217+'DOE25'!K235</f>
        <v>300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1857275.4</v>
      </c>
      <c r="D15" s="20">
        <f>'DOE25'!L200+'DOE25'!L218+'DOE25'!L236-F15-G15</f>
        <v>1857275.4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4257.76</v>
      </c>
      <c r="D16" s="244"/>
      <c r="E16" s="20">
        <f>'DOE25'!L201+'DOE25'!L219+'DOE25'!L237-F16-G16</f>
        <v>4257.76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12820.84</v>
      </c>
      <c r="D17" s="20">
        <f>'DOE25'!L243-F17-G17</f>
        <v>12820.84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3225068.6399999997</v>
      </c>
      <c r="D25" s="244"/>
      <c r="E25" s="244"/>
      <c r="F25" s="259"/>
      <c r="G25" s="257"/>
      <c r="H25" s="258">
        <f>'DOE25'!L252+'DOE25'!L253+'DOE25'!L333+'DOE25'!L334</f>
        <v>3225068.6399999997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1049888</v>
      </c>
      <c r="D29" s="20">
        <f>'DOE25'!L350+'DOE25'!L351+'DOE25'!L352-'DOE25'!I359-F29-G29</f>
        <v>1034263.04</v>
      </c>
      <c r="E29" s="244"/>
      <c r="F29" s="256">
        <f>'DOE25'!J350+'DOE25'!J351+'DOE25'!J352</f>
        <v>14686.32</v>
      </c>
      <c r="G29" s="53">
        <f>'DOE25'!K350+'DOE25'!K351+'DOE25'!K352</f>
        <v>938.64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4957591.6900000004</v>
      </c>
      <c r="D31" s="20">
        <f>'DOE25'!L282+'DOE25'!L301+'DOE25'!L320+'DOE25'!L325+'DOE25'!L326+'DOE25'!L327-F31-G31</f>
        <v>4667802.1800000006</v>
      </c>
      <c r="E31" s="244"/>
      <c r="F31" s="256">
        <f>'DOE25'!J282+'DOE25'!J301+'DOE25'!J320+'DOE25'!J325+'DOE25'!J326+'DOE25'!J327</f>
        <v>187559.14</v>
      </c>
      <c r="G31" s="53">
        <f>'DOE25'!K282+'DOE25'!K301+'DOE25'!K320+'DOE25'!K325+'DOE25'!K326+'DOE25'!K327</f>
        <v>102230.37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53651638.849999994</v>
      </c>
      <c r="E33" s="247">
        <f>SUM(E5:E31)</f>
        <v>1924721.04</v>
      </c>
      <c r="F33" s="247">
        <f>SUM(F5:F31)</f>
        <v>428832.25</v>
      </c>
      <c r="G33" s="247">
        <f>SUM(G5:G31)</f>
        <v>197152.61</v>
      </c>
      <c r="H33" s="247">
        <f>SUM(H5:H31)</f>
        <v>3225068.6399999997</v>
      </c>
    </row>
    <row r="35" spans="2:8" ht="12" thickBot="1" x14ac:dyDescent="0.25">
      <c r="B35" s="254" t="s">
        <v>878</v>
      </c>
      <c r="D35" s="255">
        <f>E33</f>
        <v>1924721.04</v>
      </c>
      <c r="E35" s="250"/>
    </row>
    <row r="36" spans="2:8" ht="12" thickTop="1" x14ac:dyDescent="0.2">
      <c r="B36" t="s">
        <v>846</v>
      </c>
      <c r="D36" s="20">
        <f>D33</f>
        <v>53651638.849999994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8250-3FCF-47E2-8675-9B83ECE7A4F1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3" sqref="A3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Rochester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0</v>
      </c>
      <c r="D9" s="95">
        <f>'DOE25'!G9</f>
        <v>0</v>
      </c>
      <c r="E9" s="95">
        <f>'DOE25'!H9</f>
        <v>0</v>
      </c>
      <c r="F9" s="95">
        <f>'DOE25'!I9</f>
        <v>6998.49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217305.68999999997</v>
      </c>
      <c r="E12" s="95">
        <f>'DOE25'!H12</f>
        <v>752788.7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83452.38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13917.93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0</v>
      </c>
      <c r="D19" s="41">
        <f>SUM(D9:D18)</f>
        <v>314675.99999999994</v>
      </c>
      <c r="E19" s="41">
        <f>SUM(E9:E18)</f>
        <v>752788.7</v>
      </c>
      <c r="F19" s="41">
        <f>SUM(F9:F18)</f>
        <v>6998.49</v>
      </c>
      <c r="G19" s="41">
        <f>SUM(G9:G18)</f>
        <v>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705746.4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0</v>
      </c>
      <c r="D32" s="41">
        <f>SUM(D22:D31)</f>
        <v>0</v>
      </c>
      <c r="E32" s="41">
        <f>SUM(E22:E31)</f>
        <v>705746.4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13917.93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5062.32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300758.07</v>
      </c>
      <c r="E40" s="95">
        <f>'DOE25'!H41</f>
        <v>47042.3</v>
      </c>
      <c r="F40" s="95">
        <f>'DOE25'!I41</f>
        <v>1936.17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0</v>
      </c>
      <c r="D42" s="41">
        <f>SUM(D34:D41)</f>
        <v>314676</v>
      </c>
      <c r="E42" s="41">
        <f>SUM(E34:E41)</f>
        <v>47042.3</v>
      </c>
      <c r="F42" s="41">
        <f>SUM(F34:F41)</f>
        <v>6998.49</v>
      </c>
      <c r="G42" s="41">
        <f>SUM(G34:G41)</f>
        <v>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0</v>
      </c>
      <c r="D43" s="41">
        <f>D42+D32</f>
        <v>314676</v>
      </c>
      <c r="E43" s="41">
        <f>E42+E32</f>
        <v>752788.70000000007</v>
      </c>
      <c r="F43" s="41">
        <f>F42+F32</f>
        <v>6998.49</v>
      </c>
      <c r="G43" s="41">
        <f>G42+G32</f>
        <v>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21474000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2475657.1800000002</v>
      </c>
      <c r="D49" s="24" t="s">
        <v>312</v>
      </c>
      <c r="E49" s="95">
        <f>'DOE25'!H71</f>
        <v>22480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770166.5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228170.94999999998</v>
      </c>
      <c r="D53" s="95">
        <f>SUM('DOE25'!G90:G102)</f>
        <v>25128.71</v>
      </c>
      <c r="E53" s="95">
        <f>SUM('DOE25'!H90:H102)</f>
        <v>0</v>
      </c>
      <c r="F53" s="95">
        <f>SUM('DOE25'!I90:I102)</f>
        <v>3916.87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2703828.1300000004</v>
      </c>
      <c r="D54" s="130">
        <f>SUM(D49:D53)</f>
        <v>795295.21</v>
      </c>
      <c r="E54" s="130">
        <f>SUM(E49:E53)</f>
        <v>22480</v>
      </c>
      <c r="F54" s="130">
        <f>SUM(F49:F53)</f>
        <v>3916.87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24177828.129999999</v>
      </c>
      <c r="D55" s="22">
        <f>D48+D54</f>
        <v>795295.21</v>
      </c>
      <c r="E55" s="22">
        <f>E48+E54</f>
        <v>22480</v>
      </c>
      <c r="F55" s="22">
        <f>F48+F54</f>
        <v>3916.87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21672069.18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5165725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786039.82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27623834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1024228.14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396396.92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81402.39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19265.45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1502027.45</v>
      </c>
      <c r="D70" s="130">
        <f>SUM(D64:D69)</f>
        <v>19265.45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29125861.449999999</v>
      </c>
      <c r="D73" s="130">
        <f>SUM(D71:D72)+D70+D62</f>
        <v>19265.45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156999.74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581274.96</v>
      </c>
      <c r="D80" s="95">
        <f>SUM('DOE25'!G145:G153)</f>
        <v>1030843.4</v>
      </c>
      <c r="E80" s="95">
        <f>SUM('DOE25'!H145:H153)</f>
        <v>4938162.45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88984.14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827258.84</v>
      </c>
      <c r="D83" s="131">
        <f>SUM(D77:D82)</f>
        <v>1030843.4</v>
      </c>
      <c r="E83" s="131">
        <f>SUM(E77:E82)</f>
        <v>4938162.45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54130948.420000002</v>
      </c>
      <c r="D96" s="86">
        <f>D55+D73+D83+D95</f>
        <v>1845404.06</v>
      </c>
      <c r="E96" s="86">
        <f>E55+E73+E83+E95</f>
        <v>4960642.45</v>
      </c>
      <c r="F96" s="86">
        <f>F55+F73+F83+F95</f>
        <v>3916.87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20727536.170000002</v>
      </c>
      <c r="D101" s="24" t="s">
        <v>312</v>
      </c>
      <c r="E101" s="95">
        <f>('DOE25'!L268)+('DOE25'!L287)+('DOE25'!L306)</f>
        <v>320414.33999999997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12188269.369999997</v>
      </c>
      <c r="D102" s="24" t="s">
        <v>312</v>
      </c>
      <c r="E102" s="95">
        <f>('DOE25'!L269)+('DOE25'!L288)+('DOE25'!L307)</f>
        <v>2470845.4700000002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1960853.62</v>
      </c>
      <c r="D103" s="24" t="s">
        <v>312</v>
      </c>
      <c r="E103" s="95">
        <f>('DOE25'!L270)+('DOE25'!L289)+('DOE25'!L308)</f>
        <v>161133.02000000002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599024.30999999994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12820.84</v>
      </c>
      <c r="D106" s="24" t="s">
        <v>312</v>
      </c>
      <c r="E106" s="95">
        <f>+ SUM('DOE25'!L325:L327)</f>
        <v>13518.61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35488504.310000002</v>
      </c>
      <c r="D107" s="86">
        <f>SUM(D101:D106)</f>
        <v>0</v>
      </c>
      <c r="E107" s="86">
        <f>SUM(E101:E106)</f>
        <v>2965911.44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2044097.68</v>
      </c>
      <c r="D110" s="24" t="s">
        <v>312</v>
      </c>
      <c r="E110" s="95">
        <f>+('DOE25'!L273)+('DOE25'!L292)+('DOE25'!L311)</f>
        <v>1218245.5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1710096.75</v>
      </c>
      <c r="D111" s="24" t="s">
        <v>312</v>
      </c>
      <c r="E111" s="95">
        <f>+('DOE25'!L274)+('DOE25'!L293)+('DOE25'!L312)</f>
        <v>243608.65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1915373.93</v>
      </c>
      <c r="D112" s="24" t="s">
        <v>312</v>
      </c>
      <c r="E112" s="95">
        <f>+('DOE25'!L275)+('DOE25'!L294)+('DOE25'!L313)</f>
        <v>385974.44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2548883.77</v>
      </c>
      <c r="D113" s="24" t="s">
        <v>312</v>
      </c>
      <c r="E113" s="95">
        <f>+('DOE25'!L276)+('DOE25'!L295)+('DOE25'!L314)</f>
        <v>44005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442790.24000000005</v>
      </c>
      <c r="D114" s="24" t="s">
        <v>312</v>
      </c>
      <c r="E114" s="95">
        <f>+('DOE25'!L277)+('DOE25'!L296)+('DOE25'!L315)</f>
        <v>95960.21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4178395.22</v>
      </c>
      <c r="D115" s="24" t="s">
        <v>312</v>
      </c>
      <c r="E115" s="95">
        <f>+('DOE25'!L278)+('DOE25'!L297)+('DOE25'!L316)</f>
        <v>3255.26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1857275.4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4257.76</v>
      </c>
      <c r="D117" s="24" t="s">
        <v>312</v>
      </c>
      <c r="E117" s="95">
        <f>+('DOE25'!L280)+('DOE25'!L299)+('DOE25'!L318)</f>
        <v>631.18999999999994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1820234.06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14701170.75</v>
      </c>
      <c r="D120" s="86">
        <f>SUM(D110:D119)</f>
        <v>1820234.06</v>
      </c>
      <c r="E120" s="86">
        <f>SUM(E110:E119)</f>
        <v>1991680.2499999998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287.95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2603009.8199999998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622058.81999999995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3225068.6399999997</v>
      </c>
      <c r="D136" s="141">
        <f>SUM(D122:D135)</f>
        <v>0</v>
      </c>
      <c r="E136" s="141">
        <f>SUM(E122:E135)</f>
        <v>0</v>
      </c>
      <c r="F136" s="141">
        <f>SUM(F122:F135)</f>
        <v>287.95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53414743.700000003</v>
      </c>
      <c r="D137" s="86">
        <f>(D107+D120+D136)</f>
        <v>1820234.06</v>
      </c>
      <c r="E137" s="86">
        <f>(E107+E120+E136)</f>
        <v>4957591.6899999995</v>
      </c>
      <c r="F137" s="86">
        <f>(F107+F120+F136)</f>
        <v>287.95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 t="str">
        <f>'DOE25'!F480</f>
        <v>VARIES</v>
      </c>
      <c r="C143" s="153">
        <f>'DOE25'!G480</f>
        <v>20</v>
      </c>
      <c r="D143" s="153">
        <f>'DOE25'!H480</f>
        <v>20</v>
      </c>
      <c r="E143" s="153">
        <f>'DOE25'!I480</f>
        <v>20</v>
      </c>
      <c r="F143" s="153" t="str">
        <f>'DOE25'!J480</f>
        <v>VARIES</v>
      </c>
      <c r="G143" s="24" t="s">
        <v>312</v>
      </c>
    </row>
    <row r="144" spans="1:9" x14ac:dyDescent="0.2">
      <c r="A144" s="136" t="s">
        <v>28</v>
      </c>
      <c r="B144" s="152" t="str">
        <f>'DOE25'!F481</f>
        <v>VARIES</v>
      </c>
      <c r="C144" s="152" t="str">
        <f>'DOE25'!G481</f>
        <v>07/01/01</v>
      </c>
      <c r="D144" s="152" t="str">
        <f>'DOE25'!H481</f>
        <v>07/01/03</v>
      </c>
      <c r="E144" s="152" t="str">
        <f>'DOE25'!I481</f>
        <v>07/01/05</v>
      </c>
      <c r="F144" s="152" t="str">
        <f>'DOE25'!J481</f>
        <v>VARIES</v>
      </c>
      <c r="G144" s="24" t="s">
        <v>312</v>
      </c>
    </row>
    <row r="145" spans="1:7" x14ac:dyDescent="0.2">
      <c r="A145" s="136" t="s">
        <v>29</v>
      </c>
      <c r="B145" s="152" t="str">
        <f>'DOE25'!F482</f>
        <v>PRIOR TO 2020</v>
      </c>
      <c r="C145" s="152" t="str">
        <f>'DOE25'!G482</f>
        <v>07/01/21</v>
      </c>
      <c r="D145" s="152" t="str">
        <f>'DOE25'!H482</f>
        <v>07/01/23</v>
      </c>
      <c r="E145" s="152" t="str">
        <f>'DOE25'!I482</f>
        <v>07/01/25</v>
      </c>
      <c r="F145" s="152" t="str">
        <f>'DOE25'!J482</f>
        <v>BEYOND 2027</v>
      </c>
      <c r="G145" s="24" t="s">
        <v>312</v>
      </c>
    </row>
    <row r="146" spans="1:7" x14ac:dyDescent="0.2">
      <c r="A146" s="136" t="s">
        <v>30</v>
      </c>
      <c r="B146" s="137" t="str">
        <f>'DOE25'!F483</f>
        <v>VARIES</v>
      </c>
      <c r="C146" s="137">
        <f>'DOE25'!G483</f>
        <v>4704717</v>
      </c>
      <c r="D146" s="137">
        <f>'DOE25'!H483</f>
        <v>3237000</v>
      </c>
      <c r="E146" s="137">
        <f>'DOE25'!I483</f>
        <v>1378525</v>
      </c>
      <c r="F146" s="137">
        <f>'DOE25'!J483</f>
        <v>1992991</v>
      </c>
      <c r="G146" s="24" t="s">
        <v>312</v>
      </c>
    </row>
    <row r="147" spans="1:7" x14ac:dyDescent="0.2">
      <c r="A147" s="136" t="s">
        <v>31</v>
      </c>
      <c r="B147" s="137" t="str">
        <f>'DOE25'!F484</f>
        <v>VARIES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8262342</v>
      </c>
      <c r="C148" s="137">
        <f>'DOE25'!G485</f>
        <v>2162913</v>
      </c>
      <c r="D148" s="137">
        <f>'DOE25'!H485</f>
        <v>2082000</v>
      </c>
      <c r="E148" s="137">
        <f>'DOE25'!I485</f>
        <v>1030000</v>
      </c>
      <c r="F148" s="137">
        <f>'DOE25'!J485</f>
        <v>2435495</v>
      </c>
      <c r="G148" s="138">
        <f>SUM(B148:F148)</f>
        <v>15972750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1995124</v>
      </c>
      <c r="C150" s="137">
        <f>'DOE25'!G487</f>
        <v>237536</v>
      </c>
      <c r="D150" s="137">
        <f>'DOE25'!H487</f>
        <v>165000</v>
      </c>
      <c r="E150" s="137">
        <f>'DOE25'!I487</f>
        <v>70000</v>
      </c>
      <c r="F150" s="137">
        <f>'DOE25'!J487</f>
        <v>135351</v>
      </c>
      <c r="G150" s="138">
        <f t="shared" si="0"/>
        <v>2603011</v>
      </c>
    </row>
    <row r="151" spans="1:7" x14ac:dyDescent="0.2">
      <c r="A151" s="22" t="s">
        <v>35</v>
      </c>
      <c r="B151" s="137">
        <f>'DOE25'!F488</f>
        <v>6267218</v>
      </c>
      <c r="C151" s="137">
        <f>'DOE25'!G488</f>
        <v>1925377</v>
      </c>
      <c r="D151" s="137">
        <f>'DOE25'!H488</f>
        <v>1917000</v>
      </c>
      <c r="E151" s="137">
        <f>'DOE25'!I488</f>
        <v>960000</v>
      </c>
      <c r="F151" s="137">
        <f>'DOE25'!J488</f>
        <v>2300144</v>
      </c>
      <c r="G151" s="138">
        <f t="shared" si="0"/>
        <v>13369739</v>
      </c>
    </row>
    <row r="152" spans="1:7" x14ac:dyDescent="0.2">
      <c r="A152" s="22" t="s">
        <v>36</v>
      </c>
      <c r="B152" s="137">
        <f>'DOE25'!F489</f>
        <v>841847</v>
      </c>
      <c r="C152" s="137">
        <f>'DOE25'!G489</f>
        <v>182978</v>
      </c>
      <c r="D152" s="137">
        <f>'DOE25'!H489</f>
        <v>521202</v>
      </c>
      <c r="E152" s="137">
        <f>'DOE25'!I489</f>
        <v>307013</v>
      </c>
      <c r="F152" s="137">
        <f>'DOE25'!J489</f>
        <v>856193</v>
      </c>
      <c r="G152" s="138">
        <f t="shared" si="0"/>
        <v>2709233</v>
      </c>
    </row>
    <row r="153" spans="1:7" x14ac:dyDescent="0.2">
      <c r="A153" s="22" t="s">
        <v>37</v>
      </c>
      <c r="B153" s="137">
        <f>'DOE25'!F490</f>
        <v>7109065</v>
      </c>
      <c r="C153" s="137">
        <f>'DOE25'!G490</f>
        <v>2108355</v>
      </c>
      <c r="D153" s="137">
        <f>'DOE25'!H490</f>
        <v>2438202</v>
      </c>
      <c r="E153" s="137">
        <f>'DOE25'!I490</f>
        <v>1267013</v>
      </c>
      <c r="F153" s="137">
        <f>'DOE25'!J490</f>
        <v>3156337</v>
      </c>
      <c r="G153" s="138">
        <f t="shared" si="0"/>
        <v>16078972</v>
      </c>
    </row>
    <row r="154" spans="1:7" x14ac:dyDescent="0.2">
      <c r="A154" s="22" t="s">
        <v>38</v>
      </c>
      <c r="B154" s="137">
        <f>'DOE25'!F491</f>
        <v>1180460</v>
      </c>
      <c r="C154" s="137">
        <f>'DOE25'!G491</f>
        <v>199165</v>
      </c>
      <c r="D154" s="137">
        <f>'DOE25'!H491</f>
        <v>165000</v>
      </c>
      <c r="E154" s="137">
        <f>'DOE25'!I491</f>
        <v>70000</v>
      </c>
      <c r="F154" s="137">
        <f>'DOE25'!J491</f>
        <v>134293</v>
      </c>
      <c r="G154" s="138">
        <f t="shared" si="0"/>
        <v>1748918</v>
      </c>
    </row>
    <row r="155" spans="1:7" x14ac:dyDescent="0.2">
      <c r="A155" s="22" t="s">
        <v>39</v>
      </c>
      <c r="B155" s="137">
        <f>'DOE25'!F492</f>
        <v>261046</v>
      </c>
      <c r="C155" s="137">
        <f>'DOE25'!G492</f>
        <v>35623</v>
      </c>
      <c r="D155" s="137">
        <f>'DOE25'!H492</f>
        <v>82950</v>
      </c>
      <c r="E155" s="137">
        <f>'DOE25'!I492</f>
        <v>41313</v>
      </c>
      <c r="F155" s="137">
        <f>'DOE25'!J492</f>
        <v>89461</v>
      </c>
      <c r="G155" s="138">
        <f t="shared" si="0"/>
        <v>510393</v>
      </c>
    </row>
    <row r="156" spans="1:7" x14ac:dyDescent="0.2">
      <c r="A156" s="22" t="s">
        <v>269</v>
      </c>
      <c r="B156" s="137">
        <f>'DOE25'!F493</f>
        <v>1441506</v>
      </c>
      <c r="C156" s="137">
        <f>'DOE25'!G493</f>
        <v>234788</v>
      </c>
      <c r="D156" s="137">
        <f>'DOE25'!H493</f>
        <v>247950</v>
      </c>
      <c r="E156" s="137">
        <f>'DOE25'!I493</f>
        <v>111313</v>
      </c>
      <c r="F156" s="137">
        <f>'DOE25'!J493</f>
        <v>223754</v>
      </c>
      <c r="G156" s="138">
        <f t="shared" si="0"/>
        <v>2259311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0668-6669-4C14-AF71-439959A15BD0}">
  <sheetPr codeName="Sheet3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Rochester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13074</v>
      </c>
    </row>
    <row r="5" spans="1:4" x14ac:dyDescent="0.2">
      <c r="B5" t="s">
        <v>735</v>
      </c>
      <c r="C5" s="179">
        <f>IF('DOE25'!G655+'DOE25'!G660=0,0,ROUND('DOE25'!G662,0))</f>
        <v>10943</v>
      </c>
    </row>
    <row r="6" spans="1:4" x14ac:dyDescent="0.2">
      <c r="B6" t="s">
        <v>62</v>
      </c>
      <c r="C6" s="179">
        <f>IF('DOE25'!H655+'DOE25'!H660=0,0,ROUND('DOE25'!H662,0))</f>
        <v>10917</v>
      </c>
    </row>
    <row r="7" spans="1:4" x14ac:dyDescent="0.2">
      <c r="B7" t="s">
        <v>736</v>
      </c>
      <c r="C7" s="179">
        <f>IF('DOE25'!I655+'DOE25'!I660=0,0,ROUND('DOE25'!I662,0))</f>
        <v>11859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21047951</v>
      </c>
      <c r="D10" s="182">
        <f>ROUND((C10/$C$28)*100,1)</f>
        <v>37.1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14659115</v>
      </c>
      <c r="D11" s="182">
        <f>ROUND((C11/$C$28)*100,1)</f>
        <v>25.8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2121987</v>
      </c>
      <c r="D12" s="182">
        <f>ROUND((C12/$C$28)*100,1)</f>
        <v>3.7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599024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3262343</v>
      </c>
      <c r="D15" s="182">
        <f t="shared" ref="D15:D27" si="0">ROUND((C15/$C$28)*100,1)</f>
        <v>5.7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1953705</v>
      </c>
      <c r="D16" s="182">
        <f t="shared" si="0"/>
        <v>3.4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2306237</v>
      </c>
      <c r="D17" s="182">
        <f t="shared" si="0"/>
        <v>4.0999999999999996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2592889</v>
      </c>
      <c r="D18" s="182">
        <f t="shared" si="0"/>
        <v>4.5999999999999996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538750</v>
      </c>
      <c r="D19" s="182">
        <f t="shared" si="0"/>
        <v>0.9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4181650</v>
      </c>
      <c r="D20" s="182">
        <f t="shared" si="0"/>
        <v>7.4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1857275</v>
      </c>
      <c r="D21" s="182">
        <f t="shared" si="0"/>
        <v>3.3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26339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622059</v>
      </c>
      <c r="D25" s="182">
        <f t="shared" si="0"/>
        <v>1.1000000000000001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1024938.79</v>
      </c>
      <c r="D27" s="182">
        <f t="shared" si="0"/>
        <v>1.8</v>
      </c>
    </row>
    <row r="28" spans="1:4" x14ac:dyDescent="0.2">
      <c r="B28" s="187" t="s">
        <v>754</v>
      </c>
      <c r="C28" s="180">
        <f>SUM(C10:C27)</f>
        <v>56794262.789999999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288</v>
      </c>
    </row>
    <row r="30" spans="1:4" x14ac:dyDescent="0.2">
      <c r="B30" s="187" t="s">
        <v>760</v>
      </c>
      <c r="C30" s="180">
        <f>SUM(C28:C29)</f>
        <v>56794550.789999999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2603010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21474000</v>
      </c>
      <c r="D35" s="182">
        <f t="shared" ref="D35:D40" si="1">ROUND((C35/$C$41)*100,1)</f>
        <v>35.700000000000003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2730225</v>
      </c>
      <c r="D36" s="182">
        <f t="shared" si="1"/>
        <v>4.5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27623834</v>
      </c>
      <c r="D37" s="182">
        <f t="shared" si="1"/>
        <v>45.9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1521293</v>
      </c>
      <c r="D38" s="182">
        <f t="shared" si="1"/>
        <v>2.5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6796265</v>
      </c>
      <c r="D39" s="182">
        <f t="shared" si="1"/>
        <v>11.3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60145617</v>
      </c>
      <c r="D41" s="184">
        <f>SUM(D35:D40)</f>
        <v>99.899999999999991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FB1DE-6A42-4F98-AE80-A502941FFAA5}">
  <sheetPr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Rochester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19</v>
      </c>
      <c r="B4" s="220" t="s">
        <v>904</v>
      </c>
      <c r="C4" s="280" t="s">
        <v>909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 t="s">
        <v>903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>
        <v>19</v>
      </c>
      <c r="B7" s="220" t="s">
        <v>905</v>
      </c>
      <c r="C7" s="280" t="s">
        <v>907</v>
      </c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>
        <v>19</v>
      </c>
      <c r="B8" s="220" t="s">
        <v>906</v>
      </c>
      <c r="C8" s="280" t="s">
        <v>908</v>
      </c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P39:CZ39"/>
    <mergeCell ref="BP39:BZ39"/>
    <mergeCell ref="CC39:CM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2011-08-25T15:21:40Z</cp:lastPrinted>
  <dcterms:created xsi:type="dcterms:W3CDTF">1997-12-04T19:04:30Z</dcterms:created>
  <dcterms:modified xsi:type="dcterms:W3CDTF">2025-01-10T20:34:37Z</dcterms:modified>
</cp:coreProperties>
</file>