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FE6409C-C0BF-436C-816D-C28D905D64E9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F6D9DB6-B154-4924-89F0-94D19164F27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2" l="1"/>
  <c r="B21" i="12"/>
  <c r="C37" i="12"/>
  <c r="C20" i="12"/>
  <c r="C19" i="12"/>
  <c r="B20" i="12"/>
  <c r="B22" i="12" s="1"/>
  <c r="B19" i="12"/>
  <c r="C12" i="12"/>
  <c r="C10" i="12"/>
  <c r="C11" i="12"/>
  <c r="B12" i="12"/>
  <c r="B13" i="12" s="1"/>
  <c r="B10" i="12"/>
  <c r="B11" i="12"/>
  <c r="F42" i="1"/>
  <c r="F12" i="1"/>
  <c r="J88" i="1"/>
  <c r="F449" i="1"/>
  <c r="I449" i="1" s="1"/>
  <c r="I350" i="1"/>
  <c r="L350" i="1" s="1"/>
  <c r="H350" i="1"/>
  <c r="G350" i="1"/>
  <c r="F350" i="1"/>
  <c r="G150" i="1"/>
  <c r="G154" i="1" s="1"/>
  <c r="G89" i="1"/>
  <c r="G23" i="1"/>
  <c r="G36" i="1"/>
  <c r="F13" i="1"/>
  <c r="C41" i="2"/>
  <c r="C34" i="2"/>
  <c r="C35" i="2"/>
  <c r="C36" i="2"/>
  <c r="C37" i="2"/>
  <c r="C38" i="2"/>
  <c r="C40" i="2"/>
  <c r="C42" i="2"/>
  <c r="C22" i="2"/>
  <c r="C32" i="2" s="1"/>
  <c r="C43" i="2" s="1"/>
  <c r="C23" i="2"/>
  <c r="C24" i="2"/>
  <c r="C25" i="2"/>
  <c r="C26" i="2"/>
  <c r="C27" i="2"/>
  <c r="C28" i="2"/>
  <c r="C29" i="2"/>
  <c r="C30" i="2"/>
  <c r="C31" i="2"/>
  <c r="H274" i="1"/>
  <c r="I269" i="1"/>
  <c r="H269" i="1"/>
  <c r="G268" i="1"/>
  <c r="G269" i="1"/>
  <c r="G282" i="1" s="1"/>
  <c r="G330" i="1" s="1"/>
  <c r="G344" i="1" s="1"/>
  <c r="F269" i="1"/>
  <c r="L269" i="1" s="1"/>
  <c r="E102" i="2" s="1"/>
  <c r="F268" i="1"/>
  <c r="K277" i="1"/>
  <c r="H277" i="1"/>
  <c r="K268" i="1"/>
  <c r="L268" i="1" s="1"/>
  <c r="J268" i="1"/>
  <c r="I268" i="1"/>
  <c r="H147" i="1"/>
  <c r="H146" i="1"/>
  <c r="H23" i="1"/>
  <c r="H33" i="1" s="1"/>
  <c r="H44" i="1" s="1"/>
  <c r="H609" i="1" s="1"/>
  <c r="F455" i="1"/>
  <c r="J588" i="1"/>
  <c r="H641" i="1" s="1"/>
  <c r="K582" i="1"/>
  <c r="F14" i="13"/>
  <c r="L199" i="1"/>
  <c r="F12" i="13"/>
  <c r="L197" i="1"/>
  <c r="G8" i="13"/>
  <c r="G5" i="13"/>
  <c r="G6" i="13"/>
  <c r="G7" i="13"/>
  <c r="G12" i="13"/>
  <c r="G13" i="13"/>
  <c r="G14" i="13"/>
  <c r="G15" i="13"/>
  <c r="G16" i="13"/>
  <c r="G17" i="13"/>
  <c r="G18" i="13"/>
  <c r="G19" i="13"/>
  <c r="G29" i="13"/>
  <c r="F8" i="13"/>
  <c r="L196" i="1"/>
  <c r="L195" i="1"/>
  <c r="C36" i="12"/>
  <c r="A40" i="12" s="1"/>
  <c r="L194" i="1"/>
  <c r="L208" i="1"/>
  <c r="I203" i="1"/>
  <c r="I249" i="1"/>
  <c r="G203" i="1"/>
  <c r="L207" i="1"/>
  <c r="L221" i="1"/>
  <c r="G650" i="1" s="1"/>
  <c r="F5" i="13"/>
  <c r="L189" i="1"/>
  <c r="C9" i="12"/>
  <c r="C37" i="10"/>
  <c r="C60" i="2"/>
  <c r="B2" i="13"/>
  <c r="L214" i="1"/>
  <c r="L232" i="1"/>
  <c r="D39" i="13"/>
  <c r="F13" i="13"/>
  <c r="L198" i="1"/>
  <c r="C19" i="10" s="1"/>
  <c r="L216" i="1"/>
  <c r="L234" i="1"/>
  <c r="F16" i="13"/>
  <c r="L201" i="1"/>
  <c r="L219" i="1"/>
  <c r="L237" i="1"/>
  <c r="L191" i="1"/>
  <c r="C12" i="10" s="1"/>
  <c r="C103" i="2"/>
  <c r="L209" i="1"/>
  <c r="L210" i="1"/>
  <c r="L225" i="1"/>
  <c r="L239" i="1"/>
  <c r="H650" i="1" s="1"/>
  <c r="L226" i="1"/>
  <c r="L227" i="1"/>
  <c r="L228" i="1"/>
  <c r="F6" i="13"/>
  <c r="L212" i="1"/>
  <c r="L230" i="1"/>
  <c r="C110" i="2" s="1"/>
  <c r="F7" i="13"/>
  <c r="L213" i="1"/>
  <c r="L231" i="1"/>
  <c r="L215" i="1"/>
  <c r="L233" i="1"/>
  <c r="D12" i="13" s="1"/>
  <c r="C12" i="13" s="1"/>
  <c r="L217" i="1"/>
  <c r="L235" i="1"/>
  <c r="F15" i="13"/>
  <c r="F17" i="13"/>
  <c r="L243" i="1"/>
  <c r="D17" i="13"/>
  <c r="C17" i="13"/>
  <c r="F18" i="13"/>
  <c r="D18" i="13" s="1"/>
  <c r="C18" i="13" s="1"/>
  <c r="L244" i="1"/>
  <c r="F19" i="13"/>
  <c r="L245" i="1"/>
  <c r="D19" i="13"/>
  <c r="C19" i="13" s="1"/>
  <c r="F29" i="13"/>
  <c r="L351" i="1"/>
  <c r="L352" i="1"/>
  <c r="I359" i="1"/>
  <c r="J282" i="1"/>
  <c r="J330" i="1" s="1"/>
  <c r="J301" i="1"/>
  <c r="J320" i="1"/>
  <c r="K301" i="1"/>
  <c r="K320" i="1"/>
  <c r="L270" i="1"/>
  <c r="L271" i="1"/>
  <c r="E104" i="2" s="1"/>
  <c r="L273" i="1"/>
  <c r="E110" i="2" s="1"/>
  <c r="L274" i="1"/>
  <c r="L275" i="1"/>
  <c r="E112" i="2" s="1"/>
  <c r="L276" i="1"/>
  <c r="L277" i="1"/>
  <c r="L278" i="1"/>
  <c r="L279" i="1"/>
  <c r="E116" i="2" s="1"/>
  <c r="L280" i="1"/>
  <c r="L287" i="1"/>
  <c r="L288" i="1"/>
  <c r="L289" i="1"/>
  <c r="L290" i="1"/>
  <c r="L292" i="1"/>
  <c r="L293" i="1"/>
  <c r="L294" i="1"/>
  <c r="L295" i="1"/>
  <c r="L296" i="1"/>
  <c r="L297" i="1"/>
  <c r="L301" i="1" s="1"/>
  <c r="L298" i="1"/>
  <c r="L299" i="1"/>
  <c r="E117" i="2" s="1"/>
  <c r="L306" i="1"/>
  <c r="L307" i="1"/>
  <c r="L308" i="1"/>
  <c r="L309" i="1"/>
  <c r="L311" i="1"/>
  <c r="L312" i="1"/>
  <c r="L313" i="1"/>
  <c r="L314" i="1"/>
  <c r="L315" i="1"/>
  <c r="L316" i="1"/>
  <c r="L320" i="1" s="1"/>
  <c r="L317" i="1"/>
  <c r="L318" i="1"/>
  <c r="L325" i="1"/>
  <c r="L326" i="1"/>
  <c r="L327" i="1"/>
  <c r="E106" i="2" s="1"/>
  <c r="L252" i="1"/>
  <c r="H25" i="13" s="1"/>
  <c r="C32" i="10"/>
  <c r="L253" i="1"/>
  <c r="C124" i="2" s="1"/>
  <c r="L333" i="1"/>
  <c r="E123" i="2"/>
  <c r="L334" i="1"/>
  <c r="L247" i="1"/>
  <c r="C122" i="2" s="1"/>
  <c r="L328" i="1"/>
  <c r="C11" i="13"/>
  <c r="C10" i="13"/>
  <c r="C9" i="13"/>
  <c r="L353" i="1"/>
  <c r="B4" i="12"/>
  <c r="B36" i="12"/>
  <c r="B40" i="12"/>
  <c r="C40" i="12"/>
  <c r="B27" i="12"/>
  <c r="A31" i="12" s="1"/>
  <c r="C27" i="12"/>
  <c r="B31" i="12"/>
  <c r="C31" i="12"/>
  <c r="C13" i="12"/>
  <c r="C18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5" i="2" s="1"/>
  <c r="G51" i="2"/>
  <c r="G54" i="2" s="1"/>
  <c r="G53" i="2"/>
  <c r="F2" i="11"/>
  <c r="L603" i="1"/>
  <c r="H653" i="1"/>
  <c r="L602" i="1"/>
  <c r="G653" i="1"/>
  <c r="L601" i="1"/>
  <c r="C40" i="10"/>
  <c r="F52" i="1"/>
  <c r="G52" i="1"/>
  <c r="H52" i="1"/>
  <c r="H104" i="1" s="1"/>
  <c r="I52" i="1"/>
  <c r="F71" i="1"/>
  <c r="F104" i="1" s="1"/>
  <c r="F86" i="1"/>
  <c r="C50" i="2" s="1"/>
  <c r="C54" i="2" s="1"/>
  <c r="C55" i="2" s="1"/>
  <c r="F103" i="1"/>
  <c r="G103" i="1"/>
  <c r="H71" i="1"/>
  <c r="E49" i="2" s="1"/>
  <c r="E54" i="2" s="1"/>
  <c r="H86" i="1"/>
  <c r="E50" i="2"/>
  <c r="H103" i="1"/>
  <c r="I103" i="1"/>
  <c r="I104" i="1"/>
  <c r="I185" i="1" s="1"/>
  <c r="J103" i="1"/>
  <c r="J104" i="1"/>
  <c r="F113" i="1"/>
  <c r="F132" i="1" s="1"/>
  <c r="F128" i="1"/>
  <c r="G113" i="1"/>
  <c r="G128" i="1"/>
  <c r="H113" i="1"/>
  <c r="H132" i="1" s="1"/>
  <c r="H128" i="1"/>
  <c r="I113" i="1"/>
  <c r="I128" i="1"/>
  <c r="J113" i="1"/>
  <c r="J128" i="1"/>
  <c r="F139" i="1"/>
  <c r="C77" i="2" s="1"/>
  <c r="C83" i="2" s="1"/>
  <c r="F154" i="1"/>
  <c r="G139" i="1"/>
  <c r="G161" i="1" s="1"/>
  <c r="H139" i="1"/>
  <c r="H154" i="1"/>
  <c r="I139" i="1"/>
  <c r="F77" i="2" s="1"/>
  <c r="F83" i="2" s="1"/>
  <c r="I154" i="1"/>
  <c r="L242" i="1"/>
  <c r="C105" i="2"/>
  <c r="L324" i="1"/>
  <c r="C23" i="10" s="1"/>
  <c r="L246" i="1"/>
  <c r="C24" i="10"/>
  <c r="C25" i="10"/>
  <c r="L260" i="1"/>
  <c r="L261" i="1"/>
  <c r="C135" i="2"/>
  <c r="L341" i="1"/>
  <c r="E134" i="2" s="1"/>
  <c r="L342" i="1"/>
  <c r="I655" i="1"/>
  <c r="I660" i="1"/>
  <c r="I659" i="1"/>
  <c r="C6" i="10"/>
  <c r="C5" i="10"/>
  <c r="C42" i="10"/>
  <c r="L366" i="1"/>
  <c r="F122" i="2" s="1"/>
  <c r="F136" i="2" s="1"/>
  <c r="L367" i="1"/>
  <c r="L368" i="1"/>
  <c r="L369" i="1"/>
  <c r="L370" i="1"/>
  <c r="L371" i="1"/>
  <c r="L374" i="1" s="1"/>
  <c r="G626" i="1" s="1"/>
  <c r="J626" i="1" s="1"/>
  <c r="L372" i="1"/>
  <c r="B2" i="10"/>
  <c r="L336" i="1"/>
  <c r="E126" i="2"/>
  <c r="L337" i="1"/>
  <c r="L338" i="1"/>
  <c r="E129" i="2" s="1"/>
  <c r="L339" i="1"/>
  <c r="K343" i="1"/>
  <c r="L511" i="1"/>
  <c r="F539" i="1"/>
  <c r="L512" i="1"/>
  <c r="F540" i="1" s="1"/>
  <c r="L532" i="1"/>
  <c r="J540" i="1"/>
  <c r="L513" i="1"/>
  <c r="F541" i="1"/>
  <c r="L533" i="1"/>
  <c r="J541" i="1" s="1"/>
  <c r="L516" i="1"/>
  <c r="L519" i="1" s="1"/>
  <c r="G539" i="1"/>
  <c r="L517" i="1"/>
  <c r="G540" i="1"/>
  <c r="L518" i="1"/>
  <c r="G541" i="1"/>
  <c r="L522" i="1"/>
  <c r="H540" i="1"/>
  <c r="L523" i="1"/>
  <c r="H541" i="1" s="1"/>
  <c r="L526" i="1"/>
  <c r="I539" i="1" s="1"/>
  <c r="L527" i="1"/>
  <c r="L529" i="1" s="1"/>
  <c r="L528" i="1"/>
  <c r="I541" i="1"/>
  <c r="L531" i="1"/>
  <c r="J539" i="1" s="1"/>
  <c r="J542" i="1" s="1"/>
  <c r="E124" i="2"/>
  <c r="K262" i="1"/>
  <c r="J262" i="1"/>
  <c r="I262" i="1"/>
  <c r="I263" i="1" s="1"/>
  <c r="H262" i="1"/>
  <c r="G262" i="1"/>
  <c r="L262" i="1" s="1"/>
  <c r="F262" i="1"/>
  <c r="A1" i="2"/>
  <c r="A2" i="2"/>
  <c r="C9" i="2"/>
  <c r="D9" i="2"/>
  <c r="E9" i="2"/>
  <c r="F9" i="2"/>
  <c r="I431" i="1"/>
  <c r="J9" i="1" s="1"/>
  <c r="C10" i="2"/>
  <c r="C19" i="2" s="1"/>
  <c r="D10" i="2"/>
  <c r="D19" i="2" s="1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D22" i="2"/>
  <c r="E22" i="2"/>
  <c r="E32" i="2" s="1"/>
  <c r="F22" i="2"/>
  <c r="F32" i="2" s="1"/>
  <c r="I440" i="1"/>
  <c r="J23" i="1"/>
  <c r="D23" i="2"/>
  <c r="E23" i="2"/>
  <c r="F23" i="2"/>
  <c r="I441" i="1"/>
  <c r="J24" i="1" s="1"/>
  <c r="D24" i="2"/>
  <c r="E24" i="2"/>
  <c r="F24" i="2"/>
  <c r="I442" i="1"/>
  <c r="I444" i="1" s="1"/>
  <c r="D25" i="2"/>
  <c r="E25" i="2"/>
  <c r="F25" i="2"/>
  <c r="F26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/>
  <c r="G31" i="2" s="1"/>
  <c r="D34" i="2"/>
  <c r="D42" i="2" s="1"/>
  <c r="D43" i="2" s="1"/>
  <c r="E34" i="2"/>
  <c r="E42" i="2" s="1"/>
  <c r="E43" i="2" s="1"/>
  <c r="F34" i="2"/>
  <c r="D35" i="2"/>
  <c r="D36" i="2"/>
  <c r="D37" i="2"/>
  <c r="D38" i="2"/>
  <c r="D40" i="2"/>
  <c r="D41" i="2"/>
  <c r="E35" i="2"/>
  <c r="F35" i="2"/>
  <c r="F42" i="2" s="1"/>
  <c r="E36" i="2"/>
  <c r="F36" i="2"/>
  <c r="I446" i="1"/>
  <c r="J37" i="1"/>
  <c r="E37" i="2"/>
  <c r="F37" i="2"/>
  <c r="I447" i="1"/>
  <c r="J38" i="1"/>
  <c r="G37" i="2" s="1"/>
  <c r="E38" i="2"/>
  <c r="F38" i="2"/>
  <c r="I448" i="1"/>
  <c r="J40" i="1"/>
  <c r="G39" i="2"/>
  <c r="E40" i="2"/>
  <c r="F40" i="2"/>
  <c r="E41" i="2"/>
  <c r="F41" i="2"/>
  <c r="C48" i="2"/>
  <c r="D48" i="2"/>
  <c r="E48" i="2"/>
  <c r="E55" i="2" s="1"/>
  <c r="F48" i="2"/>
  <c r="F55" i="2" s="1"/>
  <c r="C49" i="2"/>
  <c r="C51" i="2"/>
  <c r="D51" i="2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/>
  <c r="F61" i="2"/>
  <c r="F62" i="2" s="1"/>
  <c r="G61" i="2"/>
  <c r="G62" i="2" s="1"/>
  <c r="G73" i="2" s="1"/>
  <c r="C64" i="2"/>
  <c r="C70" i="2" s="1"/>
  <c r="F64" i="2"/>
  <c r="C65" i="2"/>
  <c r="F65" i="2"/>
  <c r="F70" i="2" s="1"/>
  <c r="C66" i="2"/>
  <c r="C67" i="2"/>
  <c r="C68" i="2"/>
  <c r="E68" i="2"/>
  <c r="E70" i="2" s="1"/>
  <c r="E73" i="2" s="1"/>
  <c r="F68" i="2"/>
  <c r="C69" i="2"/>
  <c r="D69" i="2"/>
  <c r="D70" i="2" s="1"/>
  <c r="D71" i="2"/>
  <c r="E69" i="2"/>
  <c r="F69" i="2"/>
  <c r="G69" i="2"/>
  <c r="G70" i="2"/>
  <c r="C71" i="2"/>
  <c r="E71" i="2"/>
  <c r="C72" i="2"/>
  <c r="E72" i="2"/>
  <c r="E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C95" i="2" s="1"/>
  <c r="F86" i="2"/>
  <c r="D88" i="2"/>
  <c r="D95" i="2" s="1"/>
  <c r="E88" i="2"/>
  <c r="F88" i="2"/>
  <c r="G88" i="2"/>
  <c r="C89" i="2"/>
  <c r="D89" i="2"/>
  <c r="D90" i="2"/>
  <c r="D91" i="2"/>
  <c r="D92" i="2"/>
  <c r="D93" i="2"/>
  <c r="D94" i="2"/>
  <c r="E89" i="2"/>
  <c r="F89" i="2"/>
  <c r="G89" i="2"/>
  <c r="C90" i="2"/>
  <c r="E90" i="2"/>
  <c r="G90" i="2"/>
  <c r="C91" i="2"/>
  <c r="E91" i="2"/>
  <c r="F91" i="2"/>
  <c r="C92" i="2"/>
  <c r="E92" i="2"/>
  <c r="E95" i="2" s="1"/>
  <c r="F92" i="2"/>
  <c r="C93" i="2"/>
  <c r="E93" i="2"/>
  <c r="F93" i="2"/>
  <c r="C94" i="2"/>
  <c r="E94" i="2"/>
  <c r="F94" i="2"/>
  <c r="F95" i="2" s="1"/>
  <c r="E103" i="2"/>
  <c r="D107" i="2"/>
  <c r="F107" i="2"/>
  <c r="F137" i="2" s="1"/>
  <c r="G107" i="2"/>
  <c r="E114" i="2"/>
  <c r="C117" i="2"/>
  <c r="D126" i="2"/>
  <c r="D136" i="2"/>
  <c r="F120" i="2"/>
  <c r="G120" i="2"/>
  <c r="E122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 s="1"/>
  <c r="C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C151" i="2"/>
  <c r="G151" i="2" s="1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 s="1"/>
  <c r="G153" i="2" s="1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 s="1"/>
  <c r="F493" i="1"/>
  <c r="B156" i="2"/>
  <c r="G493" i="1"/>
  <c r="C156" i="2" s="1"/>
  <c r="H493" i="1"/>
  <c r="D156" i="2"/>
  <c r="I493" i="1"/>
  <c r="E156" i="2" s="1"/>
  <c r="J493" i="1"/>
  <c r="F156" i="2" s="1"/>
  <c r="F19" i="1"/>
  <c r="G607" i="1"/>
  <c r="J607" i="1" s="1"/>
  <c r="G19" i="1"/>
  <c r="G608" i="1"/>
  <c r="H19" i="1"/>
  <c r="G609" i="1" s="1"/>
  <c r="I19" i="1"/>
  <c r="F33" i="1"/>
  <c r="G33" i="1"/>
  <c r="G44" i="1" s="1"/>
  <c r="H608" i="1" s="1"/>
  <c r="J608" i="1" s="1"/>
  <c r="I33" i="1"/>
  <c r="F43" i="1"/>
  <c r="G612" i="1" s="1"/>
  <c r="G43" i="1"/>
  <c r="G613" i="1" s="1"/>
  <c r="H43" i="1"/>
  <c r="I43" i="1"/>
  <c r="I44" i="1" s="1"/>
  <c r="H610" i="1" s="1"/>
  <c r="J610" i="1" s="1"/>
  <c r="F169" i="1"/>
  <c r="I169" i="1"/>
  <c r="I184" i="1" s="1"/>
  <c r="F175" i="1"/>
  <c r="F184" i="1" s="1"/>
  <c r="G175" i="1"/>
  <c r="H175" i="1"/>
  <c r="I175" i="1"/>
  <c r="J175" i="1"/>
  <c r="J184" i="1"/>
  <c r="F180" i="1"/>
  <c r="G180" i="1"/>
  <c r="G184" i="1" s="1"/>
  <c r="H180" i="1"/>
  <c r="H184" i="1" s="1"/>
  <c r="I180" i="1"/>
  <c r="F203" i="1"/>
  <c r="J203" i="1"/>
  <c r="J249" i="1"/>
  <c r="J263" i="1" s="1"/>
  <c r="K203" i="1"/>
  <c r="F221" i="1"/>
  <c r="G221" i="1"/>
  <c r="I221" i="1"/>
  <c r="J221" i="1"/>
  <c r="K221" i="1"/>
  <c r="K249" i="1" s="1"/>
  <c r="K263" i="1" s="1"/>
  <c r="F239" i="1"/>
  <c r="G239" i="1"/>
  <c r="G249" i="1" s="1"/>
  <c r="G263" i="1" s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 s="1"/>
  <c r="J354" i="1"/>
  <c r="K354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H400" i="1" s="1"/>
  <c r="H634" i="1" s="1"/>
  <c r="I385" i="1"/>
  <c r="I400" i="1" s="1"/>
  <c r="F393" i="1"/>
  <c r="G393" i="1"/>
  <c r="G400" i="1" s="1"/>
  <c r="H635" i="1" s="1"/>
  <c r="H393" i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J426" i="1"/>
  <c r="L421" i="1"/>
  <c r="L422" i="1"/>
  <c r="L423" i="1"/>
  <c r="L424" i="1"/>
  <c r="F425" i="1"/>
  <c r="G425" i="1"/>
  <c r="H425" i="1"/>
  <c r="I425" i="1"/>
  <c r="J425" i="1"/>
  <c r="F438" i="1"/>
  <c r="G629" i="1" s="1"/>
  <c r="G438" i="1"/>
  <c r="G630" i="1" s="1"/>
  <c r="H438" i="1"/>
  <c r="G631" i="1" s="1"/>
  <c r="J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F519" i="1"/>
  <c r="G519" i="1"/>
  <c r="H519" i="1"/>
  <c r="H535" i="1" s="1"/>
  <c r="I519" i="1"/>
  <c r="I535" i="1" s="1"/>
  <c r="J519" i="1"/>
  <c r="K519" i="1"/>
  <c r="K535" i="1" s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I550" i="1"/>
  <c r="J550" i="1"/>
  <c r="J561" i="1" s="1"/>
  <c r="K550" i="1"/>
  <c r="K561" i="1" s="1"/>
  <c r="L552" i="1"/>
  <c r="L553" i="1"/>
  <c r="L554" i="1"/>
  <c r="F555" i="1"/>
  <c r="G555" i="1"/>
  <c r="H555" i="1"/>
  <c r="H561" i="1" s="1"/>
  <c r="I555" i="1"/>
  <c r="I561" i="1" s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3" i="1"/>
  <c r="K584" i="1"/>
  <c r="K585" i="1"/>
  <c r="K586" i="1"/>
  <c r="K587" i="1"/>
  <c r="I588" i="1"/>
  <c r="H640" i="1"/>
  <c r="K592" i="1"/>
  <c r="K593" i="1"/>
  <c r="I595" i="1"/>
  <c r="J595" i="1"/>
  <c r="F604" i="1"/>
  <c r="G604" i="1"/>
  <c r="H604" i="1"/>
  <c r="I604" i="1"/>
  <c r="J604" i="1"/>
  <c r="K604" i="1"/>
  <c r="L604" i="1"/>
  <c r="G610" i="1"/>
  <c r="G614" i="1"/>
  <c r="H626" i="1"/>
  <c r="H628" i="1"/>
  <c r="G633" i="1"/>
  <c r="G634" i="1"/>
  <c r="G642" i="1"/>
  <c r="H642" i="1"/>
  <c r="G643" i="1"/>
  <c r="J643" i="1" s="1"/>
  <c r="H643" i="1"/>
  <c r="G644" i="1"/>
  <c r="J644" i="1" s="1"/>
  <c r="H644" i="1"/>
  <c r="G645" i="1"/>
  <c r="J645" i="1" s="1"/>
  <c r="H645" i="1"/>
  <c r="D54" i="2"/>
  <c r="D55" i="2" s="1"/>
  <c r="D32" i="2"/>
  <c r="G104" i="1"/>
  <c r="J132" i="1"/>
  <c r="I132" i="1"/>
  <c r="G132" i="1"/>
  <c r="G185" i="1" s="1"/>
  <c r="I161" i="1"/>
  <c r="H161" i="1"/>
  <c r="E83" i="2"/>
  <c r="G95" i="2"/>
  <c r="G635" i="1"/>
  <c r="L555" i="1"/>
  <c r="K493" i="1"/>
  <c r="C106" i="2"/>
  <c r="L192" i="1"/>
  <c r="C13" i="10" s="1"/>
  <c r="J642" i="1"/>
  <c r="C35" i="10"/>
  <c r="F44" i="1"/>
  <c r="H607" i="1"/>
  <c r="C26" i="10"/>
  <c r="G36" i="2"/>
  <c r="G22" i="2"/>
  <c r="L425" i="1"/>
  <c r="E113" i="2"/>
  <c r="F31" i="13"/>
  <c r="E115" i="2"/>
  <c r="E111" i="2"/>
  <c r="I330" i="1"/>
  <c r="I344" i="1"/>
  <c r="E16" i="13"/>
  <c r="C16" i="13" s="1"/>
  <c r="L190" i="1"/>
  <c r="L203" i="1" s="1"/>
  <c r="B9" i="12"/>
  <c r="A13" i="12" s="1"/>
  <c r="L218" i="1"/>
  <c r="G640" i="1" s="1"/>
  <c r="J640" i="1" s="1"/>
  <c r="H239" i="1"/>
  <c r="L236" i="1"/>
  <c r="H652" i="1" s="1"/>
  <c r="L200" i="1"/>
  <c r="C116" i="2" s="1"/>
  <c r="J185" i="1"/>
  <c r="J458" i="1" s="1"/>
  <c r="L521" i="1"/>
  <c r="F524" i="1"/>
  <c r="G535" i="1"/>
  <c r="L514" i="1"/>
  <c r="H539" i="1"/>
  <c r="H542" i="1" s="1"/>
  <c r="L524" i="1"/>
  <c r="C15" i="10"/>
  <c r="D6" i="13"/>
  <c r="C6" i="13"/>
  <c r="C16" i="10"/>
  <c r="C111" i="2"/>
  <c r="D7" i="13"/>
  <c r="C7" i="13" s="1"/>
  <c r="C112" i="2"/>
  <c r="E8" i="13"/>
  <c r="C8" i="13" s="1"/>
  <c r="C17" i="10"/>
  <c r="C115" i="2"/>
  <c r="C101" i="2"/>
  <c r="D15" i="13"/>
  <c r="C15" i="13" s="1"/>
  <c r="F652" i="1"/>
  <c r="I652" i="1" s="1"/>
  <c r="G652" i="1"/>
  <c r="H203" i="1"/>
  <c r="H221" i="1"/>
  <c r="C104" i="2"/>
  <c r="H588" i="1"/>
  <c r="H639" i="1"/>
  <c r="H249" i="1"/>
  <c r="H263" i="1"/>
  <c r="G458" i="1" l="1"/>
  <c r="G618" i="1"/>
  <c r="L561" i="1"/>
  <c r="J609" i="1"/>
  <c r="K541" i="1"/>
  <c r="J635" i="1"/>
  <c r="D73" i="2"/>
  <c r="D96" i="2" s="1"/>
  <c r="G23" i="2"/>
  <c r="C38" i="10"/>
  <c r="C36" i="10"/>
  <c r="C120" i="2"/>
  <c r="F96" i="2"/>
  <c r="E136" i="2"/>
  <c r="J630" i="1"/>
  <c r="J19" i="1"/>
  <c r="G611" i="1" s="1"/>
  <c r="G9" i="2"/>
  <c r="G19" i="2" s="1"/>
  <c r="E101" i="2"/>
  <c r="E107" i="2" s="1"/>
  <c r="E137" i="2" s="1"/>
  <c r="C10" i="10"/>
  <c r="L282" i="1"/>
  <c r="J629" i="1"/>
  <c r="J43" i="1"/>
  <c r="F43" i="2"/>
  <c r="H185" i="1"/>
  <c r="G96" i="2"/>
  <c r="J344" i="1"/>
  <c r="H638" i="1"/>
  <c r="G620" i="1"/>
  <c r="I458" i="1"/>
  <c r="L249" i="1"/>
  <c r="L263" i="1" s="1"/>
  <c r="F650" i="1"/>
  <c r="L354" i="1"/>
  <c r="D29" i="13"/>
  <c r="C29" i="13" s="1"/>
  <c r="F651" i="1"/>
  <c r="G651" i="1"/>
  <c r="D119" i="2"/>
  <c r="D120" i="2" s="1"/>
  <c r="D137" i="2" s="1"/>
  <c r="H651" i="1"/>
  <c r="E96" i="2"/>
  <c r="G42" i="2"/>
  <c r="H654" i="1"/>
  <c r="J634" i="1"/>
  <c r="F73" i="2"/>
  <c r="E120" i="2"/>
  <c r="I450" i="1"/>
  <c r="J41" i="1"/>
  <c r="G40" i="2" s="1"/>
  <c r="G156" i="2"/>
  <c r="I451" i="1"/>
  <c r="H632" i="1" s="1"/>
  <c r="H33" i="13"/>
  <c r="C25" i="13"/>
  <c r="C130" i="2"/>
  <c r="C133" i="2" s="1"/>
  <c r="L400" i="1"/>
  <c r="G654" i="1"/>
  <c r="J460" i="1"/>
  <c r="J466" i="1" s="1"/>
  <c r="H616" i="1" s="1"/>
  <c r="H627" i="1"/>
  <c r="H621" i="1"/>
  <c r="L426" i="1"/>
  <c r="G628" i="1" s="1"/>
  <c r="J628" i="1" s="1"/>
  <c r="C73" i="2"/>
  <c r="C96" i="2" s="1"/>
  <c r="F542" i="1"/>
  <c r="H594" i="1"/>
  <c r="K539" i="1"/>
  <c r="G636" i="1"/>
  <c r="E13" i="13"/>
  <c r="C13" i="13" s="1"/>
  <c r="C29" i="10"/>
  <c r="K282" i="1"/>
  <c r="H637" i="1"/>
  <c r="J637" i="1" s="1"/>
  <c r="G621" i="1"/>
  <c r="J621" i="1" s="1"/>
  <c r="C123" i="2"/>
  <c r="C136" i="2" s="1"/>
  <c r="I438" i="1"/>
  <c r="G632" i="1" s="1"/>
  <c r="J632" i="1" s="1"/>
  <c r="B18" i="12"/>
  <c r="A22" i="12" s="1"/>
  <c r="D14" i="13"/>
  <c r="C14" i="13" s="1"/>
  <c r="C11" i="10"/>
  <c r="G615" i="1"/>
  <c r="E105" i="2"/>
  <c r="J25" i="1"/>
  <c r="G24" i="2" s="1"/>
  <c r="I540" i="1"/>
  <c r="I542" i="1" s="1"/>
  <c r="C20" i="10"/>
  <c r="G542" i="1"/>
  <c r="F360" i="1"/>
  <c r="C18" i="10"/>
  <c r="G639" i="1"/>
  <c r="J639" i="1" s="1"/>
  <c r="F249" i="1"/>
  <c r="F263" i="1" s="1"/>
  <c r="D5" i="13"/>
  <c r="C113" i="2"/>
  <c r="C21" i="10"/>
  <c r="D77" i="2"/>
  <c r="D83" i="2" s="1"/>
  <c r="E33" i="13"/>
  <c r="D35" i="13" s="1"/>
  <c r="G641" i="1"/>
  <c r="J641" i="1" s="1"/>
  <c r="F161" i="1"/>
  <c r="C39" i="10" s="1"/>
  <c r="C114" i="2"/>
  <c r="F22" i="13"/>
  <c r="C102" i="2"/>
  <c r="C107" i="2" s="1"/>
  <c r="L343" i="1"/>
  <c r="L534" i="1"/>
  <c r="L535" i="1" s="1"/>
  <c r="K490" i="1"/>
  <c r="C137" i="2" l="1"/>
  <c r="G662" i="1"/>
  <c r="G657" i="1"/>
  <c r="F653" i="1"/>
  <c r="I653" i="1" s="1"/>
  <c r="K594" i="1"/>
  <c r="K595" i="1" s="1"/>
  <c r="G638" i="1" s="1"/>
  <c r="J638" i="1" s="1"/>
  <c r="H595" i="1"/>
  <c r="G627" i="1"/>
  <c r="J627" i="1" s="1"/>
  <c r="H636" i="1"/>
  <c r="I651" i="1"/>
  <c r="F462" i="1"/>
  <c r="G622" i="1"/>
  <c r="F33" i="13"/>
  <c r="C22" i="13"/>
  <c r="J615" i="1"/>
  <c r="K542" i="1"/>
  <c r="C5" i="13"/>
  <c r="G616" i="1"/>
  <c r="K540" i="1"/>
  <c r="G462" i="1"/>
  <c r="C27" i="10"/>
  <c r="G625" i="1"/>
  <c r="G619" i="1"/>
  <c r="H458" i="1"/>
  <c r="I650" i="1"/>
  <c r="H662" i="1"/>
  <c r="H657" i="1"/>
  <c r="L330" i="1"/>
  <c r="L344" i="1" s="1"/>
  <c r="D36" i="10"/>
  <c r="C41" i="10"/>
  <c r="D39" i="10"/>
  <c r="G31" i="13"/>
  <c r="G33" i="13" s="1"/>
  <c r="K330" i="1"/>
  <c r="K344" i="1" s="1"/>
  <c r="J620" i="1"/>
  <c r="C28" i="10"/>
  <c r="F185" i="1"/>
  <c r="J33" i="1"/>
  <c r="J44" i="1" s="1"/>
  <c r="H611" i="1" s="1"/>
  <c r="J611" i="1" s="1"/>
  <c r="J618" i="1"/>
  <c r="I360" i="1"/>
  <c r="I361" i="1" s="1"/>
  <c r="H624" i="1" s="1"/>
  <c r="J624" i="1" s="1"/>
  <c r="F361" i="1"/>
  <c r="I460" i="1"/>
  <c r="I466" i="1" s="1"/>
  <c r="H615" i="1" s="1"/>
  <c r="H620" i="1"/>
  <c r="D38" i="10"/>
  <c r="J636" i="1"/>
  <c r="G32" i="2"/>
  <c r="G43" i="2" s="1"/>
  <c r="G460" i="1"/>
  <c r="H618" i="1"/>
  <c r="D25" i="10" l="1"/>
  <c r="C30" i="10"/>
  <c r="D24" i="10"/>
  <c r="D22" i="10"/>
  <c r="D23" i="10"/>
  <c r="D26" i="10"/>
  <c r="D13" i="10"/>
  <c r="D19" i="10"/>
  <c r="D15" i="10"/>
  <c r="D12" i="10"/>
  <c r="D17" i="10"/>
  <c r="D16" i="10"/>
  <c r="D11" i="10"/>
  <c r="H462" i="1"/>
  <c r="G623" i="1"/>
  <c r="D18" i="10"/>
  <c r="J619" i="1"/>
  <c r="G464" i="1"/>
  <c r="H625" i="1"/>
  <c r="J625" i="1" s="1"/>
  <c r="D31" i="13"/>
  <c r="I654" i="1"/>
  <c r="G617" i="1"/>
  <c r="F458" i="1"/>
  <c r="J616" i="1"/>
  <c r="H460" i="1"/>
  <c r="H619" i="1"/>
  <c r="F654" i="1"/>
  <c r="J622" i="1"/>
  <c r="D21" i="10"/>
  <c r="G466" i="1"/>
  <c r="H613" i="1" s="1"/>
  <c r="J613" i="1" s="1"/>
  <c r="D10" i="10"/>
  <c r="D20" i="10"/>
  <c r="D40" i="10"/>
  <c r="D37" i="10"/>
  <c r="D35" i="10"/>
  <c r="D27" i="10"/>
  <c r="H622" i="1"/>
  <c r="F464" i="1"/>
  <c r="D28" i="10" l="1"/>
  <c r="F460" i="1"/>
  <c r="F466" i="1" s="1"/>
  <c r="H612" i="1" s="1"/>
  <c r="J612" i="1" s="1"/>
  <c r="H617" i="1"/>
  <c r="J617" i="1"/>
  <c r="I662" i="1"/>
  <c r="C7" i="10" s="1"/>
  <c r="I657" i="1"/>
  <c r="C31" i="13"/>
  <c r="D33" i="13"/>
  <c r="D36" i="13" s="1"/>
  <c r="F657" i="1"/>
  <c r="F662" i="1"/>
  <c r="C4" i="10" s="1"/>
  <c r="J623" i="1"/>
  <c r="H466" i="1"/>
  <c r="H614" i="1" s="1"/>
  <c r="J614" i="1" s="1"/>
  <c r="H464" i="1"/>
  <c r="H623" i="1"/>
  <c r="D41" i="10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DF6DF70-256C-4F45-ACCB-D42CC5146C9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EC47BA9-DDB3-4C8B-9C4E-7966DEE8C567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A9C6686-75F1-408C-98B2-91B3726DCCEC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A933944-5D56-4606-A941-530AF66718E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178C6B4D-4B73-4ADC-8B79-6E34081D6D52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C53BB96-A721-4C52-9D40-942482F6D885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FBE20163-F2E9-4540-8F0C-675B95225E9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061EBC4-7CDE-485E-9F2E-78CE59D6C650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E34F2DAE-BFFA-4818-B044-FD15EDF7166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2C90C447-EAD5-4A3F-94E6-08F011ECE46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92DD2D3-CF88-4508-BFD3-7F1FCE073CE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2FB7A5B-546F-4FD2-B219-5B59BCD21F4F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<sst xmlns="http://schemas.openxmlformats.org/spreadsheetml/2006/main" count="3859" uniqueCount="896">
  <si>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</si>
  <si>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</si>
  <si>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</si>
  <si>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</si>
  <si>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</si>
  <si>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</si>
  <si>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</si>
  <si>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</si>
  <si>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</si>
  <si>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</si>
  <si>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</si>
  <si>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</si>
  <si>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</si>
  <si>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</si>
  <si>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</si>
  <si>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</si>
  <si>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</si>
  <si>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</si>
  <si>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</si>
  <si>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</si>
  <si>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</si>
  <si>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</si>
  <si>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</si>
  <si>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</si>
  <si>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</si>
  <si>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</si>
  <si>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</si>
  <si>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</si>
  <si>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</si>
  <si>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</si>
  <si>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</si>
  <si>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</si>
  <si>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</si>
  <si>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</si>
  <si>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</si>
  <si>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</si>
  <si>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</si>
  <si>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</si>
  <si>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</si>
  <si>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</si>
  <si>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</si>
  <si>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</si>
  <si>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</si>
  <si>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</si>
  <si>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</si>
  <si>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</si>
  <si>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</si>
  <si>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</si>
  <si>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</si>
  <si>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</si>
  <si>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</si>
  <si>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</si>
  <si>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</si>
  <si>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</si>
  <si>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</si>
  <si>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</si>
  <si>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</si>
  <si>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</si>
  <si>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</si>
  <si>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</si>
  <si>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</si>
  <si>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</si>
  <si>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</si>
  <si>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</si>
  <si>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</si>
  <si>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</si>
  <si>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</si>
  <si>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</si>
  <si>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</si>
  <si>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</si>
  <si>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</si>
  <si>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</si>
  <si>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</si>
  <si>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</si>
  <si>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</si>
  <si>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</si>
  <si>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</si>
  <si>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</si>
  <si>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</si>
  <si>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</si>
  <si>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</si>
  <si>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</si>
  <si>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</si>
  <si>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</si>
  <si>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</si>
  <si>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</si>
  <si>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</si>
  <si>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</si>
  <si>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</si>
  <si>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</si>
  <si>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</si>
  <si>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</si>
  <si>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</si>
  <si>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</si>
  <si>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</si>
  <si>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</si>
  <si>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</si>
  <si>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</si>
  <si>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</si>
  <si>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</si>
  <si>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</si>
  <si>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</si>
  <si>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</si>
  <si>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</si>
  <si>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</si>
  <si>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</si>
  <si>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</si>
  <si>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</si>
  <si>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</si>
  <si>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</si>
  <si>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</si>
  <si>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</si>
  <si>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</si>
  <si>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</si>
  <si>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</si>
  <si>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</si>
  <si>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</si>
  <si>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</si>
  <si>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</si>
  <si>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</si>
  <si>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</si>
  <si>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</si>
  <si>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</si>
  <si>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</si>
  <si>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</si>
  <si>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</si>
  <si>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</si>
  <si>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</si>
  <si>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</si>
  <si>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</si>
  <si>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</si>
  <si>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</si>
  <si>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</si>
  <si>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</si>
  <si>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</si>
  <si>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</si>
  <si>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</si>
  <si>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</si>
  <si>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</si>
  <si>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</si>
  <si>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</si>
  <si>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</si>
  <si>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</si>
  <si>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</si>
  <si>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</si>
  <si>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</si>
  <si>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</si>
  <si>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</si>
  <si>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</si>
  <si>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</si>
  <si>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</si>
  <si>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</si>
  <si>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</si>
  <si>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</si>
  <si>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</si>
  <si>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</si>
  <si>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</si>
  <si>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</si>
  <si>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</si>
  <si>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</si>
  <si>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</si>
  <si>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</si>
  <si>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</si>
  <si>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</si>
  <si>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</si>
  <si>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</si>
  <si>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</si>
  <si>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</si>
  <si>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</si>
  <si>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</si>
  <si>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</si>
  <si>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</si>
  <si>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</si>
  <si>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</si>
  <si>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</si>
  <si>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</si>
  <si>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</si>
  <si>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</si>
  <si>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</si>
  <si>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</si>
  <si>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</si>
  <si>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</si>
  <si>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</si>
  <si>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</si>
  <si>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</si>
  <si>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</si>
  <si>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</si>
  <si>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</si>
  <si>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</si>
  <si>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</si>
  <si>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</si>
  <si>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</si>
  <si>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</si>
  <si>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</si>
  <si>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</si>
  <si>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</si>
  <si>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</si>
  <si>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</si>
  <si>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</si>
  <si>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</si>
  <si>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</si>
  <si>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</si>
  <si>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</si>
  <si>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</si>
  <si>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</si>
  <si>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</si>
  <si>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</si>
  <si>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</si>
  <si>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</si>
  <si>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</si>
  <si>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</si>
  <si>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</si>
  <si>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</si>
  <si>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</si>
  <si>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</si>
  <si>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</si>
  <si>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</si>
  <si>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</si>
  <si>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</si>
  <si>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</si>
  <si>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</si>
  <si>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</si>
  <si>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</si>
  <si>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</si>
  <si>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</si>
  <si>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</si>
  <si>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</si>
  <si>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</si>
  <si>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</si>
  <si>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</si>
  <si>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</si>
  <si>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</si>
  <si>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</si>
  <si>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</si>
  <si>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</si>
  <si>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</si>
  <si>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</si>
  <si>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</si>
  <si>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</si>
  <si>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</si>
  <si>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</si>
  <si>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</si>
  <si>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</si>
  <si>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</si>
  <si>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</si>
  <si>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</si>
  <si>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</si>
  <si>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</si>
  <si>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</si>
  <si>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</si>
  <si>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</si>
  <si>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</si>
  <si>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</si>
  <si>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</si>
  <si>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</si>
  <si>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</si>
  <si>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</si>
  <si>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</si>
  <si>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</si>
  <si>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</si>
  <si>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</si>
  <si>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</si>
  <si>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</si>
  <si>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</si>
  <si>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</si>
  <si>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</si>
  <si>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</si>
  <si>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</si>
  <si>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</si>
  <si>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</si>
  <si>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</si>
  <si>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</si>
  <si>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</si>
  <si>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</si>
  <si>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</si>
  <si>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</si>
  <si>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</si>
  <si>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</si>
  <si>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</si>
  <si>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</si>
  <si>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</si>
  <si>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</si>
  <si>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</si>
  <si>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</si>
  <si>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</si>
  <si>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</si>
  <si>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</si>
  <si>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</si>
  <si>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</si>
  <si>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</si>
  <si>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</si>
  <si>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</si>
  <si>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</si>
  <si>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</si>
  <si>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</si>
  <si>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</si>
  <si>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</si>
  <si>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</si>
  <si>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</si>
  <si>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</si>
  <si>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</si>
  <si>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</si>
  <si>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</si>
  <si>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</si>
  <si>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</si>
  <si>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</si>
  <si>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</si>
  <si>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</si>
  <si>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</si>
  <si>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</si>
  <si>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</si>
  <si>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</si>
  <si>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</si>
  <si>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</si>
  <si>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</si>
  <si>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</si>
  <si>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</si>
  <si>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</si>
  <si>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</si>
  <si>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</si>
  <si>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</si>
  <si>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</si>
  <si>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</si>
  <si>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</si>
  <si>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</si>
  <si>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</si>
  <si>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</si>
  <si>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</si>
  <si>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</si>
  <si>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</si>
  <si>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</si>
  <si>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</si>
  <si>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</si>
  <si>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</si>
  <si>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</si>
  <si>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</si>
  <si>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</si>
  <si>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</si>
  <si>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</si>
  <si>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</si>
  <si>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</si>
  <si>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</si>
  <si>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</si>
  <si>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</si>
  <si>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</si>
  <si>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</si>
  <si>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</si>
  <si>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</si>
  <si>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</si>
  <si>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</si>
  <si>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</si>
  <si>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</si>
  <si>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</si>
  <si>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</si>
  <si>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</si>
  <si>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</si>
  <si>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</si>
  <si>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</si>
  <si>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</si>
  <si>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</si>
  <si>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</si>
  <si>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</si>
  <si>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</si>
  <si>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</si>
  <si>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</si>
  <si>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</si>
  <si>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</si>
  <si>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</si>
  <si>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</si>
  <si>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</si>
  <si>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</si>
  <si>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</si>
  <si>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</si>
  <si>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</si>
  <si>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</si>
  <si>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</si>
  <si>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</si>
  <si>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</si>
  <si>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</si>
  <si>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</si>
  <si>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</si>
  <si>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</si>
  <si>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</si>
  <si>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</si>
  <si>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</si>
  <si>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</si>
  <si>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</si>
  <si>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</si>
  <si>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</si>
  <si>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</si>
  <si>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</si>
  <si>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</si>
  <si>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</si>
  <si>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</si>
  <si>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</si>
  <si>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</si>
  <si>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</si>
  <si>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</si>
  <si>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</si>
  <si>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</si>
  <si>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</si>
  <si>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</si>
  <si>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</si>
  <si>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</si>
  <si>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</si>
  <si>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</si>
  <si>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</si>
  <si>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</si>
  <si>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</si>
  <si>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</si>
  <si>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</si>
  <si>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</si>
  <si>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</si>
  <si>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</si>
  <si>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</si>
  <si>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</si>
  <si>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</si>
  <si>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</si>
  <si>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</si>
  <si>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</si>
  <si>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</si>
  <si>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</si>
  <si>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</si>
  <si>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</si>
  <si>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</si>
  <si>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</si>
  <si>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</si>
  <si>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</si>
  <si>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</si>
  <si>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</si>
  <si>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</si>
  <si>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</si>
  <si>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</si>
  <si>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</si>
  <si>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</si>
  <si>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</si>
  <si>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</si>
  <si>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</si>
  <si>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</si>
  <si>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</si>
  <si>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</si>
  <si>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</si>
  <si>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</si>
  <si>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</si>
  <si>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</si>
  <si>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</si>
  <si>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</si>
  <si>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</si>
  <si>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</si>
  <si>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</si>
  <si>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</si>
  <si>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</si>
  <si>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</si>
  <si>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</si>
  <si>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</si>
  <si>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</si>
  <si>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</si>
  <si>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</si>
  <si>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</si>
  <si>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</si>
  <si>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</si>
  <si>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</si>
  <si>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</si>
  <si>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</si>
  <si>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</si>
  <si>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</si>
  <si>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</si>
  <si>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</si>
  <si>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</si>
  <si>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</si>
  <si>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</si>
  <si>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</si>
  <si>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</si>
  <si>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</si>
  <si>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</si>
  <si>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</si>
  <si>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</si>
  <si>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</si>
  <si>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</si>
  <si>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</si>
  <si>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</si>
  <si>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</si>
  <si>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</si>
  <si>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</si>
  <si>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</si>
  <si>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</si>
  <si>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</si>
  <si>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</si>
  <si>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</si>
  <si>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</si>
  <si>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</si>
  <si>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</si>
  <si>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</si>
  <si>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</si>
  <si>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</si>
  <si>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</si>
  <si>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</si>
  <si>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</si>
  <si>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</si>
  <si>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</si>
  <si>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</si>
  <si>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</si>
  <si>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</si>
  <si>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</si>
  <si>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</si>
  <si>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</si>
  <si>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</si>
  <si>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</si>
  <si>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</si>
  <si>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</si>
  <si>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</si>
  <si>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</si>
  <si>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</si>
  <si>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</si>
  <si>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</si>
  <si>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</si>
  <si>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</si>
  <si>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</si>
  <si>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</si>
  <si>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</si>
  <si>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</si>
  <si>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</si>
  <si>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</si>
  <si>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</si>
  <si>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</si>
  <si>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</si>
  <si>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</si>
  <si>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</si>
  <si>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</si>
  <si>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</si>
  <si>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</si>
  <si>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</si>
  <si>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</si>
  <si>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</si>
  <si>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</si>
  <si>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</si>
  <si>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</si>
  <si>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</si>
  <si>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</si>
  <si>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</si>
  <si>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</si>
  <si>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</si>
  <si>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</si>
  <si>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</si>
  <si>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</si>
  <si>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</si>
  <si>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</si>
  <si>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</si>
  <si>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</si>
  <si>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</si>
  <si>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</si>
  <si>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</si>
  <si>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</si>
  <si>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</si>
  <si>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</si>
  <si>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</si>
  <si>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</si>
  <si>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</si>
  <si>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</si>
  <si>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</si>
  <si>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</si>
  <si>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</si>
  <si>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</si>
  <si>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</si>
  <si>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</si>
  <si>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</si>
  <si>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</si>
  <si>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</si>
  <si>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</si>
  <si>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</si>
  <si>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</si>
  <si>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</si>
  <si>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</si>
  <si>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</si>
  <si>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</si>
  <si>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</si>
  <si>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</si>
  <si>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</si>
  <si>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</si>
  <si>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</si>
  <si>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</si>
  <si>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</si>
  <si>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</si>
  <si>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</si>
  <si>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</si>
  <si>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</si>
  <si>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</si>
  <si>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</si>
  <si>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</si>
  <si>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</si>
  <si>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</si>
  <si>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</si>
  <si>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</si>
  <si>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</si>
  <si>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</si>
  <si>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</si>
  <si>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</si>
  <si>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</si>
  <si>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</si>
  <si>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</si>
  <si>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</si>
  <si>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</si>
  <si>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</si>
  <si>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</si>
  <si>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</si>
  <si>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</si>
  <si>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</si>
  <si>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</si>
  <si>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</si>
  <si>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</si>
  <si>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</si>
  <si>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</si>
  <si>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</si>
  <si>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</si>
  <si>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</si>
  <si>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</si>
  <si>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</si>
  <si>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</si>
  <si>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</si>
  <si>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</si>
  <si>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</si>
  <si>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</si>
  <si>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</si>
  <si>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</si>
  <si>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</si>
  <si>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</si>
  <si>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</si>
  <si>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</si>
  <si>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</si>
  <si>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</si>
  <si>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</si>
  <si>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</si>
  <si>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</si>
  <si>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</si>
  <si>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</si>
  <si>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</si>
  <si>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</si>
  <si>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</si>
  <si>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</si>
  <si>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</si>
  <si>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</si>
  <si>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</si>
  <si>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</si>
  <si>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</si>
  <si>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</si>
  <si>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</si>
  <si>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</si>
  <si>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</si>
  <si>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</si>
  <si>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</si>
  <si>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</si>
  <si>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</si>
  <si>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</si>
  <si>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</si>
  <si>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</si>
  <si>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</si>
  <si>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</si>
  <si>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</si>
  <si>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</si>
  <si>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</si>
  <si>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</si>
  <si>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</si>
  <si>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</si>
  <si>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</si>
  <si>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</si>
  <si>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</si>
  <si>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</si>
  <si>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</si>
  <si>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</si>
  <si>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</si>
  <si>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</si>
  <si>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</si>
  <si>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</si>
  <si>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</si>
  <si>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</si>
  <si>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</si>
  <si>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</si>
  <si>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</si>
  <si>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</si>
  <si>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</si>
  <si>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</si>
  <si>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</si>
  <si>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</si>
  <si>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</si>
  <si>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</si>
  <si>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</si>
  <si>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</si>
  <si>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</si>
  <si>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</si>
  <si>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</si>
  <si>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</si>
  <si>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</si>
  <si>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</si>
  <si>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</si>
  <si>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</si>
  <si>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</si>
  <si>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</si>
  <si>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</si>
  <si>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</si>
  <si>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</si>
  <si>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</si>
  <si>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</si>
  <si>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</si>
  <si>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</si>
  <si>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</si>
  <si>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</si>
  <si>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</si>
  <si>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</si>
  <si>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</si>
  <si>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</si>
  <si>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</si>
  <si>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</si>
  <si>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</si>
  <si>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</si>
  <si>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</si>
  <si>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</si>
  <si>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</si>
  <si>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</si>
  <si>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</si>
  <si>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</si>
  <si>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</si>
  <si>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</si>
  <si>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</si>
  <si>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</si>
  <si>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</si>
  <si>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</si>
  <si>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</si>
  <si>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</si>
  <si>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</si>
  <si>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</si>
  <si>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</si>
  <si>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</si>
  <si>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</si>
  <si>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</si>
  <si>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</si>
  <si>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</si>
  <si>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</si>
  <si>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</si>
  <si>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</si>
  <si>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</si>
  <si>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</si>
  <si>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</si>
  <si>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</si>
  <si>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</si>
  <si>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</si>
  <si>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</si>
  <si>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</si>
  <si>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</si>
  <si>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</si>
  <si>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</si>
  <si>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</si>
  <si>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</si>
  <si>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</si>
  <si>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</si>
  <si>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</si>
  <si>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</si>
  <si>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</si>
  <si>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</si>
  <si>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</si>
  <si>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</si>
  <si>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</si>
  <si>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</si>
  <si>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</si>
  <si>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</si>
  <si>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</si>
  <si>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</si>
  <si>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</si>
  <si>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</si>
  <si>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</si>
  <si>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</si>
  <si>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</si>
  <si>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</si>
  <si>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</si>
  <si>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</si>
  <si>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</si>
  <si>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</si>
  <si>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</si>
  <si>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</si>
  <si>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</si>
  <si>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</si>
  <si>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</si>
  <si>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</si>
  <si>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</si>
  <si>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</si>
  <si>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</si>
  <si>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</si>
  <si>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</si>
  <si>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</si>
  <si>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</si>
  <si>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</si>
  <si>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</si>
  <si>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</si>
  <si>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</si>
  <si>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</si>
  <si>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</si>
  <si>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</si>
  <si>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</si>
  <si>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</si>
  <si>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</si>
  <si>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</si>
  <si>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</si>
  <si>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</si>
  <si>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</si>
  <si>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</si>
  <si>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</si>
  <si>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</si>
  <si>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</si>
  <si>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</si>
  <si>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</si>
  <si>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</si>
  <si>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</si>
  <si>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</si>
  <si>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</si>
  <si>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</si>
  <si>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</si>
  <si>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</si>
  <si>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</si>
  <si>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</si>
  <si>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</si>
  <si>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</si>
  <si>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</si>
  <si>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</si>
  <si>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</si>
  <si>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</si>
  <si>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</si>
  <si>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</si>
  <si>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</si>
  <si>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</si>
  <si>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</si>
  <si>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</si>
  <si>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</si>
  <si>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</si>
  <si>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</si>
  <si>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</si>
  <si>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</si>
  <si>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</si>
  <si>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</si>
  <si>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</si>
  <si>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</si>
  <si>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</si>
  <si>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</si>
  <si>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</si>
  <si>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</si>
  <si>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</si>
  <si>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</si>
  <si>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</si>
  <si>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</si>
  <si>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</si>
  <si>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</si>
  <si>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</si>
  <si>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</si>
  <si>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</si>
  <si>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</si>
  <si>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</si>
  <si>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</si>
  <si>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</si>
  <si>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</si>
  <si>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</si>
  <si>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</si>
  <si>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</si>
  <si>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</si>
  <si>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</si>
  <si>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</si>
  <si>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</si>
  <si>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</si>
  <si>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</si>
  <si>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</si>
  <si>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</si>
  <si>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</si>
  <si>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</si>
  <si>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</si>
  <si>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</si>
  <si>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</si>
  <si>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</si>
  <si>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</si>
  <si>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</si>
  <si>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</si>
  <si>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</si>
  <si>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</si>
  <si>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</si>
  <si>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</si>
  <si>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</si>
  <si>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</si>
  <si>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</si>
  <si>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</si>
  <si>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</si>
  <si>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</si>
  <si>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</si>
  <si>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</si>
  <si>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</si>
  <si>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</si>
  <si>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</si>
  <si>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</si>
  <si>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</si>
  <si>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July 1, 2011 Fund Balance Different from June 30, 2010 DOE25 Page 19 Line 8 Due To Audit Adjustments</t>
  </si>
  <si>
    <t>Rollinsford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</si>
</sst>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9629-BD9C-430F-B4DC-C1BFB13288A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531" sqref="H531:H53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3" t="s">
        <v>895</v>
      </c>
      <c r="B2" s="21">
        <v>463</v>
      </c>
      <c r="C2" s="21">
        <v>463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3" t="s">
        <v>304</v>
      </c>
      <c r="G6" s="223" t="s">
        <v>305</v>
      </c>
      <c r="H6" s="223" t="s">
        <v>306</v>
      </c>
      <c r="I6" s="223" t="s">
        <v>307</v>
      </c>
      <c r="J6" s="223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3"/>
      <c r="G7" s="224"/>
      <c r="H7" s="223" t="s">
        <v>803</v>
      </c>
      <c r="I7" s="224"/>
      <c r="J7" s="224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74343.7</v>
      </c>
      <c r="G9" s="18">
        <v>48436.54</v>
      </c>
      <c r="H9" s="18">
        <v>35427.42</v>
      </c>
      <c r="I9" s="18">
        <v>0</v>
      </c>
      <c r="J9" s="66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4199.79</v>
      </c>
      <c r="G10" s="18">
        <v>0</v>
      </c>
      <c r="H10" s="18">
        <v>0</v>
      </c>
      <c r="I10" s="18">
        <v>0</v>
      </c>
      <c r="J10" s="66">
        <f>SUM(I432)</f>
        <v>129720.67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159638.71-10000</f>
        <v>149638.71</v>
      </c>
      <c r="G12" s="18">
        <v>9899.7199999999993</v>
      </c>
      <c r="H12" s="18">
        <v>0</v>
      </c>
      <c r="I12" s="18">
        <v>0</v>
      </c>
      <c r="J12" s="66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11534.85+3534.46</f>
        <v>15069.310000000001</v>
      </c>
      <c r="G13" s="18">
        <v>4504.1000000000004</v>
      </c>
      <c r="H13" s="18">
        <v>0</v>
      </c>
      <c r="I13" s="18">
        <v>0</v>
      </c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57.35</v>
      </c>
      <c r="H14" s="18">
        <v>0</v>
      </c>
      <c r="I14" s="18">
        <v>0</v>
      </c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243251.50999999998</v>
      </c>
      <c r="G19" s="41">
        <f>SUM(G9:G18)</f>
        <v>62897.71</v>
      </c>
      <c r="H19" s="41">
        <f>SUM(H9:H18)</f>
        <v>35427.42</v>
      </c>
      <c r="I19" s="41">
        <f>SUM(I9:I18)</f>
        <v>0</v>
      </c>
      <c r="J19" s="41">
        <f>SUM(J9:J18)</f>
        <v>129720.67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6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6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f>64902.05-2872.45</f>
        <v>62029.600000000006</v>
      </c>
      <c r="H23" s="18">
        <f>85224.59-50796.84</f>
        <v>34427.75</v>
      </c>
      <c r="I23" s="18">
        <v>0</v>
      </c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133096.35999999999</v>
      </c>
      <c r="G25" s="18">
        <v>0</v>
      </c>
      <c r="H25" s="18">
        <v>100.63</v>
      </c>
      <c r="I25" s="18">
        <v>0</v>
      </c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899.04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0</v>
      </c>
      <c r="H32" s="18">
        <v>0</v>
      </c>
      <c r="I32" s="18">
        <v>0</v>
      </c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133096.35999999999</v>
      </c>
      <c r="G33" s="41">
        <f>SUM(G23:G32)</f>
        <v>62029.600000000006</v>
      </c>
      <c r="H33" s="41">
        <f>SUM(H23:H32)</f>
        <v>35427.42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f>6936.99-6068.88</f>
        <v>868.10999999999967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0</v>
      </c>
      <c r="I41" s="18">
        <v>0</v>
      </c>
      <c r="J41" s="13">
        <f>SUM(I449)</f>
        <v>129720.67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f>121505.48-1350.33-10000</f>
        <v>110155.15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110155.15</v>
      </c>
      <c r="G43" s="41">
        <f>SUM(G35:G42)</f>
        <v>868.10999999999967</v>
      </c>
      <c r="H43" s="41">
        <f>SUM(H35:H42)</f>
        <v>0</v>
      </c>
      <c r="I43" s="41">
        <f>SUM(I35:I42)</f>
        <v>0</v>
      </c>
      <c r="J43" s="41">
        <f>SUM(J35:J42)</f>
        <v>129720.67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243251.50999999998</v>
      </c>
      <c r="G44" s="41">
        <f>G43+G33</f>
        <v>62897.710000000006</v>
      </c>
      <c r="H44" s="41">
        <f>H43+H33</f>
        <v>35427.42</v>
      </c>
      <c r="I44" s="41">
        <f>I43+I33</f>
        <v>0</v>
      </c>
      <c r="J44" s="41">
        <f>J43+J33</f>
        <v>129720.67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3413638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3413638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7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286.12</v>
      </c>
      <c r="G88" s="18">
        <v>0</v>
      </c>
      <c r="H88" s="18">
        <v>0</v>
      </c>
      <c r="I88" s="18">
        <v>0</v>
      </c>
      <c r="J88" s="18">
        <f>98.34+33.07</f>
        <v>131.41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18343.8+272.5+164+135.5+182.09+2228.1+1771.6</f>
        <v>23097.589999999997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2352.1999999999998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2638.3199999999997</v>
      </c>
      <c r="G103" s="41">
        <f>SUM(G88:G102)</f>
        <v>23097.589999999997</v>
      </c>
      <c r="H103" s="41">
        <f>SUM(H88:H102)</f>
        <v>0</v>
      </c>
      <c r="I103" s="41">
        <f>SUM(I88:I102)</f>
        <v>0</v>
      </c>
      <c r="J103" s="41">
        <f>SUM(J88:J102)</f>
        <v>131.41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3416276.32</v>
      </c>
      <c r="G104" s="41">
        <f>G52+G103</f>
        <v>23097.589999999997</v>
      </c>
      <c r="H104" s="41">
        <f>H52+H71+H86+H103</f>
        <v>0</v>
      </c>
      <c r="I104" s="41">
        <f>I52+I103</f>
        <v>0</v>
      </c>
      <c r="J104" s="41">
        <f>J52+J103</f>
        <v>131.41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520191.79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592499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18867.21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1131558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789.97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789.97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1131558</v>
      </c>
      <c r="G132" s="41">
        <f>G113+SUM(G128:G129)</f>
        <v>789.97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2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552.4+33950.41</f>
        <v>34502.810000000005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8267+5356.91+1237.89+9371.11+20921</f>
        <v>45153.91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21371.37-789.97</f>
        <v>20581.399999999998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24427.9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24427.9</v>
      </c>
      <c r="G154" s="41">
        <f>SUM(G142:G153)</f>
        <v>20581.399999999998</v>
      </c>
      <c r="H154" s="41">
        <f>SUM(H142:H153)</f>
        <v>79656.72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24427.9</v>
      </c>
      <c r="G161" s="41">
        <f>G139+G154+SUM(G155:G160)</f>
        <v>20581.399999999998</v>
      </c>
      <c r="H161" s="41">
        <f>H139+H154+SUM(H155:H160)</f>
        <v>79656.72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2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1000</v>
      </c>
      <c r="H171" s="18">
        <v>0</v>
      </c>
      <c r="I171" s="18">
        <v>0</v>
      </c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1000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3" t="s">
        <v>454</v>
      </c>
      <c r="E184" s="51">
        <v>5000</v>
      </c>
      <c r="F184" s="41">
        <f>F169+F175+SUM(F180:F183)</f>
        <v>0</v>
      </c>
      <c r="G184" s="41">
        <f>G175+SUM(G180:G183)</f>
        <v>1000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4" t="s">
        <v>454</v>
      </c>
      <c r="E185" s="44"/>
      <c r="F185" s="47">
        <f>F104+F132+F161+F184</f>
        <v>4572262.2200000007</v>
      </c>
      <c r="G185" s="47">
        <f>G104+G132+G161+G184</f>
        <v>45468.959999999992</v>
      </c>
      <c r="H185" s="47">
        <f>H104+H132+H161+H184</f>
        <v>79656.72</v>
      </c>
      <c r="I185" s="47">
        <f>I104+I132+I161+I184</f>
        <v>0</v>
      </c>
      <c r="J185" s="47">
        <f>J104+J132+J184</f>
        <v>10131.41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4" t="s">
        <v>724</v>
      </c>
      <c r="G186" s="174" t="s">
        <v>725</v>
      </c>
      <c r="H186" s="174" t="s">
        <v>726</v>
      </c>
      <c r="I186" s="174" t="s">
        <v>727</v>
      </c>
      <c r="J186" s="174" t="s">
        <v>728</v>
      </c>
      <c r="K186" s="174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846618.61</v>
      </c>
      <c r="G189" s="18">
        <v>312550.99</v>
      </c>
      <c r="H189" s="18">
        <v>28790.3</v>
      </c>
      <c r="I189" s="18">
        <v>34170.370000000003</v>
      </c>
      <c r="J189" s="18">
        <v>38370.07</v>
      </c>
      <c r="K189" s="18">
        <v>0</v>
      </c>
      <c r="L189" s="19">
        <f>SUM(F189:K189)</f>
        <v>1260500.3400000003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345586.01</v>
      </c>
      <c r="G190" s="18">
        <v>98094.59</v>
      </c>
      <c r="H190" s="18">
        <v>99791.26</v>
      </c>
      <c r="I190" s="18">
        <v>2280.4499999999998</v>
      </c>
      <c r="J190" s="18">
        <v>2829.58</v>
      </c>
      <c r="K190" s="18">
        <v>0</v>
      </c>
      <c r="L190" s="19">
        <f>SUM(F190:K190)</f>
        <v>548581.8899999999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2160</v>
      </c>
      <c r="G192" s="18">
        <v>338.48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2498.48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163141.68</v>
      </c>
      <c r="G194" s="18">
        <v>81259.42</v>
      </c>
      <c r="H194" s="18">
        <v>39723.81</v>
      </c>
      <c r="I194" s="18">
        <v>839.71</v>
      </c>
      <c r="J194" s="18">
        <v>3048</v>
      </c>
      <c r="K194" s="18">
        <v>0</v>
      </c>
      <c r="L194" s="19">
        <f t="shared" ref="L194:L200" si="0">SUM(F194:K194)</f>
        <v>288012.62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25205.02</v>
      </c>
      <c r="G195" s="18">
        <v>1928.04</v>
      </c>
      <c r="H195" s="18">
        <v>5106.6000000000004</v>
      </c>
      <c r="I195" s="18">
        <v>3464.31</v>
      </c>
      <c r="J195" s="18">
        <v>523.76</v>
      </c>
      <c r="K195" s="18">
        <v>2029.15</v>
      </c>
      <c r="L195" s="19">
        <f t="shared" si="0"/>
        <v>38256.880000000005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6395</v>
      </c>
      <c r="G196" s="18">
        <v>698.03</v>
      </c>
      <c r="H196" s="18">
        <v>203313.98</v>
      </c>
      <c r="I196" s="18">
        <v>1949</v>
      </c>
      <c r="J196" s="18">
        <v>0</v>
      </c>
      <c r="K196" s="18">
        <v>3009.3</v>
      </c>
      <c r="L196" s="19">
        <f t="shared" si="0"/>
        <v>215365.31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111226.78</v>
      </c>
      <c r="G197" s="18">
        <v>43153.97</v>
      </c>
      <c r="H197" s="18">
        <v>1154</v>
      </c>
      <c r="I197" s="18">
        <v>1088.4100000000001</v>
      </c>
      <c r="J197" s="18">
        <v>0</v>
      </c>
      <c r="K197" s="18">
        <v>0</v>
      </c>
      <c r="L197" s="19">
        <f t="shared" si="0"/>
        <v>156623.16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70038.75</v>
      </c>
      <c r="G199" s="18">
        <v>35587.370000000003</v>
      </c>
      <c r="H199" s="18">
        <v>56672.61</v>
      </c>
      <c r="I199" s="18">
        <v>60777.05</v>
      </c>
      <c r="J199" s="18">
        <v>364</v>
      </c>
      <c r="K199" s="18">
        <v>0</v>
      </c>
      <c r="L199" s="19">
        <f t="shared" si="0"/>
        <v>223439.77999999997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105760.71872813989</v>
      </c>
      <c r="I200" s="18">
        <v>0</v>
      </c>
      <c r="J200" s="18">
        <v>0</v>
      </c>
      <c r="K200" s="18">
        <v>0</v>
      </c>
      <c r="L200" s="19">
        <f t="shared" si="0"/>
        <v>105760.71872813989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1570371.85</v>
      </c>
      <c r="G203" s="41">
        <f t="shared" si="1"/>
        <v>573610.8899999999</v>
      </c>
      <c r="H203" s="41">
        <f t="shared" si="1"/>
        <v>540313.27872813994</v>
      </c>
      <c r="I203" s="41">
        <f t="shared" si="1"/>
        <v>104569.3</v>
      </c>
      <c r="J203" s="41">
        <f t="shared" si="1"/>
        <v>45135.41</v>
      </c>
      <c r="K203" s="41">
        <f t="shared" si="1"/>
        <v>5038.4500000000007</v>
      </c>
      <c r="L203" s="41">
        <f t="shared" si="1"/>
        <v>2839039.17872814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4" t="s">
        <v>724</v>
      </c>
      <c r="G204" s="174" t="s">
        <v>725</v>
      </c>
      <c r="H204" s="174" t="s">
        <v>726</v>
      </c>
      <c r="I204" s="174" t="s">
        <v>727</v>
      </c>
      <c r="J204" s="174" t="s">
        <v>728</v>
      </c>
      <c r="K204" s="174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461152.25</v>
      </c>
      <c r="I207" s="18">
        <v>0</v>
      </c>
      <c r="J207" s="18">
        <v>0</v>
      </c>
      <c r="K207" s="18">
        <v>0</v>
      </c>
      <c r="L207" s="19">
        <f>SUM(F207:K207)</f>
        <v>461152.25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93418.99</v>
      </c>
      <c r="I208" s="18">
        <v>0</v>
      </c>
      <c r="J208" s="18">
        <v>0</v>
      </c>
      <c r="K208" s="18">
        <v>0</v>
      </c>
      <c r="L208" s="19">
        <f>SUM(F208:K208)</f>
        <v>93418.99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26136.269570747219</v>
      </c>
      <c r="I218" s="18">
        <v>0</v>
      </c>
      <c r="J218" s="18">
        <v>0</v>
      </c>
      <c r="K218" s="18">
        <v>0</v>
      </c>
      <c r="L218" s="19">
        <f t="shared" si="2"/>
        <v>26136.269570747219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580707.50957074726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580707.50957074726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4" t="s">
        <v>724</v>
      </c>
      <c r="G222" s="174" t="s">
        <v>725</v>
      </c>
      <c r="H222" s="174" t="s">
        <v>726</v>
      </c>
      <c r="I222" s="174" t="s">
        <v>727</v>
      </c>
      <c r="J222" s="174" t="s">
        <v>728</v>
      </c>
      <c r="K222" s="174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1048869.1100000001</v>
      </c>
      <c r="I225" s="18">
        <v>0</v>
      </c>
      <c r="J225" s="18">
        <v>0</v>
      </c>
      <c r="K225" s="18">
        <v>0</v>
      </c>
      <c r="L225" s="19">
        <f>SUM(F225:K225)</f>
        <v>1048869.1100000001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44734.28</v>
      </c>
      <c r="I226" s="18">
        <v>0</v>
      </c>
      <c r="J226" s="18">
        <v>0</v>
      </c>
      <c r="K226" s="18">
        <v>0</v>
      </c>
      <c r="L226" s="19">
        <f>SUM(F226:K226)</f>
        <v>44734.28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59262.471701112874</v>
      </c>
      <c r="I236" s="18">
        <v>0</v>
      </c>
      <c r="J236" s="18">
        <v>0</v>
      </c>
      <c r="K236" s="18">
        <v>0</v>
      </c>
      <c r="L236" s="19">
        <f t="shared" si="4"/>
        <v>59262.471701112874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1152865.8617011129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1152865.8617011129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4" t="s">
        <v>724</v>
      </c>
      <c r="G240" s="174" t="s">
        <v>725</v>
      </c>
      <c r="H240" s="174" t="s">
        <v>726</v>
      </c>
      <c r="I240" s="174" t="s">
        <v>727</v>
      </c>
      <c r="J240" s="174" t="s">
        <v>728</v>
      </c>
      <c r="K240" s="174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1570371.85</v>
      </c>
      <c r="G249" s="41">
        <f t="shared" si="8"/>
        <v>573610.8899999999</v>
      </c>
      <c r="H249" s="41">
        <f t="shared" si="8"/>
        <v>2273886.6500000004</v>
      </c>
      <c r="I249" s="41">
        <f t="shared" si="8"/>
        <v>104569.3</v>
      </c>
      <c r="J249" s="41">
        <f t="shared" si="8"/>
        <v>45135.41</v>
      </c>
      <c r="K249" s="41">
        <f t="shared" si="8"/>
        <v>5038.4500000000007</v>
      </c>
      <c r="L249" s="41">
        <f t="shared" si="8"/>
        <v>4572612.55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1000</v>
      </c>
      <c r="L255" s="19">
        <f>SUM(F255:K255)</f>
        <v>1000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11000</v>
      </c>
      <c r="L262" s="41">
        <f t="shared" si="9"/>
        <v>11000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1570371.85</v>
      </c>
      <c r="G263" s="42">
        <f t="shared" si="11"/>
        <v>573610.8899999999</v>
      </c>
      <c r="H263" s="42">
        <f t="shared" si="11"/>
        <v>2273886.6500000004</v>
      </c>
      <c r="I263" s="42">
        <f t="shared" si="11"/>
        <v>104569.3</v>
      </c>
      <c r="J263" s="42">
        <f t="shared" si="11"/>
        <v>45135.41</v>
      </c>
      <c r="K263" s="42">
        <f t="shared" si="11"/>
        <v>16038.45</v>
      </c>
      <c r="L263" s="42">
        <f t="shared" si="11"/>
        <v>4583612.55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4" t="s">
        <v>724</v>
      </c>
      <c r="G265" s="174" t="s">
        <v>725</v>
      </c>
      <c r="H265" s="174" t="s">
        <v>726</v>
      </c>
      <c r="I265" s="174" t="s">
        <v>727</v>
      </c>
      <c r="J265" s="174" t="s">
        <v>728</v>
      </c>
      <c r="K265" s="174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18672</f>
        <v>18672</v>
      </c>
      <c r="G268" s="18">
        <f>1008+1056+8267</f>
        <v>10331</v>
      </c>
      <c r="H268" s="18">
        <v>0</v>
      </c>
      <c r="I268" s="18">
        <f>138.95</f>
        <v>138.94999999999999</v>
      </c>
      <c r="J268" s="18">
        <f>154.06</f>
        <v>154.06</v>
      </c>
      <c r="K268" s="18">
        <f>185</f>
        <v>185</v>
      </c>
      <c r="L268" s="19">
        <f>SUM(F268:K268)</f>
        <v>29481.010000000002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26750+5221.65</f>
        <v>31971.65</v>
      </c>
      <c r="G269" s="18">
        <f>1575+1150</f>
        <v>2725</v>
      </c>
      <c r="H269" s="18">
        <f>6000+2516</f>
        <v>8516</v>
      </c>
      <c r="I269" s="18">
        <f>3560.03+207.11</f>
        <v>3767.1400000000003</v>
      </c>
      <c r="J269" s="18">
        <v>0</v>
      </c>
      <c r="K269" s="18">
        <v>0</v>
      </c>
      <c r="L269" s="19">
        <f>SUM(F269:K269)</f>
        <v>46979.79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f>724+900</f>
        <v>1624</v>
      </c>
      <c r="I274" s="18">
        <v>0</v>
      </c>
      <c r="J274" s="18">
        <v>0</v>
      </c>
      <c r="K274" s="18">
        <v>0</v>
      </c>
      <c r="L274" s="19">
        <f t="shared" si="12"/>
        <v>1624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f>1000</f>
        <v>1000</v>
      </c>
      <c r="I277" s="18">
        <v>0</v>
      </c>
      <c r="J277" s="18">
        <v>0</v>
      </c>
      <c r="K277" s="18">
        <f>571.92</f>
        <v>571.91999999999996</v>
      </c>
      <c r="L277" s="19">
        <f t="shared" si="12"/>
        <v>1571.92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50643.65</v>
      </c>
      <c r="G282" s="42">
        <f t="shared" si="13"/>
        <v>13056</v>
      </c>
      <c r="H282" s="42">
        <f t="shared" si="13"/>
        <v>11140</v>
      </c>
      <c r="I282" s="42">
        <f t="shared" si="13"/>
        <v>3906.09</v>
      </c>
      <c r="J282" s="42">
        <f t="shared" si="13"/>
        <v>154.06</v>
      </c>
      <c r="K282" s="42">
        <f t="shared" si="13"/>
        <v>756.92</v>
      </c>
      <c r="L282" s="41">
        <f t="shared" si="13"/>
        <v>79656.72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4" t="s">
        <v>724</v>
      </c>
      <c r="G284" s="174" t="s">
        <v>725</v>
      </c>
      <c r="H284" s="174" t="s">
        <v>726</v>
      </c>
      <c r="I284" s="174" t="s">
        <v>727</v>
      </c>
      <c r="J284" s="174" t="s">
        <v>728</v>
      </c>
      <c r="K284" s="174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4" t="s">
        <v>724</v>
      </c>
      <c r="G303" s="174" t="s">
        <v>725</v>
      </c>
      <c r="H303" s="174" t="s">
        <v>726</v>
      </c>
      <c r="I303" s="174" t="s">
        <v>727</v>
      </c>
      <c r="J303" s="174" t="s">
        <v>728</v>
      </c>
      <c r="K303" s="174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4" t="s">
        <v>724</v>
      </c>
      <c r="G322" s="174" t="s">
        <v>725</v>
      </c>
      <c r="H322" s="174" t="s">
        <v>726</v>
      </c>
      <c r="I322" s="174" t="s">
        <v>727</v>
      </c>
      <c r="J322" s="174" t="s">
        <v>728</v>
      </c>
      <c r="K322" s="174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50643.65</v>
      </c>
      <c r="G330" s="41">
        <f t="shared" si="20"/>
        <v>13056</v>
      </c>
      <c r="H330" s="41">
        <f t="shared" si="20"/>
        <v>11140</v>
      </c>
      <c r="I330" s="41">
        <f t="shared" si="20"/>
        <v>3906.09</v>
      </c>
      <c r="J330" s="41">
        <f t="shared" si="20"/>
        <v>154.06</v>
      </c>
      <c r="K330" s="41">
        <f t="shared" si="20"/>
        <v>756.92</v>
      </c>
      <c r="L330" s="41">
        <f t="shared" si="20"/>
        <v>79656.72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50643.65</v>
      </c>
      <c r="G344" s="41">
        <f>G330</f>
        <v>13056</v>
      </c>
      <c r="H344" s="41">
        <f>H330</f>
        <v>11140</v>
      </c>
      <c r="I344" s="41">
        <f>I330</f>
        <v>3906.09</v>
      </c>
      <c r="J344" s="41">
        <f>J330</f>
        <v>154.06</v>
      </c>
      <c r="K344" s="47">
        <f>K330+K343</f>
        <v>756.92</v>
      </c>
      <c r="L344" s="41">
        <f>L330+L343</f>
        <v>79656.72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4" t="s">
        <v>724</v>
      </c>
      <c r="G346" s="174" t="s">
        <v>725</v>
      </c>
      <c r="H346" s="174" t="s">
        <v>726</v>
      </c>
      <c r="I346" s="174" t="s">
        <v>727</v>
      </c>
      <c r="J346" s="174" t="s">
        <v>728</v>
      </c>
      <c r="K346" s="174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420</f>
        <v>420</v>
      </c>
      <c r="G350" s="18">
        <f>32.13</f>
        <v>32.130000000000003</v>
      </c>
      <c r="H350" s="18">
        <f>43750.55+381.3</f>
        <v>44131.850000000006</v>
      </c>
      <c r="I350" s="18">
        <f>1028.86</f>
        <v>1028.8599999999999</v>
      </c>
      <c r="J350" s="18">
        <v>5925</v>
      </c>
      <c r="K350" s="18">
        <v>0</v>
      </c>
      <c r="L350" s="13">
        <f>SUM(F350:K350)</f>
        <v>51537.840000000004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420</v>
      </c>
      <c r="G354" s="47">
        <f t="shared" si="22"/>
        <v>32.130000000000003</v>
      </c>
      <c r="H354" s="47">
        <f t="shared" si="22"/>
        <v>44131.850000000006</v>
      </c>
      <c r="I354" s="47">
        <f t="shared" si="22"/>
        <v>1028.8599999999999</v>
      </c>
      <c r="J354" s="47">
        <f t="shared" si="22"/>
        <v>5925</v>
      </c>
      <c r="K354" s="47">
        <f t="shared" si="22"/>
        <v>0</v>
      </c>
      <c r="L354" s="47">
        <f t="shared" si="22"/>
        <v>51537.840000000004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>
        <v>0</v>
      </c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18">
        <f>I350</f>
        <v>1028.8599999999999</v>
      </c>
      <c r="G360" s="18">
        <v>0</v>
      </c>
      <c r="H360" s="18">
        <v>0</v>
      </c>
      <c r="I360" s="56">
        <f>SUM(F360:H360)</f>
        <v>1028.8599999999999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1028.8599999999999</v>
      </c>
      <c r="G361" s="47">
        <f>SUM(G359:G360)</f>
        <v>0</v>
      </c>
      <c r="H361" s="47">
        <f>SUM(H359:H360)</f>
        <v>0</v>
      </c>
      <c r="I361" s="47">
        <f>SUM(I359:I360)</f>
        <v>1028.8599999999999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4" t="s">
        <v>724</v>
      </c>
      <c r="G363" s="174" t="s">
        <v>725</v>
      </c>
      <c r="H363" s="174" t="s">
        <v>726</v>
      </c>
      <c r="I363" s="174" t="s">
        <v>727</v>
      </c>
      <c r="J363" s="174" t="s">
        <v>728</v>
      </c>
      <c r="K363" s="174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0</v>
      </c>
      <c r="G374" s="138">
        <f t="shared" ref="G374:L374" si="24">SUM(G366:G373)</f>
        <v>0</v>
      </c>
      <c r="H374" s="138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98.34</v>
      </c>
      <c r="I381" s="18">
        <v>0</v>
      </c>
      <c r="J381" s="24" t="s">
        <v>312</v>
      </c>
      <c r="K381" s="24" t="s">
        <v>312</v>
      </c>
      <c r="L381" s="56">
        <f t="shared" si="25"/>
        <v>98.34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10000</v>
      </c>
      <c r="H384" s="18">
        <v>33.07</v>
      </c>
      <c r="I384" s="18">
        <v>0</v>
      </c>
      <c r="J384" s="24" t="s">
        <v>312</v>
      </c>
      <c r="K384" s="24" t="s">
        <v>312</v>
      </c>
      <c r="L384" s="56">
        <f t="shared" si="25"/>
        <v>10033.07</v>
      </c>
      <c r="M384" s="8"/>
    </row>
    <row r="385" spans="1:13" s="3" customFormat="1" ht="12" customHeight="1" thickTop="1" x14ac:dyDescent="0.15">
      <c r="A385" s="157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10000</v>
      </c>
      <c r="H385" s="138">
        <f>SUM(H379:H384)</f>
        <v>131.41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10131.41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7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7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131.41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10131.41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4" t="s">
        <v>724</v>
      </c>
      <c r="G401" s="174" t="s">
        <v>725</v>
      </c>
      <c r="H401" s="174" t="s">
        <v>726</v>
      </c>
      <c r="I401" s="174" t="s">
        <v>727</v>
      </c>
      <c r="J401" s="174" t="s">
        <v>728</v>
      </c>
      <c r="K401" s="174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7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0</v>
      </c>
      <c r="J411" s="138">
        <f t="shared" si="28"/>
        <v>0</v>
      </c>
      <c r="K411" s="138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7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7"/>
    </row>
    <row r="425" spans="1:21" ht="12" customHeight="1" thickTop="1" thickBot="1" x14ac:dyDescent="0.25">
      <c r="A425" s="157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129720.67</v>
      </c>
      <c r="G432" s="18">
        <v>0</v>
      </c>
      <c r="H432" s="18">
        <v>0</v>
      </c>
      <c r="I432" s="56">
        <f t="shared" si="33"/>
        <v>129720.67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129720.67</v>
      </c>
      <c r="G438" s="13">
        <f>SUM(G431:G437)</f>
        <v>0</v>
      </c>
      <c r="H438" s="13">
        <f>SUM(H431:H437)</f>
        <v>0</v>
      </c>
      <c r="I438" s="13">
        <f>SUM(I431:I437)</f>
        <v>129720.67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129720.67</v>
      </c>
      <c r="G449" s="18">
        <v>0</v>
      </c>
      <c r="H449" s="18">
        <v>0</v>
      </c>
      <c r="I449" s="56">
        <f>SUM(F449:H449)</f>
        <v>129720.67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129720.67</v>
      </c>
      <c r="G450" s="82">
        <f>SUM(G446:G449)</f>
        <v>0</v>
      </c>
      <c r="H450" s="82">
        <f>SUM(H446:H449)</f>
        <v>0</v>
      </c>
      <c r="I450" s="82">
        <f>SUM(I446:I449)</f>
        <v>129720.67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4" t="s">
        <v>456</v>
      </c>
      <c r="E451" s="81"/>
      <c r="F451" s="42">
        <f>F444+F450</f>
        <v>129720.67</v>
      </c>
      <c r="G451" s="42">
        <f>G444+G450</f>
        <v>0</v>
      </c>
      <c r="H451" s="42">
        <f>H444+H450</f>
        <v>0</v>
      </c>
      <c r="I451" s="42">
        <f>I444+I450</f>
        <v>129720.67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6" t="s">
        <v>883</v>
      </c>
      <c r="B455" s="104">
        <v>19</v>
      </c>
      <c r="C455" s="110">
        <v>1</v>
      </c>
      <c r="D455" s="2" t="s">
        <v>456</v>
      </c>
      <c r="E455" s="110"/>
      <c r="F455" s="18">
        <f>121505.48</f>
        <v>121505.48</v>
      </c>
      <c r="G455" s="18">
        <v>6936.99</v>
      </c>
      <c r="H455" s="18">
        <v>0</v>
      </c>
      <c r="I455" s="18">
        <v>0</v>
      </c>
      <c r="J455" s="18">
        <v>119589.26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f>F185</f>
        <v>4572262.2200000007</v>
      </c>
      <c r="G458" s="18">
        <f>G185</f>
        <v>45468.959999999992</v>
      </c>
      <c r="H458" s="18">
        <f>H185</f>
        <v>79656.72</v>
      </c>
      <c r="I458" s="18">
        <f>I185</f>
        <v>0</v>
      </c>
      <c r="J458" s="18">
        <f>J185</f>
        <v>10131.41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4572262.2200000007</v>
      </c>
      <c r="G460" s="53">
        <f>SUM(G458:G459)</f>
        <v>45468.959999999992</v>
      </c>
      <c r="H460" s="53">
        <f>SUM(H458:H459)</f>
        <v>79656.72</v>
      </c>
      <c r="I460" s="53">
        <f>SUM(I458:I459)</f>
        <v>0</v>
      </c>
      <c r="J460" s="53">
        <f>SUM(J458:J459)</f>
        <v>10131.41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f>L263</f>
        <v>4583612.55</v>
      </c>
      <c r="G462" s="18">
        <f>L354</f>
        <v>51537.840000000004</v>
      </c>
      <c r="H462" s="18">
        <f>L344</f>
        <v>79656.72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4583612.55</v>
      </c>
      <c r="G464" s="53">
        <f>SUM(G462:G463)</f>
        <v>51537.840000000004</v>
      </c>
      <c r="H464" s="53">
        <f>SUM(H462:H463)</f>
        <v>79656.72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7" t="s">
        <v>884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110155.1500000013</v>
      </c>
      <c r="G466" s="53">
        <f>(G455+G460)- G464</f>
        <v>868.10999999998603</v>
      </c>
      <c r="H466" s="53">
        <f>(H455+H460)- H464</f>
        <v>0</v>
      </c>
      <c r="I466" s="53">
        <f>(I455+I460)- I464</f>
        <v>0</v>
      </c>
      <c r="J466" s="53">
        <f>(J455+J460)- J464</f>
        <v>129720.67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/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2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1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1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1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88" t="s">
        <v>885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52">
        <v>0</v>
      </c>
      <c r="G480" s="152">
        <v>0</v>
      </c>
      <c r="H480" s="152">
        <v>0</v>
      </c>
      <c r="I480" s="152">
        <v>0</v>
      </c>
      <c r="J480" s="152">
        <v>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152">
        <v>0</v>
      </c>
      <c r="G481" s="152">
        <v>0</v>
      </c>
      <c r="H481" s="152">
        <v>0</v>
      </c>
      <c r="I481" s="152">
        <v>0</v>
      </c>
      <c r="J481" s="152">
        <v>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152">
        <v>0</v>
      </c>
      <c r="G482" s="152">
        <v>0</v>
      </c>
      <c r="H482" s="152">
        <v>0</v>
      </c>
      <c r="I482" s="152">
        <v>0</v>
      </c>
      <c r="J482" s="152">
        <v>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52">
        <v>0</v>
      </c>
      <c r="G483" s="152">
        <v>0</v>
      </c>
      <c r="H483" s="152">
        <v>0</v>
      </c>
      <c r="I483" s="152">
        <v>0</v>
      </c>
      <c r="J483" s="152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52">
        <v>0</v>
      </c>
      <c r="G484" s="152">
        <v>0</v>
      </c>
      <c r="H484" s="152">
        <v>0</v>
      </c>
      <c r="I484" s="152">
        <v>0</v>
      </c>
      <c r="J484" s="152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52">
        <v>0</v>
      </c>
      <c r="G485" s="152">
        <v>0</v>
      </c>
      <c r="H485" s="152">
        <v>0</v>
      </c>
      <c r="I485" s="152">
        <v>0</v>
      </c>
      <c r="J485" s="152">
        <v>0</v>
      </c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52">
        <v>0</v>
      </c>
      <c r="G486" s="152">
        <v>0</v>
      </c>
      <c r="H486" s="152">
        <v>0</v>
      </c>
      <c r="I486" s="152">
        <v>0</v>
      </c>
      <c r="J486" s="152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52">
        <v>0</v>
      </c>
      <c r="G487" s="152">
        <v>0</v>
      </c>
      <c r="H487" s="152">
        <v>0</v>
      </c>
      <c r="I487" s="152">
        <v>0</v>
      </c>
      <c r="J487" s="152">
        <v>0</v>
      </c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198" t="s">
        <v>656</v>
      </c>
      <c r="B488" s="199">
        <v>20</v>
      </c>
      <c r="C488" s="200">
        <v>9</v>
      </c>
      <c r="D488" s="201" t="s">
        <v>456</v>
      </c>
      <c r="E488" s="200"/>
      <c r="F488" s="202">
        <v>0</v>
      </c>
      <c r="G488" s="202">
        <v>0</v>
      </c>
      <c r="H488" s="202">
        <v>0</v>
      </c>
      <c r="I488" s="202">
        <v>0</v>
      </c>
      <c r="J488" s="202">
        <v>0</v>
      </c>
      <c r="K488" s="203">
        <f t="shared" si="34"/>
        <v>0</v>
      </c>
      <c r="L488" s="204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202">
        <v>0</v>
      </c>
      <c r="G489" s="202">
        <v>0</v>
      </c>
      <c r="H489" s="202">
        <v>0</v>
      </c>
      <c r="I489" s="202">
        <v>0</v>
      </c>
      <c r="J489" s="202">
        <v>0</v>
      </c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3">
        <v>11</v>
      </c>
      <c r="D490" s="39" t="s">
        <v>456</v>
      </c>
      <c r="E490" s="193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198" t="s">
        <v>685</v>
      </c>
      <c r="B491" s="199">
        <v>20</v>
      </c>
      <c r="C491" s="200">
        <v>12</v>
      </c>
      <c r="D491" s="201" t="s">
        <v>456</v>
      </c>
      <c r="E491" s="200"/>
      <c r="F491" s="202">
        <v>0</v>
      </c>
      <c r="G491" s="202">
        <v>0</v>
      </c>
      <c r="H491" s="202">
        <v>0</v>
      </c>
      <c r="I491" s="202">
        <v>0</v>
      </c>
      <c r="J491" s="202">
        <v>0</v>
      </c>
      <c r="K491" s="203">
        <f t="shared" si="34"/>
        <v>0</v>
      </c>
      <c r="L491" s="204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202">
        <v>0</v>
      </c>
      <c r="G492" s="202">
        <v>0</v>
      </c>
      <c r="H492" s="202">
        <v>0</v>
      </c>
      <c r="I492" s="202">
        <v>0</v>
      </c>
      <c r="J492" s="202">
        <v>0</v>
      </c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3">
        <v>14</v>
      </c>
      <c r="D493" s="39" t="s">
        <v>456</v>
      </c>
      <c r="E493" s="193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/>
      <c r="G497" s="143"/>
      <c r="H497" s="143"/>
      <c r="I497" s="143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5" t="s">
        <v>886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4" t="s">
        <v>724</v>
      </c>
      <c r="G508" s="174" t="s">
        <v>725</v>
      </c>
      <c r="H508" s="174" t="s">
        <v>726</v>
      </c>
      <c r="I508" s="174" t="s">
        <v>727</v>
      </c>
      <c r="J508" s="174" t="s">
        <v>728</v>
      </c>
      <c r="K508" s="174" t="s">
        <v>729</v>
      </c>
      <c r="L508" s="105"/>
    </row>
    <row r="509" spans="1:12" s="52" customFormat="1" ht="12" customHeight="1" x14ac:dyDescent="0.2">
      <c r="A509" s="175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8">
        <v>346408.72</v>
      </c>
      <c r="G511" s="18">
        <v>97271.88</v>
      </c>
      <c r="H511" s="18">
        <v>99791.26</v>
      </c>
      <c r="I511" s="18">
        <v>2280.4499999999998</v>
      </c>
      <c r="J511" s="18">
        <v>2829.58</v>
      </c>
      <c r="K511" s="18">
        <v>0</v>
      </c>
      <c r="L511" s="87">
        <f>SUM(F511:K511)</f>
        <v>548581.8899999999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8">
        <v>0</v>
      </c>
      <c r="G512" s="18">
        <v>0</v>
      </c>
      <c r="H512" s="18">
        <v>93418.99</v>
      </c>
      <c r="I512" s="18">
        <v>0</v>
      </c>
      <c r="J512" s="18">
        <v>0</v>
      </c>
      <c r="K512" s="18">
        <v>0</v>
      </c>
      <c r="L512" s="87">
        <f>SUM(F512:K512)</f>
        <v>93418.99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8">
        <v>0</v>
      </c>
      <c r="G513" s="18">
        <v>0</v>
      </c>
      <c r="H513" s="18">
        <v>44734.28</v>
      </c>
      <c r="I513" s="18">
        <v>0</v>
      </c>
      <c r="J513" s="18">
        <v>0</v>
      </c>
      <c r="K513" s="18">
        <v>0</v>
      </c>
      <c r="L513" s="87">
        <f>SUM(F513:K513)</f>
        <v>44734.28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3">
        <v>4</v>
      </c>
      <c r="D514" s="194" t="s">
        <v>456</v>
      </c>
      <c r="E514" s="193"/>
      <c r="F514" s="107">
        <f>SUM(F511:F513)</f>
        <v>346408.72</v>
      </c>
      <c r="G514" s="107">
        <f t="shared" ref="G514:L514" si="35">SUM(G511:G513)</f>
        <v>97271.88</v>
      </c>
      <c r="H514" s="107">
        <f t="shared" si="35"/>
        <v>237944.53</v>
      </c>
      <c r="I514" s="107">
        <f t="shared" si="35"/>
        <v>2280.4499999999998</v>
      </c>
      <c r="J514" s="107">
        <f t="shared" si="35"/>
        <v>2829.58</v>
      </c>
      <c r="K514" s="107">
        <f t="shared" si="35"/>
        <v>0</v>
      </c>
      <c r="L514" s="88">
        <f t="shared" si="35"/>
        <v>686735.15999999992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8">
        <v>91243.56</v>
      </c>
      <c r="G516" s="18">
        <v>29690.11</v>
      </c>
      <c r="H516" s="18">
        <v>52006.95</v>
      </c>
      <c r="I516" s="18">
        <v>0</v>
      </c>
      <c r="J516" s="18">
        <v>0</v>
      </c>
      <c r="K516" s="18">
        <v>0</v>
      </c>
      <c r="L516" s="87">
        <f>SUM(F516:K516)</f>
        <v>172940.62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7">
        <f>SUM(F517:K517)</f>
        <v>0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7">
        <f>SUM(F518:K518)</f>
        <v>0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5" t="s">
        <v>456</v>
      </c>
      <c r="E519" s="106"/>
      <c r="F519" s="88">
        <f>SUM(F516:F518)</f>
        <v>91243.56</v>
      </c>
      <c r="G519" s="88">
        <f t="shared" ref="G519:L519" si="36">SUM(G516:G518)</f>
        <v>29690.11</v>
      </c>
      <c r="H519" s="88">
        <f t="shared" si="36"/>
        <v>52006.95</v>
      </c>
      <c r="I519" s="88">
        <f t="shared" si="36"/>
        <v>0</v>
      </c>
      <c r="J519" s="88">
        <f t="shared" si="36"/>
        <v>0</v>
      </c>
      <c r="K519" s="88">
        <f t="shared" si="36"/>
        <v>0</v>
      </c>
      <c r="L519" s="88">
        <f t="shared" si="36"/>
        <v>172940.62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8">
        <v>25281.729300381277</v>
      </c>
      <c r="G521" s="18">
        <v>12380.838467253987</v>
      </c>
      <c r="H521" s="18">
        <v>0</v>
      </c>
      <c r="I521" s="18">
        <v>81.376000000000005</v>
      </c>
      <c r="J521" s="18">
        <v>304.8</v>
      </c>
      <c r="K521" s="18">
        <v>0</v>
      </c>
      <c r="L521" s="87">
        <f>SUM(F521:K521)</f>
        <v>38048.743767635264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87">
        <f>SUM(F523:K523)</f>
        <v>0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5" t="s">
        <v>456</v>
      </c>
      <c r="E524" s="106"/>
      <c r="F524" s="88">
        <f>SUM(F521:F523)</f>
        <v>25281.729300381277</v>
      </c>
      <c r="G524" s="88">
        <f t="shared" ref="G524:L524" si="37">SUM(G521:G523)</f>
        <v>12380.838467253987</v>
      </c>
      <c r="H524" s="88">
        <f t="shared" si="37"/>
        <v>0</v>
      </c>
      <c r="I524" s="88">
        <f t="shared" si="37"/>
        <v>81.376000000000005</v>
      </c>
      <c r="J524" s="88">
        <f t="shared" si="37"/>
        <v>304.8</v>
      </c>
      <c r="K524" s="88">
        <f t="shared" si="37"/>
        <v>0</v>
      </c>
      <c r="L524" s="88">
        <f t="shared" si="37"/>
        <v>38048.743767635264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2" t="s">
        <v>312</v>
      </c>
      <c r="G525" s="192" t="s">
        <v>312</v>
      </c>
      <c r="H525" s="192" t="s">
        <v>312</v>
      </c>
      <c r="I525" s="192" t="s">
        <v>312</v>
      </c>
      <c r="J525" s="192" t="s">
        <v>312</v>
      </c>
      <c r="K525" s="192" t="s">
        <v>312</v>
      </c>
      <c r="L525" s="192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>
        <v>0</v>
      </c>
      <c r="G526" s="18">
        <v>0</v>
      </c>
      <c r="H526" s="18">
        <v>10390.16</v>
      </c>
      <c r="I526" s="18">
        <v>0</v>
      </c>
      <c r="J526" s="18">
        <v>0</v>
      </c>
      <c r="K526" s="18">
        <v>0</v>
      </c>
      <c r="L526" s="87">
        <f>SUM(F526:K526)</f>
        <v>10390.16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5" t="s">
        <v>456</v>
      </c>
      <c r="E529" s="106"/>
      <c r="F529" s="88">
        <f>SUM(F526:F528)</f>
        <v>0</v>
      </c>
      <c r="G529" s="88">
        <f t="shared" ref="G529:L529" si="38">SUM(G526:G528)</f>
        <v>0</v>
      </c>
      <c r="H529" s="88">
        <f t="shared" si="38"/>
        <v>10390.16</v>
      </c>
      <c r="I529" s="88">
        <f t="shared" si="38"/>
        <v>0</v>
      </c>
      <c r="J529" s="88">
        <f t="shared" si="38"/>
        <v>0</v>
      </c>
      <c r="K529" s="88">
        <f t="shared" si="38"/>
        <v>0</v>
      </c>
      <c r="L529" s="88">
        <f t="shared" si="38"/>
        <v>10390.16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8">
        <v>0</v>
      </c>
      <c r="G531" s="18">
        <v>0</v>
      </c>
      <c r="H531" s="18">
        <v>25612.528903020666</v>
      </c>
      <c r="I531" s="18">
        <v>0</v>
      </c>
      <c r="J531" s="18">
        <v>0</v>
      </c>
      <c r="K531" s="18">
        <v>0</v>
      </c>
      <c r="L531" s="87">
        <f>SUM(F531:K531)</f>
        <v>25612.528903020666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8">
        <v>0</v>
      </c>
      <c r="G532" s="18">
        <v>0</v>
      </c>
      <c r="H532" s="18">
        <v>6329.5330047694761</v>
      </c>
      <c r="I532" s="18">
        <v>0</v>
      </c>
      <c r="J532" s="18">
        <v>0</v>
      </c>
      <c r="K532" s="18">
        <v>0</v>
      </c>
      <c r="L532" s="87">
        <f>SUM(F532:K532)</f>
        <v>6329.5330047694761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8">
        <v>0</v>
      </c>
      <c r="G533" s="18">
        <v>0</v>
      </c>
      <c r="H533" s="18">
        <v>14351.848092209857</v>
      </c>
      <c r="I533" s="18">
        <v>0</v>
      </c>
      <c r="J533" s="18">
        <v>0</v>
      </c>
      <c r="K533" s="18">
        <v>0</v>
      </c>
      <c r="L533" s="87">
        <f>SUM(F533:K533)</f>
        <v>14351.848092209857</v>
      </c>
      <c r="M533" s="8"/>
    </row>
    <row r="534" spans="1:13" s="3" customFormat="1" ht="12" customHeight="1" thickTop="1" thickBot="1" x14ac:dyDescent="0.2">
      <c r="A534" s="129" t="s">
        <v>71</v>
      </c>
      <c r="B534" s="189">
        <v>21</v>
      </c>
      <c r="C534" s="189">
        <v>20</v>
      </c>
      <c r="D534" s="190" t="s">
        <v>456</v>
      </c>
      <c r="E534" s="189"/>
      <c r="F534" s="191">
        <f>SUM(F531:F533)</f>
        <v>0</v>
      </c>
      <c r="G534" s="191">
        <f t="shared" ref="G534:L534" si="39">SUM(G531:G533)</f>
        <v>0</v>
      </c>
      <c r="H534" s="191">
        <f t="shared" si="39"/>
        <v>46293.91</v>
      </c>
      <c r="I534" s="191">
        <f t="shared" si="39"/>
        <v>0</v>
      </c>
      <c r="J534" s="191">
        <f t="shared" si="39"/>
        <v>0</v>
      </c>
      <c r="K534" s="191">
        <f t="shared" si="39"/>
        <v>0</v>
      </c>
      <c r="L534" s="191">
        <f t="shared" si="39"/>
        <v>46293.91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5" t="s">
        <v>456</v>
      </c>
      <c r="E535" s="106"/>
      <c r="F535" s="88">
        <f>F514+F519+F524+F529+F534</f>
        <v>462934.00930038124</v>
      </c>
      <c r="G535" s="88">
        <f t="shared" ref="G535:L535" si="40">G514+G519+G524+G529+G534</f>
        <v>139342.828467254</v>
      </c>
      <c r="H535" s="88">
        <f t="shared" si="40"/>
        <v>346635.54999999993</v>
      </c>
      <c r="I535" s="88">
        <f t="shared" si="40"/>
        <v>2361.826</v>
      </c>
      <c r="J535" s="88">
        <f t="shared" si="40"/>
        <v>3134.38</v>
      </c>
      <c r="K535" s="88">
        <f t="shared" si="40"/>
        <v>0</v>
      </c>
      <c r="L535" s="88">
        <f t="shared" si="40"/>
        <v>954408.59376763529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548581.8899999999</v>
      </c>
      <c r="G539" s="86">
        <f>L516</f>
        <v>172940.62</v>
      </c>
      <c r="H539" s="86">
        <f>L521</f>
        <v>38048.743767635264</v>
      </c>
      <c r="I539" s="86">
        <f>L526</f>
        <v>10390.16</v>
      </c>
      <c r="J539" s="86">
        <f>L531</f>
        <v>25612.528903020666</v>
      </c>
      <c r="K539" s="86">
        <f>SUM(F539:J539)</f>
        <v>795573.9426706559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93418.99</v>
      </c>
      <c r="G540" s="86">
        <f>L517</f>
        <v>0</v>
      </c>
      <c r="H540" s="86">
        <f>L522</f>
        <v>0</v>
      </c>
      <c r="I540" s="86">
        <f>L527</f>
        <v>0</v>
      </c>
      <c r="J540" s="86">
        <f>L532</f>
        <v>6329.5330047694761</v>
      </c>
      <c r="K540" s="86">
        <f>SUM(F540:J540)</f>
        <v>99748.523004769479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44734.28</v>
      </c>
      <c r="G541" s="86">
        <f>L518</f>
        <v>0</v>
      </c>
      <c r="H541" s="86">
        <f>L523</f>
        <v>0</v>
      </c>
      <c r="I541" s="86">
        <f>L528</f>
        <v>0</v>
      </c>
      <c r="J541" s="86">
        <f>L533</f>
        <v>14351.848092209857</v>
      </c>
      <c r="K541" s="86">
        <f>SUM(F541:J541)</f>
        <v>59086.128092209852</v>
      </c>
      <c r="L541" s="24" t="s">
        <v>312</v>
      </c>
      <c r="M541" s="8"/>
    </row>
    <row r="542" spans="1:13" s="3" customFormat="1" ht="12" customHeight="1" thickTop="1" x14ac:dyDescent="0.15">
      <c r="A542" s="169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1">SUM(F539:F541)</f>
        <v>686735.15999999992</v>
      </c>
      <c r="G542" s="88">
        <f t="shared" si="41"/>
        <v>172940.62</v>
      </c>
      <c r="H542" s="88">
        <f t="shared" si="41"/>
        <v>38048.743767635264</v>
      </c>
      <c r="I542" s="88">
        <f t="shared" si="41"/>
        <v>10390.16</v>
      </c>
      <c r="J542" s="88">
        <f t="shared" si="41"/>
        <v>46293.91</v>
      </c>
      <c r="K542" s="88">
        <f t="shared" si="41"/>
        <v>954408.59376763518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4" t="s">
        <v>724</v>
      </c>
      <c r="G544" s="174" t="s">
        <v>725</v>
      </c>
      <c r="H544" s="174" t="s">
        <v>726</v>
      </c>
      <c r="I544" s="174" t="s">
        <v>727</v>
      </c>
      <c r="J544" s="174" t="s">
        <v>728</v>
      </c>
      <c r="K544" s="174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3">
        <v>4</v>
      </c>
      <c r="D550" s="194" t="s">
        <v>456</v>
      </c>
      <c r="E550" s="193"/>
      <c r="F550" s="107">
        <f t="shared" ref="F550:L550" si="42">SUM(F547:F549)</f>
        <v>0</v>
      </c>
      <c r="G550" s="107">
        <f t="shared" si="42"/>
        <v>0</v>
      </c>
      <c r="H550" s="107">
        <f t="shared" si="42"/>
        <v>0</v>
      </c>
      <c r="I550" s="107">
        <f t="shared" si="42"/>
        <v>0</v>
      </c>
      <c r="J550" s="107">
        <f t="shared" si="42"/>
        <v>0</v>
      </c>
      <c r="K550" s="107">
        <f t="shared" si="42"/>
        <v>0</v>
      </c>
      <c r="L550" s="88">
        <f t="shared" si="42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4" t="s">
        <v>456</v>
      </c>
      <c r="E555" s="106"/>
      <c r="F555" s="88">
        <f t="shared" ref="F555:L555" si="43">SUM(F552:F554)</f>
        <v>0</v>
      </c>
      <c r="G555" s="88">
        <f t="shared" si="43"/>
        <v>0</v>
      </c>
      <c r="H555" s="88">
        <f t="shared" si="43"/>
        <v>0</v>
      </c>
      <c r="I555" s="88">
        <f t="shared" si="43"/>
        <v>0</v>
      </c>
      <c r="J555" s="88">
        <f t="shared" si="43"/>
        <v>0</v>
      </c>
      <c r="K555" s="88">
        <f t="shared" si="43"/>
        <v>0</v>
      </c>
      <c r="L555" s="88">
        <f t="shared" si="43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89">
        <v>22</v>
      </c>
      <c r="C560" s="189">
        <v>12</v>
      </c>
      <c r="D560" s="195" t="s">
        <v>456</v>
      </c>
      <c r="E560" s="189"/>
      <c r="F560" s="191">
        <f>SUM(F557:F559)</f>
        <v>0</v>
      </c>
      <c r="G560" s="191">
        <f t="shared" ref="G560:L560" si="44">SUM(G557:G559)</f>
        <v>0</v>
      </c>
      <c r="H560" s="191">
        <f t="shared" si="44"/>
        <v>0</v>
      </c>
      <c r="I560" s="191">
        <f t="shared" si="44"/>
        <v>0</v>
      </c>
      <c r="J560" s="191">
        <f t="shared" si="44"/>
        <v>0</v>
      </c>
      <c r="K560" s="191">
        <f t="shared" si="44"/>
        <v>0</v>
      </c>
      <c r="L560" s="191">
        <f t="shared" si="44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5" t="s">
        <v>456</v>
      </c>
      <c r="E561" s="106"/>
      <c r="F561" s="88">
        <f>F550+F555+F560</f>
        <v>0</v>
      </c>
      <c r="G561" s="88">
        <f t="shared" ref="G561:L561" si="45">G550+G555+G560</f>
        <v>0</v>
      </c>
      <c r="H561" s="88">
        <f t="shared" si="45"/>
        <v>0</v>
      </c>
      <c r="I561" s="88">
        <f t="shared" si="45"/>
        <v>0</v>
      </c>
      <c r="J561" s="88">
        <f t="shared" si="45"/>
        <v>0</v>
      </c>
      <c r="K561" s="88">
        <f t="shared" si="45"/>
        <v>0</v>
      </c>
      <c r="L561" s="88">
        <f t="shared" si="45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806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>
        <v>0</v>
      </c>
      <c r="G565" s="18">
        <v>461152.25</v>
      </c>
      <c r="H565" s="18">
        <v>1048869.1100000001</v>
      </c>
      <c r="I565" s="86">
        <f>SUM(F565:H565)</f>
        <v>1510021.36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>
        <v>0</v>
      </c>
      <c r="G566" s="18">
        <v>0</v>
      </c>
      <c r="H566" s="18">
        <v>0</v>
      </c>
      <c r="I566" s="86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775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>
        <v>0</v>
      </c>
      <c r="I567" s="86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>
        <v>0</v>
      </c>
      <c r="G568" s="18">
        <v>0</v>
      </c>
      <c r="H568" s="18">
        <v>0</v>
      </c>
      <c r="I568" s="86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>
        <v>43761.86</v>
      </c>
      <c r="G569" s="18">
        <v>56835.83</v>
      </c>
      <c r="H569" s="18">
        <v>0</v>
      </c>
      <c r="I569" s="86">
        <f t="shared" si="46"/>
        <v>100597.69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>
        <v>0</v>
      </c>
      <c r="G570" s="18">
        <v>0</v>
      </c>
      <c r="H570" s="18">
        <v>0</v>
      </c>
      <c r="I570" s="86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4" t="s">
        <v>776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>
        <v>0</v>
      </c>
      <c r="I571" s="86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4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18">
        <v>21430.34</v>
      </c>
      <c r="G572" s="18">
        <v>36583.160000000003</v>
      </c>
      <c r="H572" s="18">
        <v>44734.28</v>
      </c>
      <c r="I572" s="86">
        <f t="shared" si="46"/>
        <v>102747.78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4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>
        <v>0</v>
      </c>
      <c r="G573" s="18">
        <v>0</v>
      </c>
      <c r="H573" s="18">
        <v>0</v>
      </c>
      <c r="I573" s="86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>
        <v>0</v>
      </c>
      <c r="G574" s="18">
        <v>0</v>
      </c>
      <c r="H574" s="18">
        <v>0</v>
      </c>
      <c r="I574" s="86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>
        <v>0</v>
      </c>
      <c r="I576" s="86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0" t="s">
        <v>778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5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8">
        <v>80148.189825119218</v>
      </c>
      <c r="I581" s="18">
        <v>19806.736565977742</v>
      </c>
      <c r="J581" s="18">
        <v>44910.623608903014</v>
      </c>
      <c r="K581" s="103">
        <f t="shared" ref="K581:K587" si="47">SUM(H581:J581)</f>
        <v>144865.54999999999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8">
        <v>25612.528903020666</v>
      </c>
      <c r="I582" s="18">
        <v>6329.5330047694761</v>
      </c>
      <c r="J582" s="18">
        <v>14351.848092209857</v>
      </c>
      <c r="K582" s="103">
        <f t="shared" si="47"/>
        <v>46293.91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>
        <v>0</v>
      </c>
      <c r="I583" s="18">
        <v>0</v>
      </c>
      <c r="J583" s="18">
        <v>0</v>
      </c>
      <c r="K583" s="103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>
        <v>0</v>
      </c>
      <c r="I584" s="18">
        <v>0</v>
      </c>
      <c r="J584" s="18">
        <v>0</v>
      </c>
      <c r="K584" s="103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68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18">
        <v>0</v>
      </c>
      <c r="I585" s="18">
        <v>0</v>
      </c>
      <c r="J585" s="18">
        <v>0</v>
      </c>
      <c r="K585" s="103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>
        <v>0</v>
      </c>
      <c r="I586" s="18">
        <v>0</v>
      </c>
      <c r="J586" s="18">
        <v>0</v>
      </c>
      <c r="K586" s="103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>
        <v>0</v>
      </c>
      <c r="I587" s="18">
        <v>0</v>
      </c>
      <c r="J587" s="18">
        <v>0</v>
      </c>
      <c r="K587" s="103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6">
        <v>2700</v>
      </c>
      <c r="G588" s="147" t="s">
        <v>97</v>
      </c>
      <c r="H588" s="107">
        <f>SUM(H581:H587)</f>
        <v>105760.71872813988</v>
      </c>
      <c r="I588" s="107">
        <f>SUM(I581:I587)</f>
        <v>26136.269570747219</v>
      </c>
      <c r="J588" s="107">
        <f>SUM(J581:J587)</f>
        <v>59262.471701112867</v>
      </c>
      <c r="K588" s="107">
        <f>SUM(K581:K587)</f>
        <v>191159.46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>
        <v>0</v>
      </c>
      <c r="I592" s="18">
        <v>0</v>
      </c>
      <c r="J592" s="18">
        <v>0</v>
      </c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>
        <v>0</v>
      </c>
      <c r="I593" s="18">
        <v>0</v>
      </c>
      <c r="J593" s="18">
        <v>0</v>
      </c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f>J249+J330</f>
        <v>45289.47</v>
      </c>
      <c r="I594" s="18">
        <v>0</v>
      </c>
      <c r="J594" s="18">
        <v>0</v>
      </c>
      <c r="K594" s="103">
        <f>SUM(H594:J594)</f>
        <v>45289.47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7" t="s">
        <v>500</v>
      </c>
      <c r="G595" s="146">
        <v>700</v>
      </c>
      <c r="H595" s="107">
        <f>SUM(H592:H594)</f>
        <v>45289.47</v>
      </c>
      <c r="I595" s="107">
        <f>SUM(I592:I594)</f>
        <v>0</v>
      </c>
      <c r="J595" s="107">
        <f>SUM(J592:J594)</f>
        <v>0</v>
      </c>
      <c r="K595" s="107">
        <f>SUM(K592:K594)</f>
        <v>45289.47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4" t="s">
        <v>724</v>
      </c>
      <c r="G599" s="174" t="s">
        <v>725</v>
      </c>
      <c r="H599" s="174" t="s">
        <v>726</v>
      </c>
      <c r="I599" s="174" t="s">
        <v>727</v>
      </c>
      <c r="J599" s="174" t="s">
        <v>728</v>
      </c>
      <c r="K599" s="174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7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7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7">
        <f>SUM(F603:K603)</f>
        <v>0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48">SUM(F601:F603)</f>
        <v>0</v>
      </c>
      <c r="G604" s="107">
        <f t="shared" si="48"/>
        <v>0</v>
      </c>
      <c r="H604" s="107">
        <f t="shared" si="48"/>
        <v>0</v>
      </c>
      <c r="I604" s="107">
        <f t="shared" si="48"/>
        <v>0</v>
      </c>
      <c r="J604" s="107">
        <f t="shared" si="48"/>
        <v>0</v>
      </c>
      <c r="K604" s="107">
        <f t="shared" si="48"/>
        <v>0</v>
      </c>
      <c r="L604" s="88">
        <f t="shared" si="48"/>
        <v>0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8" t="s">
        <v>53</v>
      </c>
      <c r="G606" s="149"/>
      <c r="H606" s="149"/>
      <c r="I606" s="148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243251.50999999998</v>
      </c>
      <c r="H607" s="108">
        <f>SUM(F44)</f>
        <v>243251.50999999998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62897.71</v>
      </c>
      <c r="H608" s="108">
        <f>SUM(G44)</f>
        <v>62897.710000000006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35427.42</v>
      </c>
      <c r="H609" s="108">
        <f>SUM(H44)</f>
        <v>35427.42</v>
      </c>
      <c r="I609" s="120" t="s">
        <v>103</v>
      </c>
      <c r="J609" s="108">
        <f>G609-H609</f>
        <v>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0</v>
      </c>
      <c r="H610" s="108">
        <f>SUM(I44)</f>
        <v>0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129720.67</v>
      </c>
      <c r="H611" s="108">
        <f>SUM(J44)</f>
        <v>129720.67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110155.15</v>
      </c>
      <c r="H612" s="108">
        <f>F466</f>
        <v>110155.1500000013</v>
      </c>
      <c r="I612" s="120" t="s">
        <v>106</v>
      </c>
      <c r="J612" s="108">
        <f t="shared" ref="J612:J645" si="49">G612-H612</f>
        <v>-1.3096723705530167E-9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868.10999999999967</v>
      </c>
      <c r="H613" s="108">
        <f>G466</f>
        <v>868.10999999998603</v>
      </c>
      <c r="I613" s="120" t="s">
        <v>108</v>
      </c>
      <c r="J613" s="108">
        <f t="shared" si="49"/>
        <v>1.3642420526593924E-11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0</v>
      </c>
      <c r="H614" s="108">
        <f>H466</f>
        <v>0</v>
      </c>
      <c r="I614" s="120" t="s">
        <v>110</v>
      </c>
      <c r="J614" s="108">
        <f t="shared" si="49"/>
        <v>0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0</v>
      </c>
      <c r="H615" s="108">
        <f>I466</f>
        <v>0</v>
      </c>
      <c r="I615" s="120" t="s">
        <v>112</v>
      </c>
      <c r="J615" s="108">
        <f t="shared" si="49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129720.67</v>
      </c>
      <c r="H616" s="108">
        <f>J466</f>
        <v>129720.67</v>
      </c>
      <c r="I616" s="139" t="s">
        <v>114</v>
      </c>
      <c r="J616" s="108">
        <f t="shared" si="49"/>
        <v>0</v>
      </c>
      <c r="K616" s="84"/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4572262.2200000007</v>
      </c>
      <c r="H617" s="103">
        <f>SUM(F458)</f>
        <v>4572262.2200000007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45468.959999999992</v>
      </c>
      <c r="H618" s="103">
        <f>SUM(G458)</f>
        <v>45468.959999999992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79656.72</v>
      </c>
      <c r="H619" s="103">
        <f>SUM(H458)</f>
        <v>79656.72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0</v>
      </c>
      <c r="H620" s="103">
        <f>SUM(I458)</f>
        <v>0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10131.41</v>
      </c>
      <c r="H621" s="103">
        <f>SUM(J458)</f>
        <v>10131.41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4583612.55</v>
      </c>
      <c r="H622" s="103">
        <f>SUM(F462)</f>
        <v>4583612.55</v>
      </c>
      <c r="I622" s="139" t="s">
        <v>120</v>
      </c>
      <c r="J622" s="108">
        <f t="shared" si="49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79656.72</v>
      </c>
      <c r="H623" s="103">
        <f>SUM(H462)</f>
        <v>79656.72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1028.8599999999999</v>
      </c>
      <c r="H624" s="103">
        <f>I361</f>
        <v>1028.8599999999999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51537.840000000004</v>
      </c>
      <c r="H625" s="103">
        <f>SUM(G462)</f>
        <v>51537.840000000004</v>
      </c>
      <c r="I625" s="139" t="s">
        <v>123</v>
      </c>
      <c r="J625" s="108">
        <f t="shared" si="49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0</v>
      </c>
      <c r="H626" s="103">
        <f>SUM(I462)</f>
        <v>0</v>
      </c>
      <c r="I626" s="139" t="s">
        <v>125</v>
      </c>
      <c r="J626" s="108">
        <f t="shared" si="49"/>
        <v>0</v>
      </c>
      <c r="K626" s="84"/>
      <c r="L626" s="87"/>
      <c r="M626" s="8"/>
    </row>
    <row r="627" spans="1:13" s="166" customFormat="1" ht="12" customHeight="1" x14ac:dyDescent="0.15">
      <c r="A627" s="158"/>
      <c r="B627" s="159"/>
      <c r="C627" s="159"/>
      <c r="D627" s="159"/>
      <c r="E627" s="159"/>
      <c r="F627" s="160" t="s">
        <v>501</v>
      </c>
      <c r="G627" s="149">
        <f>SUM(L400)</f>
        <v>10131.41</v>
      </c>
      <c r="H627" s="161">
        <f>SUM(J458)</f>
        <v>10131.41</v>
      </c>
      <c r="I627" s="162" t="s">
        <v>119</v>
      </c>
      <c r="J627" s="149">
        <f t="shared" si="49"/>
        <v>0</v>
      </c>
      <c r="K627" s="163"/>
      <c r="L627" s="164"/>
      <c r="M627" s="165"/>
    </row>
    <row r="628" spans="1:13" s="166" customFormat="1" ht="12" customHeight="1" x14ac:dyDescent="0.15">
      <c r="A628" s="158"/>
      <c r="B628" s="159"/>
      <c r="C628" s="159"/>
      <c r="D628" s="159"/>
      <c r="E628" s="159"/>
      <c r="F628" s="160" t="s">
        <v>502</v>
      </c>
      <c r="G628" s="149">
        <f>SUM(L426)</f>
        <v>0</v>
      </c>
      <c r="H628" s="161">
        <f>SUM(J462)</f>
        <v>0</v>
      </c>
      <c r="I628" s="162" t="s">
        <v>126</v>
      </c>
      <c r="J628" s="149">
        <f t="shared" si="49"/>
        <v>0</v>
      </c>
      <c r="K628" s="163"/>
      <c r="L628" s="164"/>
      <c r="M628" s="165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129720.67</v>
      </c>
      <c r="H629" s="103">
        <f>SUM(F451)</f>
        <v>129720.67</v>
      </c>
      <c r="I629" s="139" t="s">
        <v>128</v>
      </c>
      <c r="J629" s="108">
        <f t="shared" si="49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0</v>
      </c>
      <c r="H630" s="103">
        <f>SUM(G451)</f>
        <v>0</v>
      </c>
      <c r="I630" s="139" t="s">
        <v>130</v>
      </c>
      <c r="J630" s="108">
        <f t="shared" si="49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49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129720.67</v>
      </c>
      <c r="H632" s="103">
        <f>SUM(I451)</f>
        <v>129720.67</v>
      </c>
      <c r="I632" s="139" t="s">
        <v>134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49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131.41</v>
      </c>
      <c r="H634" s="103">
        <f>H400</f>
        <v>131.41</v>
      </c>
      <c r="I634" s="139" t="s">
        <v>504</v>
      </c>
      <c r="J634" s="108">
        <f t="shared" si="49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10000</v>
      </c>
      <c r="H635" s="103">
        <f>G400</f>
        <v>10000</v>
      </c>
      <c r="I635" s="139" t="s">
        <v>505</v>
      </c>
      <c r="J635" s="108">
        <f t="shared" si="49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10131.41</v>
      </c>
      <c r="H636" s="103">
        <f>L400</f>
        <v>10131.41</v>
      </c>
      <c r="I636" s="139" t="s">
        <v>501</v>
      </c>
      <c r="J636" s="108">
        <f t="shared" si="49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191159.46</v>
      </c>
      <c r="H637" s="103">
        <f>L200+L218+L236</f>
        <v>191159.46</v>
      </c>
      <c r="I637" s="139" t="s">
        <v>420</v>
      </c>
      <c r="J637" s="108">
        <f t="shared" si="49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45289.47</v>
      </c>
      <c r="H638" s="103">
        <f>(J249+J330)-(J247+J328)</f>
        <v>45289.47</v>
      </c>
      <c r="I638" s="139" t="s">
        <v>734</v>
      </c>
      <c r="J638" s="108">
        <f t="shared" si="49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105760.71872813989</v>
      </c>
      <c r="H639" s="103">
        <f>H588</f>
        <v>105760.71872813988</v>
      </c>
      <c r="I639" s="139" t="s">
        <v>412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26136.269570747219</v>
      </c>
      <c r="H640" s="103">
        <f>I588</f>
        <v>26136.269570747219</v>
      </c>
      <c r="I640" s="139" t="s">
        <v>413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59262.471701112874</v>
      </c>
      <c r="H641" s="103">
        <f>J588</f>
        <v>59262.471701112867</v>
      </c>
      <c r="I641" s="139" t="s">
        <v>414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1000</v>
      </c>
      <c r="H642" s="103">
        <f>K255+K337</f>
        <v>1000</v>
      </c>
      <c r="I642" s="139" t="s">
        <v>421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10000</v>
      </c>
      <c r="H645" s="103">
        <f>K258+K339</f>
        <v>10000</v>
      </c>
      <c r="I645" s="139" t="s">
        <v>424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2970233.73872814</v>
      </c>
      <c r="G650" s="19">
        <f>(L221+L301+L351)</f>
        <v>580707.50957074726</v>
      </c>
      <c r="H650" s="19">
        <f>(L239+L320+L352)</f>
        <v>1152865.8617011129</v>
      </c>
      <c r="I650" s="19">
        <f>SUM(F650:H650)</f>
        <v>4703807.1100000003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23097.589999999997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23097.589999999997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105760.71872813989</v>
      </c>
      <c r="G652" s="19">
        <f>(L218+L298)-(J218+J298)</f>
        <v>26136.269570747219</v>
      </c>
      <c r="H652" s="19">
        <f>(L236+L317)-(J236+J317)</f>
        <v>59262.471701112874</v>
      </c>
      <c r="I652" s="19">
        <f>SUM(F652:H652)</f>
        <v>191159.46</v>
      </c>
      <c r="J652"/>
      <c r="K652" s="13"/>
      <c r="L652" s="13"/>
      <c r="M652" s="9"/>
    </row>
    <row r="653" spans="1:13" s="3" customFormat="1" ht="12" customHeight="1" x14ac:dyDescent="0.15">
      <c r="A653" s="196" t="s">
        <v>142</v>
      </c>
      <c r="B653" s="166"/>
      <c r="C653" s="166"/>
      <c r="D653" s="166"/>
      <c r="E653" s="166"/>
      <c r="F653" s="197">
        <f>SUM(F565:F577)+SUM(H592:H594)+SUM(L601)</f>
        <v>110481.67</v>
      </c>
      <c r="G653" s="197">
        <f>SUM(G565:G577)+SUM(I592:I594)+L602</f>
        <v>554571.24</v>
      </c>
      <c r="H653" s="197">
        <f>SUM(H565:H577)+SUM(J592:J594)+L603</f>
        <v>1093603.3900000001</v>
      </c>
      <c r="I653" s="19">
        <f>SUM(F653:H653)</f>
        <v>1758656.3000000003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2730893.7600000002</v>
      </c>
      <c r="G654" s="19">
        <f>G650-SUM(G651:G653)</f>
        <v>0</v>
      </c>
      <c r="H654" s="19">
        <f>H650-SUM(H651:H653)</f>
        <v>0</v>
      </c>
      <c r="I654" s="19">
        <f>I650-SUM(I651:I653)</f>
        <v>2730893.76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5">
        <v>175.8</v>
      </c>
      <c r="G655" s="246"/>
      <c r="H655" s="246"/>
      <c r="I655" s="19">
        <f>SUM(F655:H655)</f>
        <v>175.8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15534.09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15534.09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15534.09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15534.09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B422-EFEA-4AE7-BF5D-197B3F1AF0AE}">
  <sheetPr>
    <tabColor indexed="20"/>
  </sheetPr>
  <dimension ref="A1:C52"/>
  <sheetViews>
    <sheetView topLeftCell="A19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816</v>
      </c>
      <c r="B1" s="230" t="str">
        <f>'DOE25'!A2</f>
        <v>Rollinsford SD</v>
      </c>
      <c r="C1" s="236" t="s">
        <v>870</v>
      </c>
    </row>
    <row r="2" spans="1:3" x14ac:dyDescent="0.2">
      <c r="A2" s="231"/>
      <c r="B2" s="230"/>
    </row>
    <row r="3" spans="1:3" x14ac:dyDescent="0.2">
      <c r="A3" s="271" t="s">
        <v>815</v>
      </c>
      <c r="B3" s="271"/>
      <c r="C3" s="271"/>
    </row>
    <row r="4" spans="1:3" x14ac:dyDescent="0.2">
      <c r="A4" s="234"/>
      <c r="B4" s="235" t="str">
        <f>'DOE25'!H1</f>
        <v>DOE 25  2010-2011</v>
      </c>
      <c r="C4" s="234"/>
    </row>
    <row r="5" spans="1:3" x14ac:dyDescent="0.2">
      <c r="A5" s="231"/>
      <c r="B5" s="230"/>
    </row>
    <row r="6" spans="1:3" x14ac:dyDescent="0.2">
      <c r="A6" s="225"/>
      <c r="B6" s="270" t="s">
        <v>814</v>
      </c>
      <c r="C6" s="270"/>
    </row>
    <row r="7" spans="1:3" x14ac:dyDescent="0.2">
      <c r="A7" s="237" t="s">
        <v>817</v>
      </c>
      <c r="B7" s="268" t="s">
        <v>813</v>
      </c>
      <c r="C7" s="269"/>
    </row>
    <row r="8" spans="1:3" x14ac:dyDescent="0.2">
      <c r="B8" s="226" t="s">
        <v>54</v>
      </c>
      <c r="C8" s="226" t="s">
        <v>807</v>
      </c>
    </row>
    <row r="9" spans="1:3" x14ac:dyDescent="0.2">
      <c r="A9" s="33" t="s">
        <v>808</v>
      </c>
      <c r="B9" s="227">
        <f>'DOE25'!F189+'DOE25'!F207+'DOE25'!F225+'DOE25'!F268+'DOE25'!F287+'DOE25'!F306</f>
        <v>865290.61</v>
      </c>
      <c r="C9" s="227">
        <f>'DOE25'!G189+'DOE25'!G207+'DOE25'!G225+'DOE25'!G268+'DOE25'!G287+'DOE25'!G306</f>
        <v>322881.99</v>
      </c>
    </row>
    <row r="10" spans="1:3" x14ac:dyDescent="0.2">
      <c r="A10" t="s">
        <v>810</v>
      </c>
      <c r="B10" s="238">
        <f>763955.7</f>
        <v>763955.7</v>
      </c>
      <c r="C10" s="238">
        <f>156468.86+6877.05+3242.16+1605.61+1112.79+58626.09+50421.88+14719.26+27.76+11357.35</f>
        <v>304458.80999999994</v>
      </c>
    </row>
    <row r="11" spans="1:3" x14ac:dyDescent="0.2">
      <c r="A11" t="s">
        <v>811</v>
      </c>
      <c r="B11" s="238">
        <f>39591.85+19532.56</f>
        <v>59124.41</v>
      </c>
      <c r="C11" s="238">
        <f>3028.7+1494.26+1768.33</f>
        <v>6291.29</v>
      </c>
    </row>
    <row r="12" spans="1:3" x14ac:dyDescent="0.2">
      <c r="A12" t="s">
        <v>812</v>
      </c>
      <c r="B12" s="238">
        <f>23538.2+18672.3</f>
        <v>42210.5</v>
      </c>
      <c r="C12" s="238">
        <f>1800.89+1008+1056+8267</f>
        <v>12131.89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865290.61</v>
      </c>
      <c r="C13" s="229">
        <f>SUM(C10:C12)</f>
        <v>322881.98999999993</v>
      </c>
    </row>
    <row r="14" spans="1:3" x14ac:dyDescent="0.2">
      <c r="B14" s="228"/>
      <c r="C14" s="228"/>
    </row>
    <row r="15" spans="1:3" x14ac:dyDescent="0.2">
      <c r="B15" s="270" t="s">
        <v>814</v>
      </c>
      <c r="C15" s="270"/>
    </row>
    <row r="16" spans="1:3" x14ac:dyDescent="0.2">
      <c r="A16" s="237" t="s">
        <v>818</v>
      </c>
      <c r="B16" s="268" t="s">
        <v>738</v>
      </c>
      <c r="C16" s="269"/>
    </row>
    <row r="17" spans="1:3" x14ac:dyDescent="0.2">
      <c r="B17" s="226" t="s">
        <v>54</v>
      </c>
      <c r="C17" s="226" t="s">
        <v>807</v>
      </c>
    </row>
    <row r="18" spans="1:3" x14ac:dyDescent="0.2">
      <c r="A18" s="33" t="s">
        <v>808</v>
      </c>
      <c r="B18" s="227">
        <f>'DOE25'!F190+'DOE25'!F208+'DOE25'!F226+'DOE25'!F269+'DOE25'!F288+'DOE25'!F307</f>
        <v>377557.66000000003</v>
      </c>
      <c r="C18" s="227">
        <f>'DOE25'!G190+'DOE25'!G208+'DOE25'!G226+'DOE25'!G269+'DOE25'!G288+'DOE25'!G307</f>
        <v>100819.59</v>
      </c>
    </row>
    <row r="19" spans="1:3" x14ac:dyDescent="0.2">
      <c r="A19" t="s">
        <v>810</v>
      </c>
      <c r="B19" s="238">
        <f>130960.96</f>
        <v>130960.96000000001</v>
      </c>
      <c r="C19" s="238">
        <f>42990.48+1172.83+564.84+260.88+534.52+9455.68+10510.98</f>
        <v>65490.209999999992</v>
      </c>
    </row>
    <row r="20" spans="1:3" x14ac:dyDescent="0.2">
      <c r="A20" t="s">
        <v>811</v>
      </c>
      <c r="B20" s="238">
        <f>26382.15+178819.2</f>
        <v>205201.35</v>
      </c>
      <c r="C20" s="238">
        <f>2018.28+13383.61+16379.78</f>
        <v>31781.670000000002</v>
      </c>
    </row>
    <row r="21" spans="1:3" x14ac:dyDescent="0.2">
      <c r="A21" t="s">
        <v>812</v>
      </c>
      <c r="B21" s="238">
        <f>9423.7+26750+5221.65</f>
        <v>41395.35</v>
      </c>
      <c r="C21" s="238">
        <f>822.71+1575+1150</f>
        <v>3547.71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377557.66</v>
      </c>
      <c r="C22" s="229">
        <f>SUM(C19:C21)</f>
        <v>100819.59</v>
      </c>
    </row>
    <row r="23" spans="1:3" x14ac:dyDescent="0.2">
      <c r="B23" s="228"/>
      <c r="C23" s="228"/>
    </row>
    <row r="24" spans="1:3" x14ac:dyDescent="0.2">
      <c r="B24" s="270" t="s">
        <v>814</v>
      </c>
      <c r="C24" s="270"/>
    </row>
    <row r="25" spans="1:3" x14ac:dyDescent="0.2">
      <c r="A25" s="237" t="s">
        <v>819</v>
      </c>
      <c r="B25" s="268" t="s">
        <v>739</v>
      </c>
      <c r="C25" s="269"/>
    </row>
    <row r="26" spans="1:3" x14ac:dyDescent="0.2">
      <c r="B26" s="226" t="s">
        <v>54</v>
      </c>
      <c r="C26" s="226" t="s">
        <v>807</v>
      </c>
    </row>
    <row r="27" spans="1:3" x14ac:dyDescent="0.2">
      <c r="A27" s="33" t="s">
        <v>808</v>
      </c>
      <c r="B27" s="232">
        <f>'DOE25'!F191+'DOE25'!F209+'DOE25'!F227+'DOE25'!F270+'DOE25'!F289+'DOE25'!F308</f>
        <v>0</v>
      </c>
      <c r="C27" s="232">
        <f>'DOE25'!G191+'DOE25'!G209+'DOE25'!G227+'DOE25'!G270+'DOE25'!G289+'DOE25'!G308</f>
        <v>0</v>
      </c>
    </row>
    <row r="28" spans="1:3" x14ac:dyDescent="0.2">
      <c r="A28" t="s">
        <v>810</v>
      </c>
      <c r="B28" s="238">
        <v>0</v>
      </c>
      <c r="C28" s="238">
        <v>0</v>
      </c>
    </row>
    <row r="29" spans="1:3" x14ac:dyDescent="0.2">
      <c r="A29" t="s">
        <v>811</v>
      </c>
      <c r="B29" s="238">
        <v>0</v>
      </c>
      <c r="C29" s="238">
        <v>0</v>
      </c>
    </row>
    <row r="30" spans="1:3" x14ac:dyDescent="0.2">
      <c r="A30" t="s">
        <v>812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0" t="s">
        <v>814</v>
      </c>
      <c r="C33" s="270"/>
    </row>
    <row r="34" spans="1:3" x14ac:dyDescent="0.2">
      <c r="A34" s="237" t="s">
        <v>820</v>
      </c>
      <c r="B34" s="268" t="s">
        <v>740</v>
      </c>
      <c r="C34" s="269"/>
    </row>
    <row r="35" spans="1:3" x14ac:dyDescent="0.2">
      <c r="B35" s="226" t="s">
        <v>54</v>
      </c>
      <c r="C35" s="226" t="s">
        <v>807</v>
      </c>
    </row>
    <row r="36" spans="1:3" x14ac:dyDescent="0.2">
      <c r="A36" s="33" t="s">
        <v>808</v>
      </c>
      <c r="B36" s="233">
        <f>'DOE25'!F192+'DOE25'!F210+'DOE25'!F228+'DOE25'!F271+'DOE25'!F290+'DOE25'!F309</f>
        <v>2160</v>
      </c>
      <c r="C36" s="233">
        <f>'DOE25'!G192+'DOE25'!G210+'DOE25'!G228+'DOE25'!G271+'DOE25'!G290+'DOE25'!G309</f>
        <v>338.48</v>
      </c>
    </row>
    <row r="37" spans="1:3" x14ac:dyDescent="0.2">
      <c r="A37" t="s">
        <v>810</v>
      </c>
      <c r="B37" s="238">
        <v>2160</v>
      </c>
      <c r="C37" s="238">
        <f>165.24+173.24</f>
        <v>338.48</v>
      </c>
    </row>
    <row r="38" spans="1:3" x14ac:dyDescent="0.2">
      <c r="A38" t="s">
        <v>811</v>
      </c>
      <c r="B38" s="238">
        <v>0</v>
      </c>
      <c r="C38" s="238">
        <v>0</v>
      </c>
    </row>
    <row r="39" spans="1:3" x14ac:dyDescent="0.2">
      <c r="A39" t="s">
        <v>812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2160</v>
      </c>
      <c r="C40" s="229">
        <f>SUM(C37:C39)</f>
        <v>338.48</v>
      </c>
    </row>
    <row r="41" spans="1:3" x14ac:dyDescent="0.2">
      <c r="B41" s="228"/>
      <c r="C41" s="228"/>
    </row>
    <row r="42" spans="1:3" x14ac:dyDescent="0.2">
      <c r="A42" s="33" t="s">
        <v>868</v>
      </c>
      <c r="B42" s="228"/>
      <c r="C42" s="228"/>
    </row>
    <row r="43" spans="1:3" x14ac:dyDescent="0.2">
      <c r="A43" t="s">
        <v>872</v>
      </c>
      <c r="B43" s="228"/>
      <c r="C43" s="228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2" t="s">
        <v>809</v>
      </c>
    </row>
    <row r="49" spans="1:1" x14ac:dyDescent="0.2">
      <c r="A49" s="266" t="s">
        <v>875</v>
      </c>
    </row>
    <row r="50" spans="1:1" x14ac:dyDescent="0.2">
      <c r="A50" s="266" t="s">
        <v>869</v>
      </c>
    </row>
    <row r="51" spans="1:1" x14ac:dyDescent="0.2">
      <c r="A51" s="266" t="s">
        <v>876</v>
      </c>
    </row>
    <row r="52" spans="1:1" x14ac:dyDescent="0.2">
      <c r="A52" s="267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1922-740C-4B25-A271-3F6F09B2155C}">
  <sheetPr>
    <tabColor indexed="11"/>
  </sheetPr>
  <dimension ref="A1:I51"/>
  <sheetViews>
    <sheetView workbookViewId="0">
      <pane ySplit="4" topLeftCell="A14" activePane="bottomLeft" state="frozen"/>
      <selection pane="bottomLeft" activeCell="J13" sqref="J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0" t="s">
        <v>821</v>
      </c>
      <c r="B1" s="275"/>
      <c r="C1" s="275"/>
      <c r="D1" s="275"/>
      <c r="E1" s="275"/>
      <c r="F1" s="275"/>
      <c r="G1" s="275"/>
      <c r="H1" s="275"/>
      <c r="I1" s="178"/>
    </row>
    <row r="2" spans="1:9" x14ac:dyDescent="0.2">
      <c r="A2" s="33" t="s">
        <v>748</v>
      </c>
      <c r="B2" s="263" t="str">
        <f>'DOE25'!A2</f>
        <v>Rollinsford SD</v>
      </c>
      <c r="C2" s="178"/>
      <c r="D2" s="178" t="s">
        <v>823</v>
      </c>
      <c r="E2" s="178" t="s">
        <v>825</v>
      </c>
      <c r="F2" s="272" t="s">
        <v>852</v>
      </c>
      <c r="G2" s="273"/>
      <c r="H2" s="274"/>
      <c r="I2" s="178"/>
    </row>
    <row r="3" spans="1:9" x14ac:dyDescent="0.2">
      <c r="A3" s="178" t="s">
        <v>94</v>
      </c>
      <c r="B3" s="226" t="s">
        <v>10</v>
      </c>
      <c r="C3" s="178" t="s">
        <v>5</v>
      </c>
      <c r="D3" s="178" t="s">
        <v>824</v>
      </c>
      <c r="E3" s="178" t="s">
        <v>826</v>
      </c>
      <c r="F3" s="239" t="s">
        <v>866</v>
      </c>
      <c r="G3" s="215" t="s">
        <v>59</v>
      </c>
      <c r="H3" s="240" t="s">
        <v>829</v>
      </c>
    </row>
    <row r="4" spans="1:9" x14ac:dyDescent="0.2">
      <c r="A4" s="249" t="s">
        <v>831</v>
      </c>
      <c r="B4" s="249" t="s">
        <v>847</v>
      </c>
      <c r="C4" s="249" t="s">
        <v>822</v>
      </c>
      <c r="D4" s="249" t="s">
        <v>848</v>
      </c>
      <c r="E4" s="249" t="s">
        <v>848</v>
      </c>
      <c r="F4" s="248" t="s">
        <v>828</v>
      </c>
      <c r="G4" s="249" t="s">
        <v>842</v>
      </c>
      <c r="H4" s="250" t="s">
        <v>830</v>
      </c>
    </row>
    <row r="5" spans="1:9" x14ac:dyDescent="0.2">
      <c r="A5" s="32">
        <v>1000</v>
      </c>
      <c r="B5" t="s">
        <v>218</v>
      </c>
      <c r="C5" s="243">
        <f t="shared" ref="C5:C19" si="0">SUM(D5:H5)</f>
        <v>3459755.3400000003</v>
      </c>
      <c r="D5" s="20">
        <f>SUM('DOE25'!L189:L192)+SUM('DOE25'!L207:L210)+SUM('DOE25'!L225:L228)-F5-G5</f>
        <v>3418555.6900000004</v>
      </c>
      <c r="E5" s="241"/>
      <c r="F5" s="253">
        <f>SUM('DOE25'!J189:J192)+SUM('DOE25'!J207:J210)+SUM('DOE25'!J225:J228)</f>
        <v>41199.65</v>
      </c>
      <c r="G5" s="53">
        <f>SUM('DOE25'!K189:K192)+SUM('DOE25'!K207:K210)+SUM('DOE25'!K225:K228)</f>
        <v>0</v>
      </c>
      <c r="H5" s="257"/>
    </row>
    <row r="6" spans="1:9" x14ac:dyDescent="0.2">
      <c r="A6" s="32">
        <v>2100</v>
      </c>
      <c r="B6" t="s">
        <v>832</v>
      </c>
      <c r="C6" s="243">
        <f t="shared" si="0"/>
        <v>288012.62</v>
      </c>
      <c r="D6" s="20">
        <f>'DOE25'!L194+'DOE25'!L212+'DOE25'!L230-F6-G6</f>
        <v>284964.62</v>
      </c>
      <c r="E6" s="241"/>
      <c r="F6" s="253">
        <f>'DOE25'!J194+'DOE25'!J212+'DOE25'!J230</f>
        <v>3048</v>
      </c>
      <c r="G6" s="53">
        <f>'DOE25'!K194+'DOE25'!K212+'DOE25'!K230</f>
        <v>0</v>
      </c>
      <c r="H6" s="257"/>
    </row>
    <row r="7" spans="1:9" x14ac:dyDescent="0.2">
      <c r="A7" s="32">
        <v>2200</v>
      </c>
      <c r="B7" t="s">
        <v>865</v>
      </c>
      <c r="C7" s="243">
        <f t="shared" si="0"/>
        <v>38256.880000000005</v>
      </c>
      <c r="D7" s="20">
        <f>'DOE25'!L195+'DOE25'!L213+'DOE25'!L231-F7-G7</f>
        <v>35703.97</v>
      </c>
      <c r="E7" s="241"/>
      <c r="F7" s="253">
        <f>'DOE25'!J195+'DOE25'!J213+'DOE25'!J231</f>
        <v>523.76</v>
      </c>
      <c r="G7" s="53">
        <f>'DOE25'!K195+'DOE25'!K213+'DOE25'!K231</f>
        <v>2029.15</v>
      </c>
      <c r="H7" s="257"/>
    </row>
    <row r="8" spans="1:9" x14ac:dyDescent="0.2">
      <c r="A8" s="32">
        <v>2300</v>
      </c>
      <c r="B8" t="s">
        <v>833</v>
      </c>
      <c r="C8" s="243">
        <f t="shared" si="0"/>
        <v>161219.19904000877</v>
      </c>
      <c r="D8" s="241"/>
      <c r="E8" s="20">
        <f>'DOE25'!L196+'DOE25'!L214+'DOE25'!L232-F8-G8-D9-D11</f>
        <v>158209.89904000878</v>
      </c>
      <c r="F8" s="253">
        <f>'DOE25'!J196+'DOE25'!J214+'DOE25'!J232</f>
        <v>0</v>
      </c>
      <c r="G8" s="53">
        <f>'DOE25'!K196+'DOE25'!K214+'DOE25'!K232</f>
        <v>3009.3</v>
      </c>
      <c r="H8" s="257"/>
    </row>
    <row r="9" spans="1:9" x14ac:dyDescent="0.2">
      <c r="A9" s="32">
        <v>2310</v>
      </c>
      <c r="B9" t="s">
        <v>849</v>
      </c>
      <c r="C9" s="243">
        <f t="shared" si="0"/>
        <v>3009.3</v>
      </c>
      <c r="D9" s="242">
        <v>3009.3</v>
      </c>
      <c r="E9" s="241"/>
      <c r="F9" s="256"/>
      <c r="G9" s="254"/>
      <c r="H9" s="257"/>
    </row>
    <row r="10" spans="1:9" x14ac:dyDescent="0.2">
      <c r="A10" s="32">
        <v>2317</v>
      </c>
      <c r="B10" t="s">
        <v>850</v>
      </c>
      <c r="C10" s="243">
        <f t="shared" si="0"/>
        <v>7000</v>
      </c>
      <c r="D10" s="241"/>
      <c r="E10" s="242">
        <v>7000</v>
      </c>
      <c r="F10" s="256"/>
      <c r="G10" s="254"/>
      <c r="H10" s="257"/>
    </row>
    <row r="11" spans="1:9" x14ac:dyDescent="0.2">
      <c r="A11" s="32">
        <v>2321</v>
      </c>
      <c r="B11" t="s">
        <v>862</v>
      </c>
      <c r="C11" s="243">
        <f t="shared" si="0"/>
        <v>51136.810959991235</v>
      </c>
      <c r="D11" s="242">
        <v>51136.810959991235</v>
      </c>
      <c r="E11" s="241"/>
      <c r="F11" s="256"/>
      <c r="G11" s="254"/>
      <c r="H11" s="257"/>
    </row>
    <row r="12" spans="1:9" x14ac:dyDescent="0.2">
      <c r="A12" s="32">
        <v>2400</v>
      </c>
      <c r="B12" t="s">
        <v>746</v>
      </c>
      <c r="C12" s="243">
        <f t="shared" si="0"/>
        <v>156623.16</v>
      </c>
      <c r="D12" s="20">
        <f>'DOE25'!L197+'DOE25'!L215+'DOE25'!L233-F12-G12</f>
        <v>156623.16</v>
      </c>
      <c r="E12" s="241"/>
      <c r="F12" s="253">
        <f>'DOE25'!J197+'DOE25'!J215+'DOE25'!J233</f>
        <v>0</v>
      </c>
      <c r="G12" s="53">
        <f>'DOE25'!K197+'DOE25'!K215+'DOE25'!K233</f>
        <v>0</v>
      </c>
      <c r="H12" s="257"/>
    </row>
    <row r="13" spans="1:9" x14ac:dyDescent="0.2">
      <c r="A13" s="32">
        <v>2500</v>
      </c>
      <c r="B13" t="s">
        <v>834</v>
      </c>
      <c r="C13" s="243">
        <f t="shared" si="0"/>
        <v>0</v>
      </c>
      <c r="D13" s="241"/>
      <c r="E13" s="20">
        <f>'DOE25'!L198+'DOE25'!L216+'DOE25'!L234-F13-G13</f>
        <v>0</v>
      </c>
      <c r="F13" s="253">
        <f>'DOE25'!J198+'DOE25'!J216+'DOE25'!J234</f>
        <v>0</v>
      </c>
      <c r="G13" s="53">
        <f>'DOE25'!K198+'DOE25'!K216+'DOE25'!K234</f>
        <v>0</v>
      </c>
      <c r="H13" s="257"/>
    </row>
    <row r="14" spans="1:9" x14ac:dyDescent="0.2">
      <c r="A14" s="32">
        <v>2600</v>
      </c>
      <c r="B14" t="s">
        <v>863</v>
      </c>
      <c r="C14" s="243">
        <f t="shared" si="0"/>
        <v>223439.77999999997</v>
      </c>
      <c r="D14" s="20">
        <f>'DOE25'!L199+'DOE25'!L217+'DOE25'!L235-F14-G14</f>
        <v>223075.77999999997</v>
      </c>
      <c r="E14" s="241"/>
      <c r="F14" s="253">
        <f>'DOE25'!J199+'DOE25'!J217+'DOE25'!J235</f>
        <v>364</v>
      </c>
      <c r="G14" s="53">
        <f>'DOE25'!K199+'DOE25'!K217+'DOE25'!K235</f>
        <v>0</v>
      </c>
      <c r="H14" s="257"/>
    </row>
    <row r="15" spans="1:9" x14ac:dyDescent="0.2">
      <c r="A15" s="32">
        <v>2700</v>
      </c>
      <c r="B15" t="s">
        <v>835</v>
      </c>
      <c r="C15" s="243">
        <f t="shared" si="0"/>
        <v>191159.46</v>
      </c>
      <c r="D15" s="20">
        <f>'DOE25'!L200+'DOE25'!L218+'DOE25'!L236-F15-G15</f>
        <v>191159.46</v>
      </c>
      <c r="E15" s="241"/>
      <c r="F15" s="253">
        <f>'DOE25'!J200+'DOE25'!J218+'DOE25'!J236</f>
        <v>0</v>
      </c>
      <c r="G15" s="53">
        <f>'DOE25'!K200+'DOE25'!K218+'DOE25'!K236</f>
        <v>0</v>
      </c>
      <c r="H15" s="257"/>
    </row>
    <row r="16" spans="1:9" x14ac:dyDescent="0.2">
      <c r="A16" s="32">
        <v>2800</v>
      </c>
      <c r="B16" t="s">
        <v>836</v>
      </c>
      <c r="C16" s="243">
        <f t="shared" si="0"/>
        <v>0</v>
      </c>
      <c r="D16" s="241"/>
      <c r="E16" s="20">
        <f>'DOE25'!L201+'DOE25'!L219+'DOE25'!L237-F16-G16</f>
        <v>0</v>
      </c>
      <c r="F16" s="253">
        <f>'DOE25'!J201+'DOE25'!J219+'DOE25'!J237</f>
        <v>0</v>
      </c>
      <c r="G16" s="53">
        <f>'DOE25'!K201+'DOE25'!K219+'DOE25'!K237</f>
        <v>0</v>
      </c>
      <c r="H16" s="257"/>
    </row>
    <row r="17" spans="1:8" x14ac:dyDescent="0.2">
      <c r="A17" s="32">
        <v>1600</v>
      </c>
      <c r="B17" t="s">
        <v>837</v>
      </c>
      <c r="C17" s="243">
        <f t="shared" si="0"/>
        <v>0</v>
      </c>
      <c r="D17" s="20">
        <f>'DOE25'!L243-F17-G17</f>
        <v>0</v>
      </c>
      <c r="E17" s="241"/>
      <c r="F17" s="253">
        <f>'DOE25'!J243</f>
        <v>0</v>
      </c>
      <c r="G17" s="53">
        <f>'DOE25'!K243</f>
        <v>0</v>
      </c>
      <c r="H17" s="257"/>
    </row>
    <row r="18" spans="1:8" x14ac:dyDescent="0.2">
      <c r="A18" s="32">
        <v>1700</v>
      </c>
      <c r="B18" t="s">
        <v>838</v>
      </c>
      <c r="C18" s="243">
        <f t="shared" si="0"/>
        <v>0</v>
      </c>
      <c r="D18" s="20">
        <f>'DOE25'!L244-F18-G18</f>
        <v>0</v>
      </c>
      <c r="E18" s="241"/>
      <c r="F18" s="253">
        <f>'DOE25'!J244</f>
        <v>0</v>
      </c>
      <c r="G18" s="53">
        <f>'DOE25'!K244</f>
        <v>0</v>
      </c>
      <c r="H18" s="257"/>
    </row>
    <row r="19" spans="1:8" x14ac:dyDescent="0.2">
      <c r="A19" s="32">
        <v>1800</v>
      </c>
      <c r="B19" t="s">
        <v>839</v>
      </c>
      <c r="C19" s="243">
        <f t="shared" si="0"/>
        <v>0</v>
      </c>
      <c r="D19" s="20">
        <f>'DOE25'!L245-F19-G19</f>
        <v>0</v>
      </c>
      <c r="E19" s="241"/>
      <c r="F19" s="253">
        <f>'DOE25'!J245</f>
        <v>0</v>
      </c>
      <c r="G19" s="53">
        <f>'DOE25'!K245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827</v>
      </c>
      <c r="F21" s="258"/>
      <c r="G21" s="52"/>
      <c r="H21" s="259"/>
    </row>
    <row r="22" spans="1:8" x14ac:dyDescent="0.2">
      <c r="A22" s="32">
        <v>4000</v>
      </c>
      <c r="B22" t="s">
        <v>864</v>
      </c>
      <c r="C22" s="243">
        <f>SUM(D22:H22)</f>
        <v>0</v>
      </c>
      <c r="D22" s="241"/>
      <c r="E22" s="241"/>
      <c r="F22" s="253">
        <f>'DOE25'!L247+'DOE25'!L328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487</v>
      </c>
      <c r="F24" s="258"/>
      <c r="G24" s="52"/>
      <c r="H24" s="259"/>
    </row>
    <row r="25" spans="1:8" x14ac:dyDescent="0.2">
      <c r="A25" s="32" t="s">
        <v>840</v>
      </c>
      <c r="B25" t="s">
        <v>841</v>
      </c>
      <c r="C25" s="243">
        <f>SUM(D25:H25)</f>
        <v>0</v>
      </c>
      <c r="D25" s="241"/>
      <c r="E25" s="241"/>
      <c r="F25" s="256"/>
      <c r="G25" s="254"/>
      <c r="H25" s="255">
        <f>'DOE25'!L252+'DOE25'!L253+'DOE25'!L333+'DOE25'!L334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843</v>
      </c>
      <c r="F27" s="258"/>
      <c r="G27" s="52"/>
      <c r="H27" s="259"/>
    </row>
    <row r="28" spans="1:8" x14ac:dyDescent="0.2">
      <c r="A28" s="32">
        <v>3100</v>
      </c>
      <c r="B28" t="s">
        <v>856</v>
      </c>
      <c r="F28" s="258"/>
      <c r="G28" s="52"/>
      <c r="H28" s="259"/>
    </row>
    <row r="29" spans="1:8" x14ac:dyDescent="0.2">
      <c r="A29" s="32"/>
      <c r="B29" t="s">
        <v>844</v>
      </c>
      <c r="C29" s="243">
        <f>SUM(D29:H29)</f>
        <v>51537.840000000004</v>
      </c>
      <c r="D29" s="20">
        <f>'DOE25'!L350+'DOE25'!L351+'DOE25'!L352-'DOE25'!I359-F29-G29</f>
        <v>45612.840000000004</v>
      </c>
      <c r="E29" s="241"/>
      <c r="F29" s="253">
        <f>'DOE25'!J350+'DOE25'!J351+'DOE25'!J352</f>
        <v>5925</v>
      </c>
      <c r="G29" s="53">
        <f>'DOE25'!K350+'DOE25'!K351+'DOE25'!K352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858</v>
      </c>
      <c r="B31" t="s">
        <v>857</v>
      </c>
      <c r="C31" s="243">
        <f>SUM(D31:H31)</f>
        <v>79656.72</v>
      </c>
      <c r="D31" s="20">
        <f>'DOE25'!L282+'DOE25'!L301+'DOE25'!L320+'DOE25'!L325+'DOE25'!L326+'DOE25'!L327-F31-G31</f>
        <v>78745.740000000005</v>
      </c>
      <c r="E31" s="241"/>
      <c r="F31" s="253">
        <f>'DOE25'!J282+'DOE25'!J301+'DOE25'!J320+'DOE25'!J325+'DOE25'!J326+'DOE25'!J327</f>
        <v>154.06</v>
      </c>
      <c r="G31" s="53">
        <f>'DOE25'!K282+'DOE25'!K301+'DOE25'!K320+'DOE25'!K325+'DOE25'!K326+'DOE25'!K327</f>
        <v>756.92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845</v>
      </c>
      <c r="D33" s="244">
        <f>SUM(D5:D31)</f>
        <v>4488587.3709599916</v>
      </c>
      <c r="E33" s="244">
        <f>SUM(E5:E31)</f>
        <v>165209.89904000878</v>
      </c>
      <c r="F33" s="244">
        <f>SUM(F5:F31)</f>
        <v>51214.47</v>
      </c>
      <c r="G33" s="244">
        <f>SUM(G5:G31)</f>
        <v>5795.3700000000008</v>
      </c>
      <c r="H33" s="244">
        <f>SUM(H5:H31)</f>
        <v>0</v>
      </c>
    </row>
    <row r="35" spans="2:8" ht="12" thickBot="1" x14ac:dyDescent="0.25">
      <c r="B35" s="251" t="s">
        <v>878</v>
      </c>
      <c r="D35" s="252">
        <f>E33</f>
        <v>165209.89904000878</v>
      </c>
      <c r="E35" s="247"/>
    </row>
    <row r="36" spans="2:8" ht="12" thickTop="1" x14ac:dyDescent="0.2">
      <c r="B36" t="s">
        <v>846</v>
      </c>
      <c r="D36" s="20">
        <f>D33</f>
        <v>4488587.3709599916</v>
      </c>
    </row>
    <row r="38" spans="2:8" x14ac:dyDescent="0.2">
      <c r="B38" s="184" t="s">
        <v>887</v>
      </c>
      <c r="C38" s="264"/>
      <c r="D38" s="265"/>
    </row>
    <row r="39" spans="2:8" x14ac:dyDescent="0.2">
      <c r="B39" t="s">
        <v>855</v>
      </c>
      <c r="D39" s="178" t="str">
        <f>IF(E10&gt;0,"Y","N")</f>
        <v>Y</v>
      </c>
    </row>
    <row r="41" spans="2:8" x14ac:dyDescent="0.2">
      <c r="B41" s="262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EEE0-FB6B-4DF9-B0D8-305930D7324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 SD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74343.7</v>
      </c>
      <c r="D9" s="94">
        <f>'DOE25'!G9</f>
        <v>48436.54</v>
      </c>
      <c r="E9" s="94">
        <f>'DOE25'!H9</f>
        <v>35427.42</v>
      </c>
      <c r="F9" s="94">
        <f>'DOE25'!I9</f>
        <v>0</v>
      </c>
      <c r="G9" s="94">
        <f>'DOE25'!J9</f>
        <v>0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4199.79</v>
      </c>
      <c r="D10" s="94">
        <f>'DOE25'!G10</f>
        <v>0</v>
      </c>
      <c r="E10" s="94">
        <f>'DOE25'!H10</f>
        <v>0</v>
      </c>
      <c r="F10" s="94">
        <f>'DOE25'!I10</f>
        <v>0</v>
      </c>
      <c r="G10" s="94">
        <f>'DOE25'!J10</f>
        <v>129720.67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149638.71</v>
      </c>
      <c r="D12" s="94">
        <f>'DOE25'!G12</f>
        <v>9899.7199999999993</v>
      </c>
      <c r="E12" s="94">
        <f>'DOE25'!H12</f>
        <v>0</v>
      </c>
      <c r="F12" s="94">
        <f>'DOE25'!I12</f>
        <v>0</v>
      </c>
      <c r="G12" s="94">
        <f>'DOE25'!J12</f>
        <v>0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15069.310000000001</v>
      </c>
      <c r="D13" s="94">
        <f>'DOE25'!G13</f>
        <v>4504.1000000000004</v>
      </c>
      <c r="E13" s="94">
        <f>'DOE25'!H13</f>
        <v>0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0</v>
      </c>
      <c r="D14" s="94">
        <f>'DOE25'!G14</f>
        <v>57.35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0</v>
      </c>
      <c r="D16" s="94">
        <f>'DOE25'!G16</f>
        <v>0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243251.50999999998</v>
      </c>
      <c r="D19" s="41">
        <f>SUM(D9:D18)</f>
        <v>62897.71</v>
      </c>
      <c r="E19" s="41">
        <f>SUM(E9:E18)</f>
        <v>35427.42</v>
      </c>
      <c r="F19" s="41">
        <f>SUM(F9:F18)</f>
        <v>0</v>
      </c>
      <c r="G19" s="41">
        <f>SUM(G9:G18)</f>
        <v>129720.67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0</v>
      </c>
      <c r="D22" s="94">
        <f>'DOE25'!G23</f>
        <v>62029.600000000006</v>
      </c>
      <c r="E22" s="94">
        <f>'DOE25'!H23</f>
        <v>34427.75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133096.35999999999</v>
      </c>
      <c r="D24" s="94">
        <f>'DOE25'!G25</f>
        <v>0</v>
      </c>
      <c r="E24" s="94">
        <f>'DOE25'!H25</f>
        <v>100.63</v>
      </c>
      <c r="F24" s="94">
        <f>'DOE25'!I25</f>
        <v>0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0</v>
      </c>
      <c r="D29" s="94">
        <f>'DOE25'!G30</f>
        <v>0</v>
      </c>
      <c r="E29" s="94">
        <f>'DOE25'!H30</f>
        <v>899.04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133096.35999999999</v>
      </c>
      <c r="D32" s="41">
        <f>SUM(D22:D31)</f>
        <v>62029.600000000006</v>
      </c>
      <c r="E32" s="41">
        <f>SUM(E22:E31)</f>
        <v>35427.42</v>
      </c>
      <c r="F32" s="41">
        <f>SUM(F22:F31)</f>
        <v>0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868.10999999999967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0</v>
      </c>
      <c r="F37" s="94">
        <f>'DOE25'!I38</f>
        <v>0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0</v>
      </c>
      <c r="D40" s="94">
        <f>'DOE25'!G41</f>
        <v>0</v>
      </c>
      <c r="E40" s="94">
        <f>'DOE25'!H41</f>
        <v>0</v>
      </c>
      <c r="F40" s="94">
        <f>'DOE25'!I41</f>
        <v>0</v>
      </c>
      <c r="G40" s="94">
        <f>'DOE25'!J41</f>
        <v>129720.67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110155.15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110155.15</v>
      </c>
      <c r="D42" s="41">
        <f>SUM(D34:D41)</f>
        <v>868.10999999999967</v>
      </c>
      <c r="E42" s="41">
        <f>SUM(E34:E41)</f>
        <v>0</v>
      </c>
      <c r="F42" s="41">
        <f>SUM(F34:F41)</f>
        <v>0</v>
      </c>
      <c r="G42" s="41">
        <f>SUM(G34:G41)</f>
        <v>129720.67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243251.50999999998</v>
      </c>
      <c r="D43" s="41">
        <f>D42+D32</f>
        <v>62897.710000000006</v>
      </c>
      <c r="E43" s="41">
        <f>E42+E32</f>
        <v>35427.42</v>
      </c>
      <c r="F43" s="41">
        <f>F42+F32</f>
        <v>0</v>
      </c>
      <c r="G43" s="41">
        <f>G42+G32</f>
        <v>129720.67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3413638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0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0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286.12</v>
      </c>
      <c r="D51" s="94">
        <f>'DOE25'!G88</f>
        <v>0</v>
      </c>
      <c r="E51" s="94">
        <f>'DOE25'!H88</f>
        <v>0</v>
      </c>
      <c r="F51" s="94">
        <f>'DOE25'!I88</f>
        <v>0</v>
      </c>
      <c r="G51" s="94">
        <f>'DOE25'!J88</f>
        <v>131.41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23097.589999999997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2352.1999999999998</v>
      </c>
      <c r="D53" s="94">
        <f>SUM('DOE25'!G90:G102)</f>
        <v>0</v>
      </c>
      <c r="E53" s="94">
        <f>SUM('DOE25'!H90:H102)</f>
        <v>0</v>
      </c>
      <c r="F53" s="94">
        <f>SUM('DOE25'!I90:I102)</f>
        <v>0</v>
      </c>
      <c r="G53" s="94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2638.3199999999997</v>
      </c>
      <c r="D54" s="129">
        <f>SUM(D49:D53)</f>
        <v>23097.589999999997</v>
      </c>
      <c r="E54" s="129">
        <f>SUM(E49:E53)</f>
        <v>0</v>
      </c>
      <c r="F54" s="129">
        <f>SUM(F49:F53)</f>
        <v>0</v>
      </c>
      <c r="G54" s="129">
        <f>SUM(G49:G53)</f>
        <v>131.41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3416276.32</v>
      </c>
      <c r="D55" s="22">
        <f>D48+D54</f>
        <v>23097.589999999997</v>
      </c>
      <c r="E55" s="22">
        <f>E48+E54</f>
        <v>0</v>
      </c>
      <c r="F55" s="22">
        <f>F48+F54</f>
        <v>0</v>
      </c>
      <c r="G55" s="22">
        <f>G48+G54</f>
        <v>131.41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4">
        <f>'DOE25'!F109</f>
        <v>520191.79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4">
        <f>'DOE25'!F110</f>
        <v>592499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4">
        <f>'DOE25'!F111</f>
        <v>18867.21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1131558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0</v>
      </c>
      <c r="D64" s="24" t="s">
        <v>312</v>
      </c>
      <c r="E64" s="24" t="s">
        <v>312</v>
      </c>
      <c r="F64" s="94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0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0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0</v>
      </c>
      <c r="D69" s="94">
        <f>SUM('DOE25'!G123:G127)</f>
        <v>789.97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0</v>
      </c>
      <c r="D70" s="129">
        <f>SUM(D64:D69)</f>
        <v>789.97</v>
      </c>
      <c r="E70" s="129">
        <f>SUM(E64:E69)</f>
        <v>0</v>
      </c>
      <c r="F70" s="129">
        <f>SUM(F64:F69)</f>
        <v>0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29">
        <f>SUM(C71:C72)+C70+C62</f>
        <v>1131558</v>
      </c>
      <c r="D73" s="129">
        <f>SUM(D71:D72)+D70+D62</f>
        <v>789.97</v>
      </c>
      <c r="E73" s="129">
        <f>SUM(E71:E72)+E70+E62</f>
        <v>0</v>
      </c>
      <c r="F73" s="129">
        <f>SUM(F71:F72)+F70+F62</f>
        <v>0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4">
        <f>'DOE25'!F139</f>
        <v>0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0</v>
      </c>
      <c r="F79" s="94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4">
        <f>SUM('DOE25'!F145:F153)</f>
        <v>24427.9</v>
      </c>
      <c r="D80" s="94">
        <f>SUM('DOE25'!G145:G153)</f>
        <v>20581.399999999998</v>
      </c>
      <c r="E80" s="94">
        <f>SUM('DOE25'!H145:H153)</f>
        <v>79656.72</v>
      </c>
      <c r="F80" s="94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4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0">
        <f>SUM(C77:C82)</f>
        <v>24427.9</v>
      </c>
      <c r="D83" s="130">
        <f>SUM(D77:D82)</f>
        <v>20581.399999999998</v>
      </c>
      <c r="E83" s="130">
        <f>SUM(E77:E82)</f>
        <v>79656.72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4">
        <f>'DOE25'!G171</f>
        <v>1000</v>
      </c>
      <c r="E88" s="94">
        <f>'DOE25'!H171</f>
        <v>0</v>
      </c>
      <c r="F88" s="94">
        <f>'DOE25'!I171</f>
        <v>0</v>
      </c>
      <c r="G88" s="94">
        <f>'DOE25'!J171</f>
        <v>10000</v>
      </c>
    </row>
    <row r="89" spans="1:7" x14ac:dyDescent="0.2">
      <c r="A89" t="s">
        <v>789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790</v>
      </c>
      <c r="B90" s="32" t="s">
        <v>212</v>
      </c>
      <c r="C90" s="94">
        <f>'DOE25'!F174</f>
        <v>0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791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5">
        <f>SUM(C85:C94)</f>
        <v>0</v>
      </c>
      <c r="D95" s="85">
        <f>SUM(D85:D94)</f>
        <v>1000</v>
      </c>
      <c r="E95" s="85">
        <f>SUM(E85:E94)</f>
        <v>0</v>
      </c>
      <c r="F95" s="85">
        <f>SUM(F85:F94)</f>
        <v>0</v>
      </c>
      <c r="G95" s="85">
        <f>SUM(G85:G94)</f>
        <v>10000</v>
      </c>
    </row>
    <row r="96" spans="1:7" ht="12.75" thickTop="1" thickBot="1" x14ac:dyDescent="0.25">
      <c r="A96" s="33" t="s">
        <v>796</v>
      </c>
      <c r="C96" s="85">
        <f>C55+C73+C83+C95</f>
        <v>4572262.2200000007</v>
      </c>
      <c r="D96" s="85">
        <f>D55+D73+D83+D95</f>
        <v>45468.959999999992</v>
      </c>
      <c r="E96" s="85">
        <f>E55+E73+E83+E95</f>
        <v>79656.72</v>
      </c>
      <c r="F96" s="85">
        <f>F55+F73+F83+F95</f>
        <v>0</v>
      </c>
      <c r="G96" s="85">
        <f>G55+G73+G95</f>
        <v>10131.41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2770521.7</v>
      </c>
      <c r="D101" s="24" t="s">
        <v>312</v>
      </c>
      <c r="E101" s="94">
        <f>('DOE25'!L268)+('DOE25'!L287)+('DOE25'!L306)</f>
        <v>29481.010000000002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686735.15999999992</v>
      </c>
      <c r="D102" s="24" t="s">
        <v>312</v>
      </c>
      <c r="E102" s="94">
        <f>('DOE25'!L269)+('DOE25'!L288)+('DOE25'!L307)</f>
        <v>46979.79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0</v>
      </c>
      <c r="D103" s="24" t="s">
        <v>312</v>
      </c>
      <c r="E103" s="94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2498.48</v>
      </c>
      <c r="D104" s="24" t="s">
        <v>312</v>
      </c>
      <c r="E104" s="94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0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0</v>
      </c>
      <c r="D106" s="24" t="s">
        <v>312</v>
      </c>
      <c r="E106" s="94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3459755.3400000003</v>
      </c>
      <c r="D107" s="85">
        <f>SUM(D101:D106)</f>
        <v>0</v>
      </c>
      <c r="E107" s="85">
        <f>SUM(E101:E106)</f>
        <v>76460.800000000003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288012.62</v>
      </c>
      <c r="D110" s="24" t="s">
        <v>312</v>
      </c>
      <c r="E110" s="94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38256.880000000005</v>
      </c>
      <c r="D111" s="24" t="s">
        <v>312</v>
      </c>
      <c r="E111" s="94">
        <f>+('DOE25'!L274)+('DOE25'!L293)+('DOE25'!L312)</f>
        <v>1624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215365.31</v>
      </c>
      <c r="D112" s="24" t="s">
        <v>312</v>
      </c>
      <c r="E112" s="94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156623.16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0</v>
      </c>
      <c r="D114" s="24" t="s">
        <v>312</v>
      </c>
      <c r="E114" s="94">
        <f>+('DOE25'!L277)+('DOE25'!L296)+('DOE25'!L315)</f>
        <v>1571.92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223439.77999999997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191159.46</v>
      </c>
      <c r="D116" s="24" t="s">
        <v>312</v>
      </c>
      <c r="E116" s="94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0</v>
      </c>
      <c r="D117" s="24" t="s">
        <v>312</v>
      </c>
      <c r="E117" s="94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51537.840000000004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1112857.21</v>
      </c>
      <c r="D120" s="85">
        <f>SUM(D110:D119)</f>
        <v>51537.840000000004</v>
      </c>
      <c r="E120" s="85">
        <f>SUM(E110:E119)</f>
        <v>3195.92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0</v>
      </c>
      <c r="D122" s="24" t="s">
        <v>312</v>
      </c>
      <c r="E122" s="128">
        <f>'DOE25'!L328</f>
        <v>0</v>
      </c>
      <c r="F122" s="128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0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0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0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1000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10131.41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4">
        <f>('DOE25'!L258+'DOE25'!K339) - (C130+C131+C132)</f>
        <v>-131.40999999999985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11000</v>
      </c>
      <c r="D136" s="140">
        <f>SUM(D122:D135)</f>
        <v>0</v>
      </c>
      <c r="E136" s="140">
        <f>SUM(E122:E135)</f>
        <v>0</v>
      </c>
      <c r="F136" s="140">
        <f>SUM(F122:F135)</f>
        <v>0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4583612.5500000007</v>
      </c>
      <c r="D137" s="85">
        <f>(D107+D120+D136)</f>
        <v>51537.840000000004</v>
      </c>
      <c r="E137" s="85">
        <f>(E107+E120+E136)</f>
        <v>79656.72</v>
      </c>
      <c r="F137" s="85">
        <f>(F107+F120+F136)</f>
        <v>0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1">
        <f>'DOE25'!F480</f>
        <v>0</v>
      </c>
      <c r="C143" s="151">
        <f>'DOE25'!G480</f>
        <v>0</v>
      </c>
      <c r="D143" s="151">
        <f>'DOE25'!H480</f>
        <v>0</v>
      </c>
      <c r="E143" s="151">
        <f>'DOE25'!I480</f>
        <v>0</v>
      </c>
      <c r="F143" s="151">
        <f>'DOE25'!J480</f>
        <v>0</v>
      </c>
      <c r="G143" s="24" t="s">
        <v>312</v>
      </c>
    </row>
    <row r="144" spans="1:9" x14ac:dyDescent="0.2">
      <c r="A144" s="135" t="s">
        <v>28</v>
      </c>
      <c r="B144" s="150">
        <f>'DOE25'!F481</f>
        <v>0</v>
      </c>
      <c r="C144" s="150">
        <f>'DOE25'!G481</f>
        <v>0</v>
      </c>
      <c r="D144" s="150">
        <f>'DOE25'!H481</f>
        <v>0</v>
      </c>
      <c r="E144" s="150">
        <f>'DOE25'!I481</f>
        <v>0</v>
      </c>
      <c r="F144" s="150">
        <f>'DOE25'!J481</f>
        <v>0</v>
      </c>
      <c r="G144" s="24" t="s">
        <v>312</v>
      </c>
    </row>
    <row r="145" spans="1:7" x14ac:dyDescent="0.2">
      <c r="A145" s="135" t="s">
        <v>29</v>
      </c>
      <c r="B145" s="150">
        <f>'DOE25'!F482</f>
        <v>0</v>
      </c>
      <c r="C145" s="150">
        <f>'DOE25'!G482</f>
        <v>0</v>
      </c>
      <c r="D145" s="150">
        <f>'DOE25'!H482</f>
        <v>0</v>
      </c>
      <c r="E145" s="150">
        <f>'DOE25'!I482</f>
        <v>0</v>
      </c>
      <c r="F145" s="150">
        <f>'DOE25'!J482</f>
        <v>0</v>
      </c>
      <c r="G145" s="24" t="s">
        <v>312</v>
      </c>
    </row>
    <row r="146" spans="1:7" x14ac:dyDescent="0.2">
      <c r="A146" s="135" t="s">
        <v>30</v>
      </c>
      <c r="B146" s="136">
        <f>'DOE25'!F483</f>
        <v>0</v>
      </c>
      <c r="C146" s="136">
        <f>'DOE25'!G483</f>
        <v>0</v>
      </c>
      <c r="D146" s="136">
        <f>'DOE25'!H483</f>
        <v>0</v>
      </c>
      <c r="E146" s="136">
        <f>'DOE25'!I483</f>
        <v>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0</v>
      </c>
      <c r="C147" s="136">
        <f>'DOE25'!G484</f>
        <v>0</v>
      </c>
      <c r="D147" s="136">
        <f>'DOE25'!H484</f>
        <v>0</v>
      </c>
      <c r="E147" s="136">
        <f>'DOE25'!I484</f>
        <v>0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0</v>
      </c>
      <c r="C148" s="136">
        <f>'DOE25'!G485</f>
        <v>0</v>
      </c>
      <c r="D148" s="136">
        <f>'DOE25'!H485</f>
        <v>0</v>
      </c>
      <c r="E148" s="136">
        <f>'DOE25'!I485</f>
        <v>0</v>
      </c>
      <c r="F148" s="136">
        <f>'DOE25'!J485</f>
        <v>0</v>
      </c>
      <c r="G148" s="137">
        <f>SUM(B148:F148)</f>
        <v>0</v>
      </c>
    </row>
    <row r="149" spans="1:7" x14ac:dyDescent="0.2">
      <c r="A149" s="22" t="s">
        <v>33</v>
      </c>
      <c r="B149" s="136">
        <f>'DOE25'!F486</f>
        <v>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0</v>
      </c>
    </row>
    <row r="150" spans="1:7" x14ac:dyDescent="0.2">
      <c r="A150" s="22" t="s">
        <v>34</v>
      </c>
      <c r="B150" s="136">
        <f>'DOE25'!F487</f>
        <v>0</v>
      </c>
      <c r="C150" s="136">
        <f>'DOE25'!G487</f>
        <v>0</v>
      </c>
      <c r="D150" s="136">
        <f>'DOE25'!H487</f>
        <v>0</v>
      </c>
      <c r="E150" s="136">
        <f>'DOE25'!I487</f>
        <v>0</v>
      </c>
      <c r="F150" s="136">
        <f>'DOE25'!J487</f>
        <v>0</v>
      </c>
      <c r="G150" s="137">
        <f t="shared" si="0"/>
        <v>0</v>
      </c>
    </row>
    <row r="151" spans="1:7" x14ac:dyDescent="0.2">
      <c r="A151" s="22" t="s">
        <v>35</v>
      </c>
      <c r="B151" s="136">
        <f>'DOE25'!F488</f>
        <v>0</v>
      </c>
      <c r="C151" s="136">
        <f>'DOE25'!G488</f>
        <v>0</v>
      </c>
      <c r="D151" s="136">
        <f>'DOE25'!H488</f>
        <v>0</v>
      </c>
      <c r="E151" s="136">
        <f>'DOE25'!I488</f>
        <v>0</v>
      </c>
      <c r="F151" s="136">
        <f>'DOE25'!J488</f>
        <v>0</v>
      </c>
      <c r="G151" s="137">
        <f t="shared" si="0"/>
        <v>0</v>
      </c>
    </row>
    <row r="152" spans="1:7" x14ac:dyDescent="0.2">
      <c r="A152" s="22" t="s">
        <v>36</v>
      </c>
      <c r="B152" s="136">
        <f>'DOE25'!F489</f>
        <v>0</v>
      </c>
      <c r="C152" s="136">
        <f>'DOE25'!G489</f>
        <v>0</v>
      </c>
      <c r="D152" s="136">
        <f>'DOE25'!H489</f>
        <v>0</v>
      </c>
      <c r="E152" s="136">
        <f>'DOE25'!I489</f>
        <v>0</v>
      </c>
      <c r="F152" s="136">
        <f>'DOE25'!J489</f>
        <v>0</v>
      </c>
      <c r="G152" s="137">
        <f t="shared" si="0"/>
        <v>0</v>
      </c>
    </row>
    <row r="153" spans="1:7" x14ac:dyDescent="0.2">
      <c r="A153" s="22" t="s">
        <v>37</v>
      </c>
      <c r="B153" s="136">
        <f>'DOE25'!F490</f>
        <v>0</v>
      </c>
      <c r="C153" s="136">
        <f>'DOE25'!G490</f>
        <v>0</v>
      </c>
      <c r="D153" s="136">
        <f>'DOE25'!H490</f>
        <v>0</v>
      </c>
      <c r="E153" s="136">
        <f>'DOE25'!I490</f>
        <v>0</v>
      </c>
      <c r="F153" s="136">
        <f>'DOE25'!J490</f>
        <v>0</v>
      </c>
      <c r="G153" s="137">
        <f t="shared" si="0"/>
        <v>0</v>
      </c>
    </row>
    <row r="154" spans="1:7" x14ac:dyDescent="0.2">
      <c r="A154" s="22" t="s">
        <v>38</v>
      </c>
      <c r="B154" s="136">
        <f>'DOE25'!F491</f>
        <v>0</v>
      </c>
      <c r="C154" s="136">
        <f>'DOE25'!G491</f>
        <v>0</v>
      </c>
      <c r="D154" s="136">
        <f>'DOE25'!H491</f>
        <v>0</v>
      </c>
      <c r="E154" s="136">
        <f>'DOE25'!I491</f>
        <v>0</v>
      </c>
      <c r="F154" s="136">
        <f>'DOE25'!J491</f>
        <v>0</v>
      </c>
      <c r="G154" s="137">
        <f t="shared" si="0"/>
        <v>0</v>
      </c>
    </row>
    <row r="155" spans="1:7" x14ac:dyDescent="0.2">
      <c r="A155" s="22" t="s">
        <v>39</v>
      </c>
      <c r="B155" s="136">
        <f>'DOE25'!F492</f>
        <v>0</v>
      </c>
      <c r="C155" s="136">
        <f>'DOE25'!G492</f>
        <v>0</v>
      </c>
      <c r="D155" s="136">
        <f>'DOE25'!H492</f>
        <v>0</v>
      </c>
      <c r="E155" s="136">
        <f>'DOE25'!I492</f>
        <v>0</v>
      </c>
      <c r="F155" s="136">
        <f>'DOE25'!J492</f>
        <v>0</v>
      </c>
      <c r="G155" s="137">
        <f t="shared" si="0"/>
        <v>0</v>
      </c>
    </row>
    <row r="156" spans="1:7" x14ac:dyDescent="0.2">
      <c r="A156" s="22" t="s">
        <v>269</v>
      </c>
      <c r="B156" s="136">
        <f>'DOE25'!F493</f>
        <v>0</v>
      </c>
      <c r="C156" s="136">
        <f>'DOE25'!G493</f>
        <v>0</v>
      </c>
      <c r="D156" s="136">
        <f>'DOE25'!H493</f>
        <v>0</v>
      </c>
      <c r="E156" s="136">
        <f>'DOE25'!I493</f>
        <v>0</v>
      </c>
      <c r="F156" s="136">
        <f>'DOE25'!J493</f>
        <v>0</v>
      </c>
      <c r="G156" s="137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ED4-319E-47B3-8D0B-1DB07B836212}">
  <sheetPr codeName="Sheet3">
    <tabColor indexed="43"/>
  </sheetPr>
  <dimension ref="A1:D42"/>
  <sheetViews>
    <sheetView topLeftCell="A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6" t="s">
        <v>771</v>
      </c>
      <c r="B1" s="276"/>
      <c r="C1" s="276"/>
      <c r="D1" s="276"/>
    </row>
    <row r="2" spans="1:4" x14ac:dyDescent="0.2">
      <c r="A2" s="184" t="s">
        <v>748</v>
      </c>
      <c r="B2" s="183" t="str">
        <f>'DOE25'!A2</f>
        <v>Rollinsford SD</v>
      </c>
    </row>
    <row r="3" spans="1:4" x14ac:dyDescent="0.2">
      <c r="B3" s="185" t="s">
        <v>891</v>
      </c>
    </row>
    <row r="4" spans="1:4" x14ac:dyDescent="0.2">
      <c r="B4" t="s">
        <v>61</v>
      </c>
      <c r="C4" s="176">
        <f>IF('DOE25'!F655+'DOE25'!F660=0,0,ROUND('DOE25'!F662,0))</f>
        <v>15534</v>
      </c>
    </row>
    <row r="5" spans="1:4" x14ac:dyDescent="0.2">
      <c r="B5" t="s">
        <v>735</v>
      </c>
      <c r="C5" s="176">
        <f>IF('DOE25'!G655+'DOE25'!G660=0,0,ROUND('DOE25'!G662,0))</f>
        <v>0</v>
      </c>
    </row>
    <row r="6" spans="1:4" x14ac:dyDescent="0.2">
      <c r="B6" t="s">
        <v>62</v>
      </c>
      <c r="C6" s="176">
        <f>IF('DOE25'!H655+'DOE25'!H660=0,0,ROUND('DOE25'!H662,0))</f>
        <v>0</v>
      </c>
    </row>
    <row r="7" spans="1:4" x14ac:dyDescent="0.2">
      <c r="B7" t="s">
        <v>736</v>
      </c>
      <c r="C7" s="176">
        <f>IF('DOE25'!I655+'DOE25'!I660=0,0,ROUND('DOE25'!I662,0))</f>
        <v>15534</v>
      </c>
    </row>
    <row r="9" spans="1:4" x14ac:dyDescent="0.2">
      <c r="A9" s="184" t="s">
        <v>94</v>
      </c>
      <c r="B9" s="185" t="s">
        <v>892</v>
      </c>
      <c r="C9" s="178" t="s">
        <v>755</v>
      </c>
      <c r="D9" s="178" t="s">
        <v>756</v>
      </c>
    </row>
    <row r="10" spans="1:4" x14ac:dyDescent="0.2">
      <c r="A10">
        <v>1100</v>
      </c>
      <c r="B10" t="s">
        <v>737</v>
      </c>
      <c r="C10" s="176">
        <f>ROUND('DOE25'!L189+'DOE25'!L207+'DOE25'!L225+'DOE25'!L268+'DOE25'!L287+'DOE25'!L306,0)</f>
        <v>2800003</v>
      </c>
      <c r="D10" s="179">
        <f>ROUND((C10/$C$28)*100,1)</f>
        <v>59.8</v>
      </c>
    </row>
    <row r="11" spans="1:4" x14ac:dyDescent="0.2">
      <c r="A11">
        <v>1200</v>
      </c>
      <c r="B11" t="s">
        <v>738</v>
      </c>
      <c r="C11" s="176">
        <f>ROUND('DOE25'!L190+'DOE25'!L208+'DOE25'!L226+'DOE25'!L269+'DOE25'!L288+'DOE25'!L307,0)</f>
        <v>733715</v>
      </c>
      <c r="D11" s="179">
        <f>ROUND((C11/$C$28)*100,1)</f>
        <v>15.7</v>
      </c>
    </row>
    <row r="12" spans="1:4" x14ac:dyDescent="0.2">
      <c r="A12">
        <v>1300</v>
      </c>
      <c r="B12" t="s">
        <v>739</v>
      </c>
      <c r="C12" s="176">
        <f>ROUND('DOE25'!L191+'DOE25'!L209+'DOE25'!L227+'DOE25'!L270+'DOE25'!L289+'DOE25'!L308,0)</f>
        <v>0</v>
      </c>
      <c r="D12" s="179">
        <f>ROUND((C12/$C$28)*100,1)</f>
        <v>0</v>
      </c>
    </row>
    <row r="13" spans="1:4" x14ac:dyDescent="0.2">
      <c r="A13">
        <v>1400</v>
      </c>
      <c r="B13" t="s">
        <v>740</v>
      </c>
      <c r="C13" s="176">
        <f>ROUND('DOE25'!L192+'DOE25'!L210+'DOE25'!L228+'DOE25'!L271+'DOE25'!L290+'DOE25'!L309,0)</f>
        <v>2498</v>
      </c>
      <c r="D13" s="179">
        <f>ROUND((C13/$C$28)*100,1)</f>
        <v>0.1</v>
      </c>
    </row>
    <row r="14" spans="1:4" x14ac:dyDescent="0.2">
      <c r="D14" s="179"/>
    </row>
    <row r="15" spans="1:4" x14ac:dyDescent="0.2">
      <c r="A15">
        <v>2100</v>
      </c>
      <c r="B15" t="s">
        <v>741</v>
      </c>
      <c r="C15" s="176">
        <f>ROUND('DOE25'!L194+'DOE25'!L212+'DOE25'!L230+'DOE25'!L273+'DOE25'!L292+'DOE25'!L311,0)</f>
        <v>288013</v>
      </c>
      <c r="D15" s="179">
        <f t="shared" ref="D15:D27" si="0">ROUND((C15/$C$28)*100,1)</f>
        <v>6.2</v>
      </c>
    </row>
    <row r="16" spans="1:4" x14ac:dyDescent="0.2">
      <c r="A16">
        <v>2200</v>
      </c>
      <c r="B16" t="s">
        <v>742</v>
      </c>
      <c r="C16" s="176">
        <f>ROUND('DOE25'!L195+'DOE25'!L213+'DOE25'!L231+'DOE25'!L274+'DOE25'!L293+'DOE25'!L312,0)</f>
        <v>39881</v>
      </c>
      <c r="D16" s="179">
        <f t="shared" si="0"/>
        <v>0.9</v>
      </c>
    </row>
    <row r="17" spans="1:4" x14ac:dyDescent="0.2">
      <c r="A17" s="180" t="s">
        <v>758</v>
      </c>
      <c r="B17" t="s">
        <v>773</v>
      </c>
      <c r="C17" s="176">
        <f>ROUND('DOE25'!L196+'DOE25'!L201+'DOE25'!L214+'DOE25'!L219+'DOE25'!L232+'DOE25'!L237+'DOE25'!L275+'DOE25'!L280+'DOE25'!L294+'DOE25'!L299+'DOE25'!L313+'DOE25'!L318,0)</f>
        <v>215365</v>
      </c>
      <c r="D17" s="179">
        <f t="shared" si="0"/>
        <v>4.5999999999999996</v>
      </c>
    </row>
    <row r="18" spans="1:4" x14ac:dyDescent="0.2">
      <c r="A18">
        <v>2400</v>
      </c>
      <c r="B18" t="s">
        <v>746</v>
      </c>
      <c r="C18" s="176">
        <f>ROUND('DOE25'!L197+'DOE25'!L215+'DOE25'!L233+'DOE25'!L276+'DOE25'!L295+'DOE25'!L314,0)</f>
        <v>156623</v>
      </c>
      <c r="D18" s="179">
        <f t="shared" si="0"/>
        <v>3.3</v>
      </c>
    </row>
    <row r="19" spans="1:4" x14ac:dyDescent="0.2">
      <c r="A19">
        <v>2500</v>
      </c>
      <c r="B19" t="s">
        <v>743</v>
      </c>
      <c r="C19" s="176">
        <f>ROUND('DOE25'!L198+'DOE25'!L216+'DOE25'!L234+'DOE25'!L277+'DOE25'!L296+'DOE25'!L315,0)</f>
        <v>1572</v>
      </c>
      <c r="D19" s="179">
        <f t="shared" si="0"/>
        <v>0</v>
      </c>
    </row>
    <row r="20" spans="1:4" x14ac:dyDescent="0.2">
      <c r="A20">
        <v>2600</v>
      </c>
      <c r="B20" t="s">
        <v>744</v>
      </c>
      <c r="C20" s="176">
        <f>ROUND('DOE25'!L199+'DOE25'!L217+'DOE25'!L235+'DOE25'!L278+'DOE25'!L297+'DOE25'!L316,0)</f>
        <v>223440</v>
      </c>
      <c r="D20" s="179">
        <f t="shared" si="0"/>
        <v>4.8</v>
      </c>
    </row>
    <row r="21" spans="1:4" x14ac:dyDescent="0.2">
      <c r="A21">
        <v>2700</v>
      </c>
      <c r="B21" t="s">
        <v>745</v>
      </c>
      <c r="C21" s="176">
        <f>ROUND('DOE25'!L200+'DOE25'!L218+'DOE25'!L236+'DOE25'!L279+'DOE25'!L298+'DOE25'!L317,0)</f>
        <v>191159</v>
      </c>
      <c r="D21" s="179">
        <f t="shared" si="0"/>
        <v>4.0999999999999996</v>
      </c>
    </row>
    <row r="22" spans="1:4" x14ac:dyDescent="0.2">
      <c r="A22">
        <v>2900</v>
      </c>
      <c r="B22" t="s">
        <v>747</v>
      </c>
      <c r="C22" s="176">
        <v>0</v>
      </c>
      <c r="D22" s="179">
        <f t="shared" si="0"/>
        <v>0</v>
      </c>
    </row>
    <row r="23" spans="1:4" x14ac:dyDescent="0.2">
      <c r="A23">
        <v>1500</v>
      </c>
      <c r="B23" t="s">
        <v>749</v>
      </c>
      <c r="C23" s="176">
        <f>ROUND('DOE25'!L242+'DOE25'!L324,0)</f>
        <v>0</v>
      </c>
      <c r="D23" s="179">
        <f t="shared" si="0"/>
        <v>0</v>
      </c>
    </row>
    <row r="24" spans="1:4" x14ac:dyDescent="0.2">
      <c r="A24" s="180" t="s">
        <v>757</v>
      </c>
      <c r="B24" t="s">
        <v>750</v>
      </c>
      <c r="C24" s="176">
        <f>ROUND('DOE25'!L243+'DOE25'!L244+'DOE25'!L245+'DOE25'!L246+'DOE25'!L325+'DOE25'!L326+'DOE25'!L327,0)</f>
        <v>0</v>
      </c>
      <c r="D24" s="179">
        <f t="shared" si="0"/>
        <v>0</v>
      </c>
    </row>
    <row r="25" spans="1:4" x14ac:dyDescent="0.2">
      <c r="A25">
        <v>5120</v>
      </c>
      <c r="B25" t="s">
        <v>751</v>
      </c>
      <c r="C25" s="176">
        <f>ROUND('DOE25'!L253+'DOE25'!L334,0)</f>
        <v>0</v>
      </c>
      <c r="D25" s="179">
        <f t="shared" si="0"/>
        <v>0</v>
      </c>
    </row>
    <row r="26" spans="1:4" x14ac:dyDescent="0.2">
      <c r="A26" s="180" t="s">
        <v>752</v>
      </c>
      <c r="B26" t="s">
        <v>753</v>
      </c>
      <c r="C26" s="176">
        <f>'DOE25'!L260+'DOE25'!L261+'DOE25'!L341+'DOE25'!L342</f>
        <v>0</v>
      </c>
      <c r="D26" s="179">
        <f t="shared" si="0"/>
        <v>0</v>
      </c>
    </row>
    <row r="27" spans="1:4" x14ac:dyDescent="0.2">
      <c r="A27">
        <v>3100</v>
      </c>
      <c r="B27" t="s">
        <v>11</v>
      </c>
      <c r="C27" s="176">
        <f>ROUND('DOE25'!L354-'DOE25'!L353,0)-SUM('DOE25'!G89:G102)</f>
        <v>28440.410000000003</v>
      </c>
      <c r="D27" s="179">
        <f t="shared" si="0"/>
        <v>0.6</v>
      </c>
    </row>
    <row r="28" spans="1:4" x14ac:dyDescent="0.2">
      <c r="B28" s="184" t="s">
        <v>754</v>
      </c>
      <c r="C28" s="177">
        <f>SUM(C10:C27)</f>
        <v>4680709.41</v>
      </c>
      <c r="D28" s="181">
        <f>ROUND(SUM(D10:D27),0)</f>
        <v>100</v>
      </c>
    </row>
    <row r="29" spans="1:4" x14ac:dyDescent="0.2">
      <c r="A29">
        <v>4000</v>
      </c>
      <c r="B29" t="s">
        <v>759</v>
      </c>
      <c r="C29" s="176">
        <f>ROUND('DOE25'!L247+'DOE25'!L328+'DOE25'!L366+'DOE25'!L367+'DOE25'!L368+'DOE25'!L369+'DOE25'!L370+'DOE25'!L371+'DOE25'!L372,0)</f>
        <v>0</v>
      </c>
    </row>
    <row r="30" spans="1:4" x14ac:dyDescent="0.2">
      <c r="B30" s="184" t="s">
        <v>760</v>
      </c>
      <c r="C30" s="177">
        <f>SUM(C28:C29)</f>
        <v>4680709.41</v>
      </c>
    </row>
    <row r="31" spans="1:4" x14ac:dyDescent="0.2">
      <c r="B31" s="33"/>
      <c r="C31" s="177"/>
    </row>
    <row r="32" spans="1:4" x14ac:dyDescent="0.2">
      <c r="A32">
        <v>5100</v>
      </c>
      <c r="B32" s="33" t="s">
        <v>761</v>
      </c>
      <c r="C32" s="177">
        <f>ROUND('DOE25'!L252+'DOE25'!L333,0)</f>
        <v>0</v>
      </c>
    </row>
    <row r="34" spans="1:4" x14ac:dyDescent="0.2">
      <c r="A34" s="184" t="s">
        <v>94</v>
      </c>
      <c r="B34" s="185" t="s">
        <v>893</v>
      </c>
      <c r="C34" s="178" t="s">
        <v>755</v>
      </c>
      <c r="D34" s="178" t="s">
        <v>756</v>
      </c>
    </row>
    <row r="35" spans="1:4" x14ac:dyDescent="0.2">
      <c r="A35">
        <v>1100</v>
      </c>
      <c r="B35" s="182" t="s">
        <v>762</v>
      </c>
      <c r="C35" s="176">
        <f>ROUND('DOE25'!F52+'DOE25'!G52+'DOE25'!H52+'DOE25'!I52+'DOE25'!J52,0)</f>
        <v>3413638</v>
      </c>
      <c r="D35" s="179">
        <f t="shared" ref="D35:D40" si="1">ROUND((C35/$C$41)*100,1)</f>
        <v>73</v>
      </c>
    </row>
    <row r="36" spans="1:4" x14ac:dyDescent="0.2">
      <c r="B36" s="182" t="s">
        <v>774</v>
      </c>
      <c r="C36" s="176">
        <f>SUM('DOE25'!F104:J104)-SUM('DOE25'!G89:G102)+('DOE25'!F166+'DOE25'!F167+'DOE25'!I166+'DOE25'!I167)-C35</f>
        <v>2769.7299999999814</v>
      </c>
      <c r="D36" s="179">
        <f t="shared" si="1"/>
        <v>0.1</v>
      </c>
    </row>
    <row r="37" spans="1:4" x14ac:dyDescent="0.2">
      <c r="A37" s="180" t="s">
        <v>890</v>
      </c>
      <c r="B37" s="182" t="s">
        <v>763</v>
      </c>
      <c r="C37" s="176">
        <f>ROUND('DOE25'!F109+'DOE25'!F110+'DOE25'!F111,0)</f>
        <v>1131558</v>
      </c>
      <c r="D37" s="179">
        <f t="shared" si="1"/>
        <v>24.2</v>
      </c>
    </row>
    <row r="38" spans="1:4" x14ac:dyDescent="0.2">
      <c r="A38" s="180" t="s">
        <v>769</v>
      </c>
      <c r="B38" s="182" t="s">
        <v>764</v>
      </c>
      <c r="C38" s="176">
        <f>ROUND(SUM('DOE25'!F132:J132)-SUM('DOE25'!F109:F111),0)</f>
        <v>790</v>
      </c>
      <c r="D38" s="179">
        <f t="shared" si="1"/>
        <v>0</v>
      </c>
    </row>
    <row r="39" spans="1:4" x14ac:dyDescent="0.2">
      <c r="A39">
        <v>4000</v>
      </c>
      <c r="B39" s="182" t="s">
        <v>765</v>
      </c>
      <c r="C39" s="176">
        <f>ROUND('DOE25'!F161+'DOE25'!G161+'DOE25'!H161+'DOE25'!I161,0)</f>
        <v>124666</v>
      </c>
      <c r="D39" s="179">
        <f t="shared" si="1"/>
        <v>2.7</v>
      </c>
    </row>
    <row r="40" spans="1:4" x14ac:dyDescent="0.2">
      <c r="A40" s="180" t="s">
        <v>770</v>
      </c>
      <c r="B40" s="182" t="s">
        <v>766</v>
      </c>
      <c r="C40" s="176">
        <f>ROUND(SUM('DOE25'!F181:F183)+SUM('DOE25'!G181:G183)+SUM('DOE25'!H181:H183)+SUM('DOE25'!I181:I183),0)</f>
        <v>0</v>
      </c>
      <c r="D40" s="179">
        <f t="shared" si="1"/>
        <v>0</v>
      </c>
    </row>
    <row r="41" spans="1:4" x14ac:dyDescent="0.2">
      <c r="B41" s="184" t="s">
        <v>767</v>
      </c>
      <c r="C41" s="177">
        <f>SUM(C35:C40)</f>
        <v>4673421.7300000004</v>
      </c>
      <c r="D41" s="181">
        <f>SUM(D35:D40)</f>
        <v>100</v>
      </c>
    </row>
    <row r="42" spans="1:4" x14ac:dyDescent="0.2">
      <c r="A42" s="180" t="s">
        <v>772</v>
      </c>
      <c r="B42" s="182" t="s">
        <v>768</v>
      </c>
      <c r="C42" s="176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B25F-047F-47CD-845F-9B9B75FBFCF3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801</v>
      </c>
      <c r="B1" s="286"/>
      <c r="C1" s="286"/>
      <c r="D1" s="286"/>
      <c r="E1" s="286"/>
      <c r="F1" s="286"/>
      <c r="G1" s="286"/>
      <c r="H1" s="286"/>
      <c r="I1" s="286"/>
      <c r="J1" s="211"/>
      <c r="K1" s="211"/>
      <c r="L1" s="211"/>
      <c r="M1" s="212"/>
    </row>
    <row r="2" spans="1:26" ht="12.75" x14ac:dyDescent="0.2">
      <c r="A2" s="283" t="s">
        <v>798</v>
      </c>
      <c r="B2" s="284"/>
      <c r="C2" s="284"/>
      <c r="D2" s="284"/>
      <c r="E2" s="284"/>
      <c r="F2" s="289" t="str">
        <f>'DOE25'!A2</f>
        <v>Rollinsford SD</v>
      </c>
      <c r="G2" s="290"/>
      <c r="H2" s="290"/>
      <c r="I2" s="290"/>
      <c r="J2" s="52"/>
      <c r="K2" s="52"/>
      <c r="L2" s="52"/>
      <c r="M2" s="213"/>
    </row>
    <row r="3" spans="1:26" x14ac:dyDescent="0.2">
      <c r="A3" s="214" t="s">
        <v>799</v>
      </c>
      <c r="B3" s="215" t="s">
        <v>800</v>
      </c>
      <c r="C3" s="287" t="s">
        <v>802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6">
        <v>19</v>
      </c>
      <c r="B4" s="217">
        <v>1</v>
      </c>
      <c r="C4" s="277" t="s">
        <v>894</v>
      </c>
      <c r="D4" s="277"/>
      <c r="E4" s="277"/>
      <c r="F4" s="277"/>
      <c r="G4" s="277"/>
      <c r="H4" s="277"/>
      <c r="I4" s="277"/>
      <c r="J4" s="277"/>
      <c r="K4" s="277"/>
      <c r="L4" s="277"/>
      <c r="M4" s="278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8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8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8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8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8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8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8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8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8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8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8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8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8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8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8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8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8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8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8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8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8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8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8"/>
      <c r="N29" s="209"/>
      <c r="O29" s="209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5"/>
      <c r="AB29" s="205"/>
      <c r="AC29" s="279"/>
      <c r="AD29" s="279"/>
      <c r="AE29" s="279"/>
      <c r="AF29" s="279"/>
      <c r="AG29" s="279"/>
      <c r="AH29" s="279"/>
      <c r="AI29" s="279"/>
      <c r="AJ29" s="279"/>
      <c r="AK29" s="279"/>
      <c r="AL29" s="279"/>
      <c r="AM29" s="279"/>
      <c r="AN29" s="205"/>
      <c r="AO29" s="205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05"/>
      <c r="BB29" s="205"/>
      <c r="BC29" s="279"/>
      <c r="BD29" s="279"/>
      <c r="BE29" s="279"/>
      <c r="BF29" s="279"/>
      <c r="BG29" s="279"/>
      <c r="BH29" s="279"/>
      <c r="BI29" s="279"/>
      <c r="BJ29" s="279"/>
      <c r="BK29" s="279"/>
      <c r="BL29" s="279"/>
      <c r="BM29" s="279"/>
      <c r="BN29" s="205"/>
      <c r="BO29" s="205"/>
      <c r="BP29" s="279"/>
      <c r="BQ29" s="279"/>
      <c r="BR29" s="279"/>
      <c r="BS29" s="279"/>
      <c r="BT29" s="279"/>
      <c r="BU29" s="279"/>
      <c r="BV29" s="279"/>
      <c r="BW29" s="279"/>
      <c r="BX29" s="279"/>
      <c r="BY29" s="279"/>
      <c r="BZ29" s="279"/>
      <c r="CA29" s="205"/>
      <c r="CB29" s="205"/>
      <c r="CC29" s="279"/>
      <c r="CD29" s="279"/>
      <c r="CE29" s="279"/>
      <c r="CF29" s="279"/>
      <c r="CG29" s="279"/>
      <c r="CH29" s="279"/>
      <c r="CI29" s="279"/>
      <c r="CJ29" s="279"/>
      <c r="CK29" s="279"/>
      <c r="CL29" s="279"/>
      <c r="CM29" s="279"/>
      <c r="CN29" s="205"/>
      <c r="CO29" s="205"/>
      <c r="CP29" s="279"/>
      <c r="CQ29" s="279"/>
      <c r="CR29" s="279"/>
      <c r="CS29" s="279"/>
      <c r="CT29" s="279"/>
      <c r="CU29" s="279"/>
      <c r="CV29" s="279"/>
      <c r="CW29" s="279"/>
      <c r="CX29" s="279"/>
      <c r="CY29" s="279"/>
      <c r="CZ29" s="279"/>
      <c r="DA29" s="205"/>
      <c r="DB29" s="205"/>
      <c r="DC29" s="279"/>
      <c r="DD29" s="279"/>
      <c r="DE29" s="279"/>
      <c r="DF29" s="279"/>
      <c r="DG29" s="279"/>
      <c r="DH29" s="279"/>
      <c r="DI29" s="279"/>
      <c r="DJ29" s="279"/>
      <c r="DK29" s="279"/>
      <c r="DL29" s="279"/>
      <c r="DM29" s="279"/>
      <c r="DN29" s="205"/>
      <c r="DO29" s="205"/>
      <c r="DP29" s="279"/>
      <c r="DQ29" s="279"/>
      <c r="DR29" s="279"/>
      <c r="DS29" s="279"/>
      <c r="DT29" s="279"/>
      <c r="DU29" s="279"/>
      <c r="DV29" s="279"/>
      <c r="DW29" s="279"/>
      <c r="DX29" s="279"/>
      <c r="DY29" s="279"/>
      <c r="DZ29" s="279"/>
      <c r="EA29" s="205"/>
      <c r="EB29" s="205"/>
      <c r="EC29" s="279"/>
      <c r="ED29" s="279"/>
      <c r="EE29" s="279"/>
      <c r="EF29" s="279"/>
      <c r="EG29" s="279"/>
      <c r="EH29" s="279"/>
      <c r="EI29" s="279"/>
      <c r="EJ29" s="279"/>
      <c r="EK29" s="279"/>
      <c r="EL29" s="279"/>
      <c r="EM29" s="279"/>
      <c r="EN29" s="205"/>
      <c r="EO29" s="205"/>
      <c r="EP29" s="279"/>
      <c r="EQ29" s="279"/>
      <c r="ER29" s="279"/>
      <c r="ES29" s="279"/>
      <c r="ET29" s="279"/>
      <c r="EU29" s="279"/>
      <c r="EV29" s="279"/>
      <c r="EW29" s="279"/>
      <c r="EX29" s="279"/>
      <c r="EY29" s="279"/>
      <c r="EZ29" s="279"/>
      <c r="FA29" s="205"/>
      <c r="FB29" s="205"/>
      <c r="FC29" s="279"/>
      <c r="FD29" s="279"/>
      <c r="FE29" s="279"/>
      <c r="FF29" s="279"/>
      <c r="FG29" s="279"/>
      <c r="FH29" s="279"/>
      <c r="FI29" s="279"/>
      <c r="FJ29" s="279"/>
      <c r="FK29" s="279"/>
      <c r="FL29" s="279"/>
      <c r="FM29" s="279"/>
      <c r="FN29" s="205"/>
      <c r="FO29" s="205"/>
      <c r="FP29" s="279"/>
      <c r="FQ29" s="279"/>
      <c r="FR29" s="279"/>
      <c r="FS29" s="279"/>
      <c r="FT29" s="279"/>
      <c r="FU29" s="279"/>
      <c r="FV29" s="279"/>
      <c r="FW29" s="279"/>
      <c r="FX29" s="279"/>
      <c r="FY29" s="279"/>
      <c r="FZ29" s="279"/>
      <c r="GA29" s="205"/>
      <c r="GB29" s="205"/>
      <c r="GC29" s="279"/>
      <c r="GD29" s="279"/>
      <c r="GE29" s="279"/>
      <c r="GF29" s="279"/>
      <c r="GG29" s="279"/>
      <c r="GH29" s="279"/>
      <c r="GI29" s="279"/>
      <c r="GJ29" s="279"/>
      <c r="GK29" s="279"/>
      <c r="GL29" s="279"/>
      <c r="GM29" s="279"/>
      <c r="GN29" s="205"/>
      <c r="GO29" s="205"/>
      <c r="GP29" s="279"/>
      <c r="GQ29" s="279"/>
      <c r="GR29" s="279"/>
      <c r="GS29" s="279"/>
      <c r="GT29" s="279"/>
      <c r="GU29" s="279"/>
      <c r="GV29" s="279"/>
      <c r="GW29" s="279"/>
      <c r="GX29" s="279"/>
      <c r="GY29" s="279"/>
      <c r="GZ29" s="279"/>
      <c r="HA29" s="205"/>
      <c r="HB29" s="205"/>
      <c r="HC29" s="279"/>
      <c r="HD29" s="279"/>
      <c r="HE29" s="279"/>
      <c r="HF29" s="279"/>
      <c r="HG29" s="279"/>
      <c r="HH29" s="279"/>
      <c r="HI29" s="279"/>
      <c r="HJ29" s="279"/>
      <c r="HK29" s="279"/>
      <c r="HL29" s="279"/>
      <c r="HM29" s="279"/>
      <c r="HN29" s="205"/>
      <c r="HO29" s="205"/>
      <c r="HP29" s="279"/>
      <c r="HQ29" s="279"/>
      <c r="HR29" s="279"/>
      <c r="HS29" s="279"/>
      <c r="HT29" s="279"/>
      <c r="HU29" s="279"/>
      <c r="HV29" s="279"/>
      <c r="HW29" s="279"/>
      <c r="HX29" s="279"/>
      <c r="HY29" s="279"/>
      <c r="HZ29" s="279"/>
      <c r="IA29" s="205"/>
      <c r="IB29" s="205"/>
      <c r="IC29" s="279"/>
      <c r="ID29" s="279"/>
      <c r="IE29" s="279"/>
      <c r="IF29" s="279"/>
      <c r="IG29" s="279"/>
      <c r="IH29" s="279"/>
      <c r="II29" s="279"/>
      <c r="IJ29" s="279"/>
      <c r="IK29" s="279"/>
      <c r="IL29" s="279"/>
      <c r="IM29" s="279"/>
      <c r="IN29" s="205"/>
      <c r="IO29" s="205"/>
      <c r="IP29" s="279"/>
      <c r="IQ29" s="279"/>
      <c r="IR29" s="279"/>
      <c r="IS29" s="279"/>
      <c r="IT29" s="279"/>
      <c r="IU29" s="279"/>
      <c r="IV29" s="279"/>
    </row>
    <row r="30" spans="1:256" x14ac:dyDescent="0.2">
      <c r="A30" s="216"/>
      <c r="B30" s="21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8"/>
      <c r="N30" s="209"/>
      <c r="O30" s="209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5"/>
      <c r="AB30" s="205"/>
      <c r="AC30" s="279"/>
      <c r="AD30" s="279"/>
      <c r="AE30" s="279"/>
      <c r="AF30" s="279"/>
      <c r="AG30" s="279"/>
      <c r="AH30" s="279"/>
      <c r="AI30" s="279"/>
      <c r="AJ30" s="279"/>
      <c r="AK30" s="279"/>
      <c r="AL30" s="279"/>
      <c r="AM30" s="279"/>
      <c r="AN30" s="205"/>
      <c r="AO30" s="205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05"/>
      <c r="BB30" s="205"/>
      <c r="BC30" s="279"/>
      <c r="BD30" s="279"/>
      <c r="BE30" s="279"/>
      <c r="BF30" s="279"/>
      <c r="BG30" s="279"/>
      <c r="BH30" s="279"/>
      <c r="BI30" s="279"/>
      <c r="BJ30" s="279"/>
      <c r="BK30" s="279"/>
      <c r="BL30" s="279"/>
      <c r="BM30" s="279"/>
      <c r="BN30" s="205"/>
      <c r="BO30" s="205"/>
      <c r="BP30" s="279"/>
      <c r="BQ30" s="279"/>
      <c r="BR30" s="279"/>
      <c r="BS30" s="279"/>
      <c r="BT30" s="279"/>
      <c r="BU30" s="279"/>
      <c r="BV30" s="279"/>
      <c r="BW30" s="279"/>
      <c r="BX30" s="279"/>
      <c r="BY30" s="279"/>
      <c r="BZ30" s="279"/>
      <c r="CA30" s="205"/>
      <c r="CB30" s="205"/>
      <c r="CC30" s="279"/>
      <c r="CD30" s="279"/>
      <c r="CE30" s="279"/>
      <c r="CF30" s="279"/>
      <c r="CG30" s="279"/>
      <c r="CH30" s="279"/>
      <c r="CI30" s="279"/>
      <c r="CJ30" s="279"/>
      <c r="CK30" s="279"/>
      <c r="CL30" s="279"/>
      <c r="CM30" s="279"/>
      <c r="CN30" s="205"/>
      <c r="CO30" s="205"/>
      <c r="CP30" s="279"/>
      <c r="CQ30" s="279"/>
      <c r="CR30" s="279"/>
      <c r="CS30" s="279"/>
      <c r="CT30" s="279"/>
      <c r="CU30" s="279"/>
      <c r="CV30" s="279"/>
      <c r="CW30" s="279"/>
      <c r="CX30" s="279"/>
      <c r="CY30" s="279"/>
      <c r="CZ30" s="279"/>
      <c r="DA30" s="205"/>
      <c r="DB30" s="205"/>
      <c r="DC30" s="279"/>
      <c r="DD30" s="279"/>
      <c r="DE30" s="279"/>
      <c r="DF30" s="279"/>
      <c r="DG30" s="279"/>
      <c r="DH30" s="279"/>
      <c r="DI30" s="279"/>
      <c r="DJ30" s="279"/>
      <c r="DK30" s="279"/>
      <c r="DL30" s="279"/>
      <c r="DM30" s="279"/>
      <c r="DN30" s="205"/>
      <c r="DO30" s="205"/>
      <c r="DP30" s="279"/>
      <c r="DQ30" s="279"/>
      <c r="DR30" s="279"/>
      <c r="DS30" s="279"/>
      <c r="DT30" s="279"/>
      <c r="DU30" s="279"/>
      <c r="DV30" s="279"/>
      <c r="DW30" s="279"/>
      <c r="DX30" s="279"/>
      <c r="DY30" s="279"/>
      <c r="DZ30" s="279"/>
      <c r="EA30" s="205"/>
      <c r="EB30" s="205"/>
      <c r="EC30" s="279"/>
      <c r="ED30" s="279"/>
      <c r="EE30" s="279"/>
      <c r="EF30" s="279"/>
      <c r="EG30" s="279"/>
      <c r="EH30" s="279"/>
      <c r="EI30" s="279"/>
      <c r="EJ30" s="279"/>
      <c r="EK30" s="279"/>
      <c r="EL30" s="279"/>
      <c r="EM30" s="279"/>
      <c r="EN30" s="205"/>
      <c r="EO30" s="205"/>
      <c r="EP30" s="279"/>
      <c r="EQ30" s="279"/>
      <c r="ER30" s="279"/>
      <c r="ES30" s="279"/>
      <c r="ET30" s="279"/>
      <c r="EU30" s="279"/>
      <c r="EV30" s="279"/>
      <c r="EW30" s="279"/>
      <c r="EX30" s="279"/>
      <c r="EY30" s="279"/>
      <c r="EZ30" s="279"/>
      <c r="FA30" s="205"/>
      <c r="FB30" s="205"/>
      <c r="FC30" s="279"/>
      <c r="FD30" s="279"/>
      <c r="FE30" s="279"/>
      <c r="FF30" s="279"/>
      <c r="FG30" s="279"/>
      <c r="FH30" s="279"/>
      <c r="FI30" s="279"/>
      <c r="FJ30" s="279"/>
      <c r="FK30" s="279"/>
      <c r="FL30" s="279"/>
      <c r="FM30" s="279"/>
      <c r="FN30" s="205"/>
      <c r="FO30" s="205"/>
      <c r="FP30" s="279"/>
      <c r="FQ30" s="279"/>
      <c r="FR30" s="279"/>
      <c r="FS30" s="279"/>
      <c r="FT30" s="279"/>
      <c r="FU30" s="279"/>
      <c r="FV30" s="279"/>
      <c r="FW30" s="279"/>
      <c r="FX30" s="279"/>
      <c r="FY30" s="279"/>
      <c r="FZ30" s="279"/>
      <c r="GA30" s="205"/>
      <c r="GB30" s="205"/>
      <c r="GC30" s="279"/>
      <c r="GD30" s="279"/>
      <c r="GE30" s="279"/>
      <c r="GF30" s="279"/>
      <c r="GG30" s="279"/>
      <c r="GH30" s="279"/>
      <c r="GI30" s="279"/>
      <c r="GJ30" s="279"/>
      <c r="GK30" s="279"/>
      <c r="GL30" s="279"/>
      <c r="GM30" s="279"/>
      <c r="GN30" s="205"/>
      <c r="GO30" s="205"/>
      <c r="GP30" s="279"/>
      <c r="GQ30" s="279"/>
      <c r="GR30" s="279"/>
      <c r="GS30" s="279"/>
      <c r="GT30" s="279"/>
      <c r="GU30" s="279"/>
      <c r="GV30" s="279"/>
      <c r="GW30" s="279"/>
      <c r="GX30" s="279"/>
      <c r="GY30" s="279"/>
      <c r="GZ30" s="279"/>
      <c r="HA30" s="205"/>
      <c r="HB30" s="205"/>
      <c r="HC30" s="279"/>
      <c r="HD30" s="279"/>
      <c r="HE30" s="279"/>
      <c r="HF30" s="279"/>
      <c r="HG30" s="279"/>
      <c r="HH30" s="279"/>
      <c r="HI30" s="279"/>
      <c r="HJ30" s="279"/>
      <c r="HK30" s="279"/>
      <c r="HL30" s="279"/>
      <c r="HM30" s="279"/>
      <c r="HN30" s="205"/>
      <c r="HO30" s="205"/>
      <c r="HP30" s="279"/>
      <c r="HQ30" s="279"/>
      <c r="HR30" s="279"/>
      <c r="HS30" s="279"/>
      <c r="HT30" s="279"/>
      <c r="HU30" s="279"/>
      <c r="HV30" s="279"/>
      <c r="HW30" s="279"/>
      <c r="HX30" s="279"/>
      <c r="HY30" s="279"/>
      <c r="HZ30" s="279"/>
      <c r="IA30" s="205"/>
      <c r="IB30" s="205"/>
      <c r="IC30" s="279"/>
      <c r="ID30" s="279"/>
      <c r="IE30" s="279"/>
      <c r="IF30" s="279"/>
      <c r="IG30" s="279"/>
      <c r="IH30" s="279"/>
      <c r="II30" s="279"/>
      <c r="IJ30" s="279"/>
      <c r="IK30" s="279"/>
      <c r="IL30" s="279"/>
      <c r="IM30" s="279"/>
      <c r="IN30" s="205"/>
      <c r="IO30" s="205"/>
      <c r="IP30" s="279"/>
      <c r="IQ30" s="279"/>
      <c r="IR30" s="279"/>
      <c r="IS30" s="279"/>
      <c r="IT30" s="279"/>
      <c r="IU30" s="279"/>
      <c r="IV30" s="279"/>
    </row>
    <row r="31" spans="1:256" x14ac:dyDescent="0.2">
      <c r="A31" s="216"/>
      <c r="B31" s="21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8"/>
      <c r="N31" s="209"/>
      <c r="O31" s="209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5"/>
      <c r="AB31" s="205"/>
      <c r="AC31" s="279"/>
      <c r="AD31" s="279"/>
      <c r="AE31" s="279"/>
      <c r="AF31" s="279"/>
      <c r="AG31" s="279"/>
      <c r="AH31" s="279"/>
      <c r="AI31" s="279"/>
      <c r="AJ31" s="279"/>
      <c r="AK31" s="279"/>
      <c r="AL31" s="279"/>
      <c r="AM31" s="279"/>
      <c r="AN31" s="205"/>
      <c r="AO31" s="205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05"/>
      <c r="BB31" s="205"/>
      <c r="BC31" s="279"/>
      <c r="BD31" s="279"/>
      <c r="BE31" s="279"/>
      <c r="BF31" s="279"/>
      <c r="BG31" s="279"/>
      <c r="BH31" s="279"/>
      <c r="BI31" s="279"/>
      <c r="BJ31" s="279"/>
      <c r="BK31" s="279"/>
      <c r="BL31" s="279"/>
      <c r="BM31" s="279"/>
      <c r="BN31" s="205"/>
      <c r="BO31" s="205"/>
      <c r="BP31" s="279"/>
      <c r="BQ31" s="279"/>
      <c r="BR31" s="279"/>
      <c r="BS31" s="279"/>
      <c r="BT31" s="279"/>
      <c r="BU31" s="279"/>
      <c r="BV31" s="279"/>
      <c r="BW31" s="279"/>
      <c r="BX31" s="279"/>
      <c r="BY31" s="279"/>
      <c r="BZ31" s="279"/>
      <c r="CA31" s="205"/>
      <c r="CB31" s="205"/>
      <c r="CC31" s="279"/>
      <c r="CD31" s="279"/>
      <c r="CE31" s="279"/>
      <c r="CF31" s="279"/>
      <c r="CG31" s="279"/>
      <c r="CH31" s="279"/>
      <c r="CI31" s="279"/>
      <c r="CJ31" s="279"/>
      <c r="CK31" s="279"/>
      <c r="CL31" s="279"/>
      <c r="CM31" s="279"/>
      <c r="CN31" s="205"/>
      <c r="CO31" s="205"/>
      <c r="CP31" s="279"/>
      <c r="CQ31" s="279"/>
      <c r="CR31" s="279"/>
      <c r="CS31" s="279"/>
      <c r="CT31" s="279"/>
      <c r="CU31" s="279"/>
      <c r="CV31" s="279"/>
      <c r="CW31" s="279"/>
      <c r="CX31" s="279"/>
      <c r="CY31" s="279"/>
      <c r="CZ31" s="279"/>
      <c r="DA31" s="205"/>
      <c r="DB31" s="205"/>
      <c r="DC31" s="279"/>
      <c r="DD31" s="279"/>
      <c r="DE31" s="279"/>
      <c r="DF31" s="279"/>
      <c r="DG31" s="279"/>
      <c r="DH31" s="279"/>
      <c r="DI31" s="279"/>
      <c r="DJ31" s="279"/>
      <c r="DK31" s="279"/>
      <c r="DL31" s="279"/>
      <c r="DM31" s="279"/>
      <c r="DN31" s="205"/>
      <c r="DO31" s="205"/>
      <c r="DP31" s="279"/>
      <c r="DQ31" s="279"/>
      <c r="DR31" s="279"/>
      <c r="DS31" s="279"/>
      <c r="DT31" s="279"/>
      <c r="DU31" s="279"/>
      <c r="DV31" s="279"/>
      <c r="DW31" s="279"/>
      <c r="DX31" s="279"/>
      <c r="DY31" s="279"/>
      <c r="DZ31" s="279"/>
      <c r="EA31" s="205"/>
      <c r="EB31" s="205"/>
      <c r="EC31" s="279"/>
      <c r="ED31" s="279"/>
      <c r="EE31" s="279"/>
      <c r="EF31" s="279"/>
      <c r="EG31" s="279"/>
      <c r="EH31" s="279"/>
      <c r="EI31" s="279"/>
      <c r="EJ31" s="279"/>
      <c r="EK31" s="279"/>
      <c r="EL31" s="279"/>
      <c r="EM31" s="279"/>
      <c r="EN31" s="205"/>
      <c r="EO31" s="205"/>
      <c r="EP31" s="279"/>
      <c r="EQ31" s="279"/>
      <c r="ER31" s="279"/>
      <c r="ES31" s="279"/>
      <c r="ET31" s="279"/>
      <c r="EU31" s="279"/>
      <c r="EV31" s="279"/>
      <c r="EW31" s="279"/>
      <c r="EX31" s="279"/>
      <c r="EY31" s="279"/>
      <c r="EZ31" s="279"/>
      <c r="FA31" s="205"/>
      <c r="FB31" s="205"/>
      <c r="FC31" s="279"/>
      <c r="FD31" s="279"/>
      <c r="FE31" s="279"/>
      <c r="FF31" s="279"/>
      <c r="FG31" s="279"/>
      <c r="FH31" s="279"/>
      <c r="FI31" s="279"/>
      <c r="FJ31" s="279"/>
      <c r="FK31" s="279"/>
      <c r="FL31" s="279"/>
      <c r="FM31" s="279"/>
      <c r="FN31" s="205"/>
      <c r="FO31" s="205"/>
      <c r="FP31" s="279"/>
      <c r="FQ31" s="279"/>
      <c r="FR31" s="279"/>
      <c r="FS31" s="279"/>
      <c r="FT31" s="279"/>
      <c r="FU31" s="279"/>
      <c r="FV31" s="279"/>
      <c r="FW31" s="279"/>
      <c r="FX31" s="279"/>
      <c r="FY31" s="279"/>
      <c r="FZ31" s="279"/>
      <c r="GA31" s="205"/>
      <c r="GB31" s="205"/>
      <c r="GC31" s="279"/>
      <c r="GD31" s="279"/>
      <c r="GE31" s="279"/>
      <c r="GF31" s="279"/>
      <c r="GG31" s="279"/>
      <c r="GH31" s="279"/>
      <c r="GI31" s="279"/>
      <c r="GJ31" s="279"/>
      <c r="GK31" s="279"/>
      <c r="GL31" s="279"/>
      <c r="GM31" s="279"/>
      <c r="GN31" s="205"/>
      <c r="GO31" s="205"/>
      <c r="GP31" s="279"/>
      <c r="GQ31" s="279"/>
      <c r="GR31" s="279"/>
      <c r="GS31" s="279"/>
      <c r="GT31" s="279"/>
      <c r="GU31" s="279"/>
      <c r="GV31" s="279"/>
      <c r="GW31" s="279"/>
      <c r="GX31" s="279"/>
      <c r="GY31" s="279"/>
      <c r="GZ31" s="279"/>
      <c r="HA31" s="205"/>
      <c r="HB31" s="205"/>
      <c r="HC31" s="279"/>
      <c r="HD31" s="279"/>
      <c r="HE31" s="279"/>
      <c r="HF31" s="279"/>
      <c r="HG31" s="279"/>
      <c r="HH31" s="279"/>
      <c r="HI31" s="279"/>
      <c r="HJ31" s="279"/>
      <c r="HK31" s="279"/>
      <c r="HL31" s="279"/>
      <c r="HM31" s="279"/>
      <c r="HN31" s="205"/>
      <c r="HO31" s="205"/>
      <c r="HP31" s="279"/>
      <c r="HQ31" s="279"/>
      <c r="HR31" s="279"/>
      <c r="HS31" s="279"/>
      <c r="HT31" s="279"/>
      <c r="HU31" s="279"/>
      <c r="HV31" s="279"/>
      <c r="HW31" s="279"/>
      <c r="HX31" s="279"/>
      <c r="HY31" s="279"/>
      <c r="HZ31" s="279"/>
      <c r="IA31" s="205"/>
      <c r="IB31" s="205"/>
      <c r="IC31" s="279"/>
      <c r="ID31" s="279"/>
      <c r="IE31" s="279"/>
      <c r="IF31" s="279"/>
      <c r="IG31" s="279"/>
      <c r="IH31" s="279"/>
      <c r="II31" s="279"/>
      <c r="IJ31" s="279"/>
      <c r="IK31" s="279"/>
      <c r="IL31" s="279"/>
      <c r="IM31" s="279"/>
      <c r="IN31" s="205"/>
      <c r="IO31" s="205"/>
      <c r="IP31" s="279"/>
      <c r="IQ31" s="279"/>
      <c r="IR31" s="279"/>
      <c r="IS31" s="279"/>
      <c r="IT31" s="279"/>
      <c r="IU31" s="279"/>
      <c r="IV31" s="279"/>
    </row>
    <row r="32" spans="1:256" x14ac:dyDescent="0.2">
      <c r="A32" s="216"/>
      <c r="B32" s="21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8"/>
      <c r="N32" s="221"/>
      <c r="O32" s="22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2"/>
      <c r="AA32" s="216"/>
      <c r="AB32" s="217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8"/>
      <c r="AN32" s="216"/>
      <c r="AO32" s="217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8"/>
      <c r="BA32" s="216"/>
      <c r="BB32" s="217"/>
      <c r="BC32" s="277"/>
      <c r="BD32" s="277"/>
      <c r="BE32" s="277"/>
      <c r="BF32" s="277"/>
      <c r="BG32" s="277"/>
      <c r="BH32" s="277"/>
      <c r="BI32" s="277"/>
      <c r="BJ32" s="277"/>
      <c r="BK32" s="277"/>
      <c r="BL32" s="277"/>
      <c r="BM32" s="278"/>
      <c r="BN32" s="216"/>
      <c r="BO32" s="217"/>
      <c r="BP32" s="277"/>
      <c r="BQ32" s="277"/>
      <c r="BR32" s="277"/>
      <c r="BS32" s="277"/>
      <c r="BT32" s="277"/>
      <c r="BU32" s="277"/>
      <c r="BV32" s="277"/>
      <c r="BW32" s="277"/>
      <c r="BX32" s="277"/>
      <c r="BY32" s="277"/>
      <c r="BZ32" s="278"/>
      <c r="CA32" s="216"/>
      <c r="CB32" s="217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8"/>
      <c r="CN32" s="216"/>
      <c r="CO32" s="21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8"/>
      <c r="DA32" s="216"/>
      <c r="DB32" s="217"/>
      <c r="DC32" s="277"/>
      <c r="DD32" s="277"/>
      <c r="DE32" s="277"/>
      <c r="DF32" s="277"/>
      <c r="DG32" s="277"/>
      <c r="DH32" s="277"/>
      <c r="DI32" s="277"/>
      <c r="DJ32" s="277"/>
      <c r="DK32" s="277"/>
      <c r="DL32" s="277"/>
      <c r="DM32" s="278"/>
      <c r="DN32" s="216"/>
      <c r="DO32" s="217"/>
      <c r="DP32" s="277"/>
      <c r="DQ32" s="277"/>
      <c r="DR32" s="277"/>
      <c r="DS32" s="277"/>
      <c r="DT32" s="277"/>
      <c r="DU32" s="277"/>
      <c r="DV32" s="277"/>
      <c r="DW32" s="277"/>
      <c r="DX32" s="277"/>
      <c r="DY32" s="277"/>
      <c r="DZ32" s="278"/>
      <c r="EA32" s="216"/>
      <c r="EB32" s="217"/>
      <c r="EC32" s="277"/>
      <c r="ED32" s="277"/>
      <c r="EE32" s="277"/>
      <c r="EF32" s="277"/>
      <c r="EG32" s="277"/>
      <c r="EH32" s="277"/>
      <c r="EI32" s="277"/>
      <c r="EJ32" s="277"/>
      <c r="EK32" s="277"/>
      <c r="EL32" s="277"/>
      <c r="EM32" s="278"/>
      <c r="EN32" s="216"/>
      <c r="EO32" s="217"/>
      <c r="EP32" s="277"/>
      <c r="EQ32" s="277"/>
      <c r="ER32" s="277"/>
      <c r="ES32" s="277"/>
      <c r="ET32" s="277"/>
      <c r="EU32" s="277"/>
      <c r="EV32" s="277"/>
      <c r="EW32" s="277"/>
      <c r="EX32" s="277"/>
      <c r="EY32" s="277"/>
      <c r="EZ32" s="278"/>
      <c r="FA32" s="216"/>
      <c r="FB32" s="217"/>
      <c r="FC32" s="277"/>
      <c r="FD32" s="277"/>
      <c r="FE32" s="277"/>
      <c r="FF32" s="277"/>
      <c r="FG32" s="277"/>
      <c r="FH32" s="277"/>
      <c r="FI32" s="277"/>
      <c r="FJ32" s="277"/>
      <c r="FK32" s="277"/>
      <c r="FL32" s="277"/>
      <c r="FM32" s="278"/>
      <c r="FN32" s="216"/>
      <c r="FO32" s="217"/>
      <c r="FP32" s="277"/>
      <c r="FQ32" s="277"/>
      <c r="FR32" s="277"/>
      <c r="FS32" s="277"/>
      <c r="FT32" s="277"/>
      <c r="FU32" s="277"/>
      <c r="FV32" s="277"/>
      <c r="FW32" s="277"/>
      <c r="FX32" s="277"/>
      <c r="FY32" s="277"/>
      <c r="FZ32" s="278"/>
      <c r="GA32" s="216"/>
      <c r="GB32" s="217"/>
      <c r="GC32" s="277"/>
      <c r="GD32" s="277"/>
      <c r="GE32" s="277"/>
      <c r="GF32" s="277"/>
      <c r="GG32" s="277"/>
      <c r="GH32" s="277"/>
      <c r="GI32" s="277"/>
      <c r="GJ32" s="277"/>
      <c r="GK32" s="277"/>
      <c r="GL32" s="277"/>
      <c r="GM32" s="278"/>
      <c r="GN32" s="216"/>
      <c r="GO32" s="217"/>
      <c r="GP32" s="277"/>
      <c r="GQ32" s="277"/>
      <c r="GR32" s="277"/>
      <c r="GS32" s="277"/>
      <c r="GT32" s="277"/>
      <c r="GU32" s="277"/>
      <c r="GV32" s="277"/>
      <c r="GW32" s="277"/>
      <c r="GX32" s="277"/>
      <c r="GY32" s="277"/>
      <c r="GZ32" s="278"/>
      <c r="HA32" s="216"/>
      <c r="HB32" s="217"/>
      <c r="HC32" s="277"/>
      <c r="HD32" s="277"/>
      <c r="HE32" s="277"/>
      <c r="HF32" s="277"/>
      <c r="HG32" s="277"/>
      <c r="HH32" s="277"/>
      <c r="HI32" s="277"/>
      <c r="HJ32" s="277"/>
      <c r="HK32" s="277"/>
      <c r="HL32" s="277"/>
      <c r="HM32" s="278"/>
      <c r="HN32" s="216"/>
      <c r="HO32" s="217"/>
      <c r="HP32" s="277"/>
      <c r="HQ32" s="277"/>
      <c r="HR32" s="277"/>
      <c r="HS32" s="277"/>
      <c r="HT32" s="277"/>
      <c r="HU32" s="277"/>
      <c r="HV32" s="277"/>
      <c r="HW32" s="277"/>
      <c r="HX32" s="277"/>
      <c r="HY32" s="277"/>
      <c r="HZ32" s="278"/>
      <c r="IA32" s="216"/>
      <c r="IB32" s="217"/>
      <c r="IC32" s="277"/>
      <c r="ID32" s="277"/>
      <c r="IE32" s="277"/>
      <c r="IF32" s="277"/>
      <c r="IG32" s="277"/>
      <c r="IH32" s="277"/>
      <c r="II32" s="277"/>
      <c r="IJ32" s="277"/>
      <c r="IK32" s="277"/>
      <c r="IL32" s="277"/>
      <c r="IM32" s="278"/>
      <c r="IN32" s="216"/>
      <c r="IO32" s="217"/>
      <c r="IP32" s="277"/>
      <c r="IQ32" s="277"/>
      <c r="IR32" s="277"/>
      <c r="IS32" s="277"/>
      <c r="IT32" s="277"/>
      <c r="IU32" s="277"/>
      <c r="IV32" s="277"/>
    </row>
    <row r="33" spans="1:256" x14ac:dyDescent="0.2">
      <c r="A33" s="216"/>
      <c r="B33" s="21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8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8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8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8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8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8"/>
      <c r="N38" s="209"/>
      <c r="O38" s="209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5"/>
      <c r="AB38" s="205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05"/>
      <c r="AO38" s="205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05"/>
      <c r="BB38" s="205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79"/>
      <c r="BN38" s="205"/>
      <c r="BO38" s="205"/>
      <c r="BP38" s="279"/>
      <c r="BQ38" s="279"/>
      <c r="BR38" s="279"/>
      <c r="BS38" s="279"/>
      <c r="BT38" s="279"/>
      <c r="BU38" s="279"/>
      <c r="BV38" s="279"/>
      <c r="BW38" s="279"/>
      <c r="BX38" s="279"/>
      <c r="BY38" s="279"/>
      <c r="BZ38" s="279"/>
      <c r="CA38" s="205"/>
      <c r="CB38" s="205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279"/>
      <c r="CN38" s="205"/>
      <c r="CO38" s="205"/>
      <c r="CP38" s="279"/>
      <c r="CQ38" s="279"/>
      <c r="CR38" s="279"/>
      <c r="CS38" s="279"/>
      <c r="CT38" s="279"/>
      <c r="CU38" s="279"/>
      <c r="CV38" s="279"/>
      <c r="CW38" s="279"/>
      <c r="CX38" s="279"/>
      <c r="CY38" s="279"/>
      <c r="CZ38" s="279"/>
      <c r="DA38" s="205"/>
      <c r="DB38" s="205"/>
      <c r="DC38" s="279"/>
      <c r="DD38" s="279"/>
      <c r="DE38" s="279"/>
      <c r="DF38" s="279"/>
      <c r="DG38" s="279"/>
      <c r="DH38" s="279"/>
      <c r="DI38" s="279"/>
      <c r="DJ38" s="279"/>
      <c r="DK38" s="279"/>
      <c r="DL38" s="279"/>
      <c r="DM38" s="279"/>
      <c r="DN38" s="205"/>
      <c r="DO38" s="205"/>
      <c r="DP38" s="279"/>
      <c r="DQ38" s="279"/>
      <c r="DR38" s="279"/>
      <c r="DS38" s="279"/>
      <c r="DT38" s="279"/>
      <c r="DU38" s="279"/>
      <c r="DV38" s="279"/>
      <c r="DW38" s="279"/>
      <c r="DX38" s="279"/>
      <c r="DY38" s="279"/>
      <c r="DZ38" s="279"/>
      <c r="EA38" s="205"/>
      <c r="EB38" s="205"/>
      <c r="EC38" s="279"/>
      <c r="ED38" s="279"/>
      <c r="EE38" s="279"/>
      <c r="EF38" s="279"/>
      <c r="EG38" s="279"/>
      <c r="EH38" s="279"/>
      <c r="EI38" s="279"/>
      <c r="EJ38" s="279"/>
      <c r="EK38" s="279"/>
      <c r="EL38" s="279"/>
      <c r="EM38" s="279"/>
      <c r="EN38" s="205"/>
      <c r="EO38" s="205"/>
      <c r="EP38" s="279"/>
      <c r="EQ38" s="279"/>
      <c r="ER38" s="279"/>
      <c r="ES38" s="279"/>
      <c r="ET38" s="279"/>
      <c r="EU38" s="279"/>
      <c r="EV38" s="279"/>
      <c r="EW38" s="279"/>
      <c r="EX38" s="279"/>
      <c r="EY38" s="279"/>
      <c r="EZ38" s="279"/>
      <c r="FA38" s="205"/>
      <c r="FB38" s="205"/>
      <c r="FC38" s="279"/>
      <c r="FD38" s="279"/>
      <c r="FE38" s="279"/>
      <c r="FF38" s="279"/>
      <c r="FG38" s="279"/>
      <c r="FH38" s="279"/>
      <c r="FI38" s="279"/>
      <c r="FJ38" s="279"/>
      <c r="FK38" s="279"/>
      <c r="FL38" s="279"/>
      <c r="FM38" s="279"/>
      <c r="FN38" s="205"/>
      <c r="FO38" s="205"/>
      <c r="FP38" s="279"/>
      <c r="FQ38" s="279"/>
      <c r="FR38" s="279"/>
      <c r="FS38" s="279"/>
      <c r="FT38" s="279"/>
      <c r="FU38" s="279"/>
      <c r="FV38" s="279"/>
      <c r="FW38" s="279"/>
      <c r="FX38" s="279"/>
      <c r="FY38" s="279"/>
      <c r="FZ38" s="279"/>
      <c r="GA38" s="205"/>
      <c r="GB38" s="205"/>
      <c r="GC38" s="279"/>
      <c r="GD38" s="279"/>
      <c r="GE38" s="279"/>
      <c r="GF38" s="279"/>
      <c r="GG38" s="279"/>
      <c r="GH38" s="279"/>
      <c r="GI38" s="279"/>
      <c r="GJ38" s="279"/>
      <c r="GK38" s="279"/>
      <c r="GL38" s="279"/>
      <c r="GM38" s="279"/>
      <c r="GN38" s="205"/>
      <c r="GO38" s="205"/>
      <c r="GP38" s="279"/>
      <c r="GQ38" s="279"/>
      <c r="GR38" s="279"/>
      <c r="GS38" s="279"/>
      <c r="GT38" s="279"/>
      <c r="GU38" s="279"/>
      <c r="GV38" s="279"/>
      <c r="GW38" s="279"/>
      <c r="GX38" s="279"/>
      <c r="GY38" s="279"/>
      <c r="GZ38" s="279"/>
      <c r="HA38" s="205"/>
      <c r="HB38" s="205"/>
      <c r="HC38" s="279"/>
      <c r="HD38" s="279"/>
      <c r="HE38" s="279"/>
      <c r="HF38" s="279"/>
      <c r="HG38" s="279"/>
      <c r="HH38" s="279"/>
      <c r="HI38" s="279"/>
      <c r="HJ38" s="279"/>
      <c r="HK38" s="279"/>
      <c r="HL38" s="279"/>
      <c r="HM38" s="279"/>
      <c r="HN38" s="205"/>
      <c r="HO38" s="205"/>
      <c r="HP38" s="279"/>
      <c r="HQ38" s="279"/>
      <c r="HR38" s="279"/>
      <c r="HS38" s="279"/>
      <c r="HT38" s="279"/>
      <c r="HU38" s="279"/>
      <c r="HV38" s="279"/>
      <c r="HW38" s="279"/>
      <c r="HX38" s="279"/>
      <c r="HY38" s="279"/>
      <c r="HZ38" s="279"/>
      <c r="IA38" s="205"/>
      <c r="IB38" s="205"/>
      <c r="IC38" s="279"/>
      <c r="ID38" s="279"/>
      <c r="IE38" s="279"/>
      <c r="IF38" s="279"/>
      <c r="IG38" s="279"/>
      <c r="IH38" s="279"/>
      <c r="II38" s="279"/>
      <c r="IJ38" s="279"/>
      <c r="IK38" s="279"/>
      <c r="IL38" s="279"/>
      <c r="IM38" s="279"/>
      <c r="IN38" s="205"/>
      <c r="IO38" s="205"/>
      <c r="IP38" s="279"/>
      <c r="IQ38" s="279"/>
      <c r="IR38" s="279"/>
      <c r="IS38" s="279"/>
      <c r="IT38" s="279"/>
      <c r="IU38" s="279"/>
      <c r="IV38" s="279"/>
    </row>
    <row r="39" spans="1:256" x14ac:dyDescent="0.2">
      <c r="A39" s="216"/>
      <c r="B39" s="21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  <c r="N39" s="209"/>
      <c r="O39" s="209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5"/>
      <c r="AB39" s="205"/>
      <c r="AC39" s="279"/>
      <c r="AD39" s="279"/>
      <c r="AE39" s="279"/>
      <c r="AF39" s="279"/>
      <c r="AG39" s="279"/>
      <c r="AH39" s="279"/>
      <c r="AI39" s="279"/>
      <c r="AJ39" s="279"/>
      <c r="AK39" s="279"/>
      <c r="AL39" s="279"/>
      <c r="AM39" s="279"/>
      <c r="AN39" s="205"/>
      <c r="AO39" s="205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05"/>
      <c r="BB39" s="205"/>
      <c r="BC39" s="279"/>
      <c r="BD39" s="279"/>
      <c r="BE39" s="279"/>
      <c r="BF39" s="279"/>
      <c r="BG39" s="279"/>
      <c r="BH39" s="279"/>
      <c r="BI39" s="279"/>
      <c r="BJ39" s="279"/>
      <c r="BK39" s="279"/>
      <c r="BL39" s="279"/>
      <c r="BM39" s="279"/>
      <c r="BN39" s="205"/>
      <c r="BO39" s="205"/>
      <c r="BP39" s="279"/>
      <c r="BQ39" s="279"/>
      <c r="BR39" s="279"/>
      <c r="BS39" s="279"/>
      <c r="BT39" s="279"/>
      <c r="BU39" s="279"/>
      <c r="BV39" s="279"/>
      <c r="BW39" s="279"/>
      <c r="BX39" s="279"/>
      <c r="BY39" s="279"/>
      <c r="BZ39" s="279"/>
      <c r="CA39" s="205"/>
      <c r="CB39" s="205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279"/>
      <c r="CN39" s="205"/>
      <c r="CO39" s="205"/>
      <c r="CP39" s="279"/>
      <c r="CQ39" s="279"/>
      <c r="CR39" s="279"/>
      <c r="CS39" s="279"/>
      <c r="CT39" s="279"/>
      <c r="CU39" s="279"/>
      <c r="CV39" s="279"/>
      <c r="CW39" s="279"/>
      <c r="CX39" s="279"/>
      <c r="CY39" s="279"/>
      <c r="CZ39" s="279"/>
      <c r="DA39" s="205"/>
      <c r="DB39" s="205"/>
      <c r="DC39" s="279"/>
      <c r="DD39" s="279"/>
      <c r="DE39" s="279"/>
      <c r="DF39" s="279"/>
      <c r="DG39" s="279"/>
      <c r="DH39" s="279"/>
      <c r="DI39" s="279"/>
      <c r="DJ39" s="279"/>
      <c r="DK39" s="279"/>
      <c r="DL39" s="279"/>
      <c r="DM39" s="279"/>
      <c r="DN39" s="205"/>
      <c r="DO39" s="205"/>
      <c r="DP39" s="279"/>
      <c r="DQ39" s="279"/>
      <c r="DR39" s="279"/>
      <c r="DS39" s="279"/>
      <c r="DT39" s="279"/>
      <c r="DU39" s="279"/>
      <c r="DV39" s="279"/>
      <c r="DW39" s="279"/>
      <c r="DX39" s="279"/>
      <c r="DY39" s="279"/>
      <c r="DZ39" s="279"/>
      <c r="EA39" s="205"/>
      <c r="EB39" s="205"/>
      <c r="EC39" s="279"/>
      <c r="ED39" s="279"/>
      <c r="EE39" s="279"/>
      <c r="EF39" s="279"/>
      <c r="EG39" s="279"/>
      <c r="EH39" s="279"/>
      <c r="EI39" s="279"/>
      <c r="EJ39" s="279"/>
      <c r="EK39" s="279"/>
      <c r="EL39" s="279"/>
      <c r="EM39" s="279"/>
      <c r="EN39" s="205"/>
      <c r="EO39" s="205"/>
      <c r="EP39" s="279"/>
      <c r="EQ39" s="279"/>
      <c r="ER39" s="279"/>
      <c r="ES39" s="279"/>
      <c r="ET39" s="279"/>
      <c r="EU39" s="279"/>
      <c r="EV39" s="279"/>
      <c r="EW39" s="279"/>
      <c r="EX39" s="279"/>
      <c r="EY39" s="279"/>
      <c r="EZ39" s="279"/>
      <c r="FA39" s="205"/>
      <c r="FB39" s="205"/>
      <c r="FC39" s="279"/>
      <c r="FD39" s="279"/>
      <c r="FE39" s="279"/>
      <c r="FF39" s="279"/>
      <c r="FG39" s="279"/>
      <c r="FH39" s="279"/>
      <c r="FI39" s="279"/>
      <c r="FJ39" s="279"/>
      <c r="FK39" s="279"/>
      <c r="FL39" s="279"/>
      <c r="FM39" s="279"/>
      <c r="FN39" s="205"/>
      <c r="FO39" s="205"/>
      <c r="FP39" s="279"/>
      <c r="FQ39" s="279"/>
      <c r="FR39" s="279"/>
      <c r="FS39" s="279"/>
      <c r="FT39" s="279"/>
      <c r="FU39" s="279"/>
      <c r="FV39" s="279"/>
      <c r="FW39" s="279"/>
      <c r="FX39" s="279"/>
      <c r="FY39" s="279"/>
      <c r="FZ39" s="279"/>
      <c r="GA39" s="205"/>
      <c r="GB39" s="205"/>
      <c r="GC39" s="279"/>
      <c r="GD39" s="279"/>
      <c r="GE39" s="279"/>
      <c r="GF39" s="279"/>
      <c r="GG39" s="279"/>
      <c r="GH39" s="279"/>
      <c r="GI39" s="279"/>
      <c r="GJ39" s="279"/>
      <c r="GK39" s="279"/>
      <c r="GL39" s="279"/>
      <c r="GM39" s="279"/>
      <c r="GN39" s="205"/>
      <c r="GO39" s="205"/>
      <c r="GP39" s="279"/>
      <c r="GQ39" s="279"/>
      <c r="GR39" s="279"/>
      <c r="GS39" s="279"/>
      <c r="GT39" s="279"/>
      <c r="GU39" s="279"/>
      <c r="GV39" s="279"/>
      <c r="GW39" s="279"/>
      <c r="GX39" s="279"/>
      <c r="GY39" s="279"/>
      <c r="GZ39" s="279"/>
      <c r="HA39" s="205"/>
      <c r="HB39" s="205"/>
      <c r="HC39" s="279"/>
      <c r="HD39" s="279"/>
      <c r="HE39" s="279"/>
      <c r="HF39" s="279"/>
      <c r="HG39" s="279"/>
      <c r="HH39" s="279"/>
      <c r="HI39" s="279"/>
      <c r="HJ39" s="279"/>
      <c r="HK39" s="279"/>
      <c r="HL39" s="279"/>
      <c r="HM39" s="279"/>
      <c r="HN39" s="205"/>
      <c r="HO39" s="205"/>
      <c r="HP39" s="279"/>
      <c r="HQ39" s="279"/>
      <c r="HR39" s="279"/>
      <c r="HS39" s="279"/>
      <c r="HT39" s="279"/>
      <c r="HU39" s="279"/>
      <c r="HV39" s="279"/>
      <c r="HW39" s="279"/>
      <c r="HX39" s="279"/>
      <c r="HY39" s="279"/>
      <c r="HZ39" s="279"/>
      <c r="IA39" s="205"/>
      <c r="IB39" s="205"/>
      <c r="IC39" s="279"/>
      <c r="ID39" s="279"/>
      <c r="IE39" s="279"/>
      <c r="IF39" s="279"/>
      <c r="IG39" s="279"/>
      <c r="IH39" s="279"/>
      <c r="II39" s="279"/>
      <c r="IJ39" s="279"/>
      <c r="IK39" s="279"/>
      <c r="IL39" s="279"/>
      <c r="IM39" s="279"/>
      <c r="IN39" s="205"/>
      <c r="IO39" s="205"/>
      <c r="IP39" s="279"/>
      <c r="IQ39" s="279"/>
      <c r="IR39" s="279"/>
      <c r="IS39" s="279"/>
      <c r="IT39" s="279"/>
      <c r="IU39" s="279"/>
      <c r="IV39" s="279"/>
    </row>
    <row r="40" spans="1:256" x14ac:dyDescent="0.2">
      <c r="A40" s="216"/>
      <c r="B40" s="21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8"/>
      <c r="N40" s="209"/>
      <c r="O40" s="209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5"/>
      <c r="AB40" s="205"/>
      <c r="AC40" s="279"/>
      <c r="AD40" s="279"/>
      <c r="AE40" s="279"/>
      <c r="AF40" s="279"/>
      <c r="AG40" s="279"/>
      <c r="AH40" s="279"/>
      <c r="AI40" s="279"/>
      <c r="AJ40" s="279"/>
      <c r="AK40" s="279"/>
      <c r="AL40" s="279"/>
      <c r="AM40" s="279"/>
      <c r="AN40" s="205"/>
      <c r="AO40" s="205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05"/>
      <c r="BB40" s="205"/>
      <c r="BC40" s="279"/>
      <c r="BD40" s="279"/>
      <c r="BE40" s="279"/>
      <c r="BF40" s="279"/>
      <c r="BG40" s="279"/>
      <c r="BH40" s="279"/>
      <c r="BI40" s="279"/>
      <c r="BJ40" s="279"/>
      <c r="BK40" s="279"/>
      <c r="BL40" s="279"/>
      <c r="BM40" s="279"/>
      <c r="BN40" s="205"/>
      <c r="BO40" s="205"/>
      <c r="BP40" s="279"/>
      <c r="BQ40" s="279"/>
      <c r="BR40" s="279"/>
      <c r="BS40" s="279"/>
      <c r="BT40" s="279"/>
      <c r="BU40" s="279"/>
      <c r="BV40" s="279"/>
      <c r="BW40" s="279"/>
      <c r="BX40" s="279"/>
      <c r="BY40" s="279"/>
      <c r="BZ40" s="279"/>
      <c r="CA40" s="205"/>
      <c r="CB40" s="205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279"/>
      <c r="CN40" s="205"/>
      <c r="CO40" s="205"/>
      <c r="CP40" s="279"/>
      <c r="CQ40" s="279"/>
      <c r="CR40" s="279"/>
      <c r="CS40" s="279"/>
      <c r="CT40" s="279"/>
      <c r="CU40" s="279"/>
      <c r="CV40" s="279"/>
      <c r="CW40" s="279"/>
      <c r="CX40" s="279"/>
      <c r="CY40" s="279"/>
      <c r="CZ40" s="279"/>
      <c r="DA40" s="205"/>
      <c r="DB40" s="205"/>
      <c r="DC40" s="279"/>
      <c r="DD40" s="279"/>
      <c r="DE40" s="279"/>
      <c r="DF40" s="279"/>
      <c r="DG40" s="279"/>
      <c r="DH40" s="279"/>
      <c r="DI40" s="279"/>
      <c r="DJ40" s="279"/>
      <c r="DK40" s="279"/>
      <c r="DL40" s="279"/>
      <c r="DM40" s="279"/>
      <c r="DN40" s="205"/>
      <c r="DO40" s="205"/>
      <c r="DP40" s="279"/>
      <c r="DQ40" s="279"/>
      <c r="DR40" s="279"/>
      <c r="DS40" s="279"/>
      <c r="DT40" s="279"/>
      <c r="DU40" s="279"/>
      <c r="DV40" s="279"/>
      <c r="DW40" s="279"/>
      <c r="DX40" s="279"/>
      <c r="DY40" s="279"/>
      <c r="DZ40" s="279"/>
      <c r="EA40" s="205"/>
      <c r="EB40" s="205"/>
      <c r="EC40" s="279"/>
      <c r="ED40" s="279"/>
      <c r="EE40" s="279"/>
      <c r="EF40" s="279"/>
      <c r="EG40" s="279"/>
      <c r="EH40" s="279"/>
      <c r="EI40" s="279"/>
      <c r="EJ40" s="279"/>
      <c r="EK40" s="279"/>
      <c r="EL40" s="279"/>
      <c r="EM40" s="279"/>
      <c r="EN40" s="205"/>
      <c r="EO40" s="205"/>
      <c r="EP40" s="279"/>
      <c r="EQ40" s="279"/>
      <c r="ER40" s="279"/>
      <c r="ES40" s="279"/>
      <c r="ET40" s="279"/>
      <c r="EU40" s="279"/>
      <c r="EV40" s="279"/>
      <c r="EW40" s="279"/>
      <c r="EX40" s="279"/>
      <c r="EY40" s="279"/>
      <c r="EZ40" s="279"/>
      <c r="FA40" s="205"/>
      <c r="FB40" s="205"/>
      <c r="FC40" s="279"/>
      <c r="FD40" s="279"/>
      <c r="FE40" s="279"/>
      <c r="FF40" s="279"/>
      <c r="FG40" s="279"/>
      <c r="FH40" s="279"/>
      <c r="FI40" s="279"/>
      <c r="FJ40" s="279"/>
      <c r="FK40" s="279"/>
      <c r="FL40" s="279"/>
      <c r="FM40" s="279"/>
      <c r="FN40" s="205"/>
      <c r="FO40" s="205"/>
      <c r="FP40" s="279"/>
      <c r="FQ40" s="279"/>
      <c r="FR40" s="279"/>
      <c r="FS40" s="279"/>
      <c r="FT40" s="279"/>
      <c r="FU40" s="279"/>
      <c r="FV40" s="279"/>
      <c r="FW40" s="279"/>
      <c r="FX40" s="279"/>
      <c r="FY40" s="279"/>
      <c r="FZ40" s="279"/>
      <c r="GA40" s="205"/>
      <c r="GB40" s="205"/>
      <c r="GC40" s="279"/>
      <c r="GD40" s="279"/>
      <c r="GE40" s="279"/>
      <c r="GF40" s="279"/>
      <c r="GG40" s="279"/>
      <c r="GH40" s="279"/>
      <c r="GI40" s="279"/>
      <c r="GJ40" s="279"/>
      <c r="GK40" s="279"/>
      <c r="GL40" s="279"/>
      <c r="GM40" s="279"/>
      <c r="GN40" s="205"/>
      <c r="GO40" s="205"/>
      <c r="GP40" s="279"/>
      <c r="GQ40" s="279"/>
      <c r="GR40" s="279"/>
      <c r="GS40" s="279"/>
      <c r="GT40" s="279"/>
      <c r="GU40" s="279"/>
      <c r="GV40" s="279"/>
      <c r="GW40" s="279"/>
      <c r="GX40" s="279"/>
      <c r="GY40" s="279"/>
      <c r="GZ40" s="279"/>
      <c r="HA40" s="205"/>
      <c r="HB40" s="205"/>
      <c r="HC40" s="279"/>
      <c r="HD40" s="279"/>
      <c r="HE40" s="279"/>
      <c r="HF40" s="279"/>
      <c r="HG40" s="279"/>
      <c r="HH40" s="279"/>
      <c r="HI40" s="279"/>
      <c r="HJ40" s="279"/>
      <c r="HK40" s="279"/>
      <c r="HL40" s="279"/>
      <c r="HM40" s="279"/>
      <c r="HN40" s="205"/>
      <c r="HO40" s="205"/>
      <c r="HP40" s="279"/>
      <c r="HQ40" s="279"/>
      <c r="HR40" s="279"/>
      <c r="HS40" s="279"/>
      <c r="HT40" s="279"/>
      <c r="HU40" s="279"/>
      <c r="HV40" s="279"/>
      <c r="HW40" s="279"/>
      <c r="HX40" s="279"/>
      <c r="HY40" s="279"/>
      <c r="HZ40" s="279"/>
      <c r="IA40" s="205"/>
      <c r="IB40" s="205"/>
      <c r="IC40" s="279"/>
      <c r="ID40" s="279"/>
      <c r="IE40" s="279"/>
      <c r="IF40" s="279"/>
      <c r="IG40" s="279"/>
      <c r="IH40" s="279"/>
      <c r="II40" s="279"/>
      <c r="IJ40" s="279"/>
      <c r="IK40" s="279"/>
      <c r="IL40" s="279"/>
      <c r="IM40" s="279"/>
      <c r="IN40" s="205"/>
      <c r="IO40" s="205"/>
      <c r="IP40" s="279"/>
      <c r="IQ40" s="279"/>
      <c r="IR40" s="279"/>
      <c r="IS40" s="279"/>
      <c r="IT40" s="279"/>
      <c r="IU40" s="279"/>
      <c r="IV40" s="279"/>
    </row>
    <row r="41" spans="1:256" x14ac:dyDescent="0.2">
      <c r="A41" s="216"/>
      <c r="B41" s="21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8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8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8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8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8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8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8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8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8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8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8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8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8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8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8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8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8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8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8"/>
    </row>
    <row r="60" spans="1:256" x14ac:dyDescent="0.2">
      <c r="A60" s="216"/>
      <c r="B60" s="21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8"/>
    </row>
    <row r="61" spans="1:256" x14ac:dyDescent="0.2">
      <c r="A61" s="216"/>
      <c r="B61" s="21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8"/>
    </row>
    <row r="62" spans="1:256" x14ac:dyDescent="0.2">
      <c r="A62" s="216"/>
      <c r="B62" s="21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8"/>
    </row>
    <row r="63" spans="1:256" x14ac:dyDescent="0.2">
      <c r="A63" s="216"/>
      <c r="B63" s="21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8"/>
    </row>
    <row r="64" spans="1:256" x14ac:dyDescent="0.2">
      <c r="A64" s="216"/>
      <c r="B64" s="21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8"/>
    </row>
    <row r="65" spans="1:13" x14ac:dyDescent="0.2">
      <c r="A65" s="216"/>
      <c r="B65" s="21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8"/>
    </row>
    <row r="66" spans="1:13" x14ac:dyDescent="0.2">
      <c r="A66" s="216"/>
      <c r="B66" s="21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8"/>
    </row>
    <row r="67" spans="1:13" x14ac:dyDescent="0.2">
      <c r="A67" s="216"/>
      <c r="B67" s="21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8"/>
    </row>
    <row r="68" spans="1:13" x14ac:dyDescent="0.2">
      <c r="A68" s="216"/>
      <c r="B68" s="21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8"/>
    </row>
    <row r="69" spans="1:13" x14ac:dyDescent="0.2">
      <c r="A69" s="216"/>
      <c r="B69" s="21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8"/>
    </row>
    <row r="70" spans="1:13" ht="12" thickBot="1" x14ac:dyDescent="0.25">
      <c r="A70" s="218"/>
      <c r="B70" s="219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3" t="s">
        <v>879</v>
      </c>
      <c r="B72" s="293"/>
      <c r="C72" s="293"/>
      <c r="D72" s="293"/>
      <c r="E72" s="293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799</v>
      </c>
      <c r="B73" s="208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09"/>
      <c r="B74" s="209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09"/>
      <c r="B75" s="209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09"/>
      <c r="B76" s="209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09"/>
      <c r="B77" s="209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09"/>
      <c r="B78" s="209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09"/>
      <c r="B79" s="209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09"/>
      <c r="B80" s="209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09"/>
      <c r="B81" s="209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09"/>
      <c r="B82" s="209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09"/>
      <c r="B83" s="209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09"/>
      <c r="B84" s="209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09"/>
      <c r="B85" s="209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09"/>
      <c r="B86" s="209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09"/>
      <c r="B87" s="209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09"/>
      <c r="B88" s="209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09"/>
      <c r="B89" s="209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09"/>
      <c r="B90" s="209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2011-10-27T19:08:28Z</cp:lastPrinted>
  <dcterms:created xsi:type="dcterms:W3CDTF">1997-12-04T19:04:30Z</dcterms:created>
  <dcterms:modified xsi:type="dcterms:W3CDTF">2025-01-10T20:34:32Z</dcterms:modified>
</cp:coreProperties>
</file>