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3E4E04C-0F06-430C-AC4D-29D74BF1F0B4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32AAEB40-99DA-4577-9EC4-946B9B2DF6A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8" i="1" l="1"/>
  <c r="H190" i="1"/>
  <c r="B30" i="12"/>
  <c r="F603" i="1"/>
  <c r="G603" i="1" s="1"/>
  <c r="L603" i="1" s="1"/>
  <c r="H653" i="1" s="1"/>
  <c r="F602" i="1"/>
  <c r="F601" i="1"/>
  <c r="G601" i="1" s="1"/>
  <c r="F42" i="1"/>
  <c r="C41" i="2" s="1"/>
  <c r="C42" i="2" s="1"/>
  <c r="F62" i="1"/>
  <c r="F71" i="1" s="1"/>
  <c r="C49" i="2" s="1"/>
  <c r="C54" i="2" s="1"/>
  <c r="F13" i="1"/>
  <c r="F19" i="1" s="1"/>
  <c r="G607" i="1" s="1"/>
  <c r="F25" i="1"/>
  <c r="F61" i="1"/>
  <c r="I228" i="1"/>
  <c r="I197" i="1"/>
  <c r="I189" i="1"/>
  <c r="L189" i="1" s="1"/>
  <c r="I225" i="1"/>
  <c r="I207" i="1"/>
  <c r="I221" i="1" s="1"/>
  <c r="I212" i="1"/>
  <c r="L212" i="1" s="1"/>
  <c r="I227" i="1"/>
  <c r="L227" i="1" s="1"/>
  <c r="C12" i="10" s="1"/>
  <c r="I210" i="1"/>
  <c r="I226" i="1"/>
  <c r="I513" i="1" s="1"/>
  <c r="H227" i="1"/>
  <c r="J554" i="1"/>
  <c r="J553" i="1"/>
  <c r="J552" i="1"/>
  <c r="I554" i="1"/>
  <c r="I553" i="1"/>
  <c r="L553" i="1" s="1"/>
  <c r="I552" i="1"/>
  <c r="L552" i="1" s="1"/>
  <c r="H554" i="1"/>
  <c r="L554" i="1" s="1"/>
  <c r="H553" i="1"/>
  <c r="H552" i="1"/>
  <c r="G554" i="1"/>
  <c r="G553" i="1"/>
  <c r="G552" i="1"/>
  <c r="F554" i="1"/>
  <c r="F553" i="1"/>
  <c r="F552" i="1"/>
  <c r="G518" i="1"/>
  <c r="L518" i="1" s="1"/>
  <c r="G541" i="1" s="1"/>
  <c r="G517" i="1"/>
  <c r="G516" i="1"/>
  <c r="L516" i="1" s="1"/>
  <c r="G523" i="1"/>
  <c r="G513" i="1" s="1"/>
  <c r="G522" i="1"/>
  <c r="G521" i="1"/>
  <c r="G511" i="1" s="1"/>
  <c r="G514" i="1" s="1"/>
  <c r="J513" i="1"/>
  <c r="K512" i="1"/>
  <c r="J512" i="1"/>
  <c r="J514" i="1" s="1"/>
  <c r="J535" i="1" s="1"/>
  <c r="I512" i="1"/>
  <c r="H512" i="1"/>
  <c r="G512" i="1"/>
  <c r="K511" i="1"/>
  <c r="J511" i="1"/>
  <c r="H511" i="1"/>
  <c r="F523" i="1"/>
  <c r="F513" i="1" s="1"/>
  <c r="F522" i="1"/>
  <c r="L522" i="1" s="1"/>
  <c r="H540" i="1" s="1"/>
  <c r="F521" i="1"/>
  <c r="L521" i="1" s="1"/>
  <c r="G89" i="1"/>
  <c r="G103" i="1" s="1"/>
  <c r="G104" i="1" s="1"/>
  <c r="G185" i="1" s="1"/>
  <c r="G618" i="1" s="1"/>
  <c r="J618" i="1" s="1"/>
  <c r="H370" i="1"/>
  <c r="L370" i="1" s="1"/>
  <c r="H582" i="1"/>
  <c r="K582" i="1" s="1"/>
  <c r="K588" i="1" s="1"/>
  <c r="G637" i="1" s="1"/>
  <c r="J637" i="1" s="1"/>
  <c r="H572" i="1"/>
  <c r="F30" i="1"/>
  <c r="G189" i="1"/>
  <c r="F189" i="1"/>
  <c r="H492" i="1"/>
  <c r="F492" i="1"/>
  <c r="F493" i="1" s="1"/>
  <c r="F489" i="1"/>
  <c r="B152" i="2" s="1"/>
  <c r="G152" i="2" s="1"/>
  <c r="F488" i="1"/>
  <c r="F490" i="1" s="1"/>
  <c r="K226" i="1"/>
  <c r="K513" i="1" s="1"/>
  <c r="K514" i="1" s="1"/>
  <c r="K535" i="1" s="1"/>
  <c r="J225" i="1"/>
  <c r="J239" i="1" s="1"/>
  <c r="H226" i="1"/>
  <c r="H513" i="1" s="1"/>
  <c r="G225" i="1"/>
  <c r="C9" i="12" s="1"/>
  <c r="G458" i="1"/>
  <c r="F14" i="1"/>
  <c r="F23" i="1"/>
  <c r="H24" i="1"/>
  <c r="H13" i="1"/>
  <c r="H41" i="1"/>
  <c r="H146" i="1"/>
  <c r="E80" i="2" s="1"/>
  <c r="H359" i="1"/>
  <c r="H361" i="1" s="1"/>
  <c r="I352" i="1"/>
  <c r="H462" i="1"/>
  <c r="H623" i="1" s="1"/>
  <c r="I41" i="1"/>
  <c r="I43" i="1" s="1"/>
  <c r="I462" i="1"/>
  <c r="I464" i="1" s="1"/>
  <c r="I466" i="1" s="1"/>
  <c r="H615" i="1" s="1"/>
  <c r="I25" i="1"/>
  <c r="I269" i="1"/>
  <c r="I511" i="1" s="1"/>
  <c r="I458" i="1"/>
  <c r="I88" i="1"/>
  <c r="G432" i="1"/>
  <c r="H384" i="1"/>
  <c r="L384" i="1" s="1"/>
  <c r="J458" i="1"/>
  <c r="H627" i="1" s="1"/>
  <c r="H151" i="1"/>
  <c r="H126" i="1"/>
  <c r="E69" i="2" s="1"/>
  <c r="H147" i="1"/>
  <c r="H149" i="1"/>
  <c r="H311" i="1"/>
  <c r="H320" i="1" s="1"/>
  <c r="H274" i="1"/>
  <c r="H273" i="1"/>
  <c r="G311" i="1"/>
  <c r="K336" i="1"/>
  <c r="F325" i="1"/>
  <c r="I312" i="1"/>
  <c r="L312" i="1" s="1"/>
  <c r="L320" i="1" s="1"/>
  <c r="F311" i="1"/>
  <c r="F320" i="1" s="1"/>
  <c r="I274" i="1"/>
  <c r="L274" i="1" s="1"/>
  <c r="E111" i="2" s="1"/>
  <c r="F273" i="1"/>
  <c r="F282" i="1" s="1"/>
  <c r="L273" i="1"/>
  <c r="G292" i="1"/>
  <c r="F292" i="1"/>
  <c r="L292" i="1" s="1"/>
  <c r="F102" i="1"/>
  <c r="H625" i="1"/>
  <c r="H360" i="1"/>
  <c r="G360" i="1"/>
  <c r="F360" i="1"/>
  <c r="G359" i="1"/>
  <c r="G361" i="1" s="1"/>
  <c r="F359" i="1"/>
  <c r="F361" i="1" s="1"/>
  <c r="H352" i="1"/>
  <c r="F352" i="1"/>
  <c r="L352" i="1" s="1"/>
  <c r="I351" i="1"/>
  <c r="I354" i="1" s="1"/>
  <c r="G624" i="1" s="1"/>
  <c r="H351" i="1"/>
  <c r="H354" i="1" s="1"/>
  <c r="F351" i="1"/>
  <c r="L351" i="1" s="1"/>
  <c r="I350" i="1"/>
  <c r="L350" i="1" s="1"/>
  <c r="H350" i="1"/>
  <c r="F350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F16" i="13"/>
  <c r="G16" i="13"/>
  <c r="L201" i="1"/>
  <c r="E16" i="13" s="1"/>
  <c r="C16" i="13" s="1"/>
  <c r="L219" i="1"/>
  <c r="L237" i="1"/>
  <c r="F6" i="13"/>
  <c r="F7" i="13"/>
  <c r="F12" i="13"/>
  <c r="F14" i="13"/>
  <c r="F15" i="13"/>
  <c r="F17" i="13"/>
  <c r="D17" i="13" s="1"/>
  <c r="C17" i="13" s="1"/>
  <c r="F18" i="13"/>
  <c r="F19" i="13"/>
  <c r="F22" i="13"/>
  <c r="C22" i="13" s="1"/>
  <c r="F29" i="13"/>
  <c r="L190" i="1"/>
  <c r="L191" i="1"/>
  <c r="L192" i="1"/>
  <c r="L208" i="1"/>
  <c r="L209" i="1"/>
  <c r="C103" i="2" s="1"/>
  <c r="L210" i="1"/>
  <c r="C13" i="10" s="1"/>
  <c r="L225" i="1"/>
  <c r="L228" i="1"/>
  <c r="G6" i="13"/>
  <c r="L194" i="1"/>
  <c r="L230" i="1"/>
  <c r="G7" i="13"/>
  <c r="L195" i="1"/>
  <c r="C16" i="10" s="1"/>
  <c r="L213" i="1"/>
  <c r="L231" i="1"/>
  <c r="D7" i="13" s="1"/>
  <c r="C7" i="13" s="1"/>
  <c r="G12" i="13"/>
  <c r="L197" i="1"/>
  <c r="C113" i="2" s="1"/>
  <c r="L215" i="1"/>
  <c r="L233" i="1"/>
  <c r="G14" i="13"/>
  <c r="L199" i="1"/>
  <c r="L217" i="1"/>
  <c r="L235" i="1"/>
  <c r="G15" i="13"/>
  <c r="L200" i="1"/>
  <c r="H637" i="1" s="1"/>
  <c r="L218" i="1"/>
  <c r="G640" i="1" s="1"/>
  <c r="J640" i="1" s="1"/>
  <c r="L236" i="1"/>
  <c r="G641" i="1" s="1"/>
  <c r="J641" i="1" s="1"/>
  <c r="G17" i="13"/>
  <c r="L243" i="1"/>
  <c r="G18" i="13"/>
  <c r="L244" i="1"/>
  <c r="D18" i="13"/>
  <c r="C18" i="13"/>
  <c r="G19" i="13"/>
  <c r="L245" i="1"/>
  <c r="C24" i="10" s="1"/>
  <c r="G29" i="13"/>
  <c r="J282" i="1"/>
  <c r="J301" i="1"/>
  <c r="J320" i="1"/>
  <c r="F31" i="13" s="1"/>
  <c r="K282" i="1"/>
  <c r="G31" i="13" s="1"/>
  <c r="K301" i="1"/>
  <c r="K320" i="1"/>
  <c r="L268" i="1"/>
  <c r="L282" i="1" s="1"/>
  <c r="L269" i="1"/>
  <c r="E102" i="2" s="1"/>
  <c r="L270" i="1"/>
  <c r="E103" i="2" s="1"/>
  <c r="L271" i="1"/>
  <c r="L275" i="1"/>
  <c r="L276" i="1"/>
  <c r="E113" i="2" s="1"/>
  <c r="L277" i="1"/>
  <c r="C19" i="10" s="1"/>
  <c r="L278" i="1"/>
  <c r="L279" i="1"/>
  <c r="F652" i="1" s="1"/>
  <c r="I652" i="1" s="1"/>
  <c r="L280" i="1"/>
  <c r="E117" i="2" s="1"/>
  <c r="L287" i="1"/>
  <c r="L288" i="1"/>
  <c r="L289" i="1"/>
  <c r="L290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E104" i="2" s="1"/>
  <c r="L313" i="1"/>
  <c r="E112" i="2" s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H25" i="13" s="1"/>
  <c r="L334" i="1"/>
  <c r="L247" i="1"/>
  <c r="C122" i="2" s="1"/>
  <c r="L328" i="1"/>
  <c r="E122" i="2" s="1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13" i="12"/>
  <c r="B18" i="12"/>
  <c r="B22" i="12"/>
  <c r="C18" i="12"/>
  <c r="C22" i="12"/>
  <c r="A22" i="12" s="1"/>
  <c r="B1" i="12"/>
  <c r="L379" i="1"/>
  <c r="L385" i="1" s="1"/>
  <c r="L380" i="1"/>
  <c r="L381" i="1"/>
  <c r="L382" i="1"/>
  <c r="L383" i="1"/>
  <c r="L387" i="1"/>
  <c r="L393" i="1" s="1"/>
  <c r="C131" i="2" s="1"/>
  <c r="L388" i="1"/>
  <c r="L389" i="1"/>
  <c r="L390" i="1"/>
  <c r="L391" i="1"/>
  <c r="L392" i="1"/>
  <c r="L395" i="1"/>
  <c r="L399" i="1"/>
  <c r="C132" i="2" s="1"/>
  <c r="L396" i="1"/>
  <c r="L397" i="1"/>
  <c r="L398" i="1"/>
  <c r="J52" i="1"/>
  <c r="J104" i="1" s="1"/>
  <c r="G48" i="2"/>
  <c r="G51" i="2"/>
  <c r="G53" i="2"/>
  <c r="F2" i="11"/>
  <c r="C40" i="10"/>
  <c r="F52" i="1"/>
  <c r="C35" i="10" s="1"/>
  <c r="C48" i="2"/>
  <c r="G52" i="1"/>
  <c r="H52" i="1"/>
  <c r="E48" i="2" s="1"/>
  <c r="I52" i="1"/>
  <c r="C50" i="2"/>
  <c r="C51" i="2"/>
  <c r="C53" i="2"/>
  <c r="C71" i="2"/>
  <c r="C72" i="2"/>
  <c r="C64" i="2"/>
  <c r="C70" i="2" s="1"/>
  <c r="C73" i="2" s="1"/>
  <c r="C65" i="2"/>
  <c r="C66" i="2"/>
  <c r="C67" i="2"/>
  <c r="C68" i="2"/>
  <c r="C69" i="2"/>
  <c r="C58" i="2"/>
  <c r="C59" i="2"/>
  <c r="C61" i="2"/>
  <c r="C62" i="2"/>
  <c r="C77" i="2"/>
  <c r="C83" i="2" s="1"/>
  <c r="C79" i="2"/>
  <c r="C80" i="2"/>
  <c r="C81" i="2"/>
  <c r="C82" i="2"/>
  <c r="C85" i="2"/>
  <c r="C95" i="2" s="1"/>
  <c r="C86" i="2"/>
  <c r="C89" i="2"/>
  <c r="C90" i="2"/>
  <c r="C91" i="2"/>
  <c r="C92" i="2"/>
  <c r="C93" i="2"/>
  <c r="C94" i="2"/>
  <c r="F86" i="1"/>
  <c r="F103" i="1"/>
  <c r="H71" i="1"/>
  <c r="E49" i="2"/>
  <c r="H86" i="1"/>
  <c r="E50" i="2" s="1"/>
  <c r="H103" i="1"/>
  <c r="I103" i="1"/>
  <c r="I104" i="1" s="1"/>
  <c r="J103" i="1"/>
  <c r="F113" i="1"/>
  <c r="F128" i="1"/>
  <c r="G113" i="1"/>
  <c r="G128" i="1"/>
  <c r="G132" i="1"/>
  <c r="H113" i="1"/>
  <c r="H132" i="1" s="1"/>
  <c r="H128" i="1"/>
  <c r="I113" i="1"/>
  <c r="I132" i="1" s="1"/>
  <c r="I128" i="1"/>
  <c r="J113" i="1"/>
  <c r="J128" i="1"/>
  <c r="J132" i="1"/>
  <c r="F139" i="1"/>
  <c r="F154" i="1"/>
  <c r="F161" i="1"/>
  <c r="G139" i="1"/>
  <c r="G161" i="1" s="1"/>
  <c r="G154" i="1"/>
  <c r="H139" i="1"/>
  <c r="I139" i="1"/>
  <c r="I161" i="1" s="1"/>
  <c r="I154" i="1"/>
  <c r="L242" i="1"/>
  <c r="L324" i="1"/>
  <c r="C23" i="10" s="1"/>
  <c r="L246" i="1"/>
  <c r="C116" i="2" s="1"/>
  <c r="C25" i="10"/>
  <c r="L260" i="1"/>
  <c r="C26" i="10" s="1"/>
  <c r="L261" i="1"/>
  <c r="L341" i="1"/>
  <c r="E134" i="2" s="1"/>
  <c r="L342" i="1"/>
  <c r="I655" i="1"/>
  <c r="I660" i="1"/>
  <c r="H652" i="1"/>
  <c r="I659" i="1"/>
  <c r="C42" i="10"/>
  <c r="C32" i="10"/>
  <c r="L366" i="1"/>
  <c r="L367" i="1"/>
  <c r="L368" i="1"/>
  <c r="L369" i="1"/>
  <c r="L371" i="1"/>
  <c r="L372" i="1"/>
  <c r="B2" i="10"/>
  <c r="L336" i="1"/>
  <c r="E126" i="2" s="1"/>
  <c r="L343" i="1"/>
  <c r="L337" i="1"/>
  <c r="L338" i="1"/>
  <c r="L339" i="1"/>
  <c r="K343" i="1"/>
  <c r="L517" i="1"/>
  <c r="G540" i="1"/>
  <c r="L526" i="1"/>
  <c r="L529" i="1" s="1"/>
  <c r="I539" i="1"/>
  <c r="L527" i="1"/>
  <c r="I540" i="1" s="1"/>
  <c r="L528" i="1"/>
  <c r="I541" i="1" s="1"/>
  <c r="L531" i="1"/>
  <c r="J539" i="1" s="1"/>
  <c r="L532" i="1"/>
  <c r="J540" i="1" s="1"/>
  <c r="L533" i="1"/>
  <c r="J541" i="1"/>
  <c r="E124" i="2"/>
  <c r="E123" i="2"/>
  <c r="J262" i="1"/>
  <c r="I262" i="1"/>
  <c r="H262" i="1"/>
  <c r="G262" i="1"/>
  <c r="F262" i="1"/>
  <c r="C124" i="2"/>
  <c r="C123" i="2"/>
  <c r="A1" i="2"/>
  <c r="A2" i="2"/>
  <c r="C9" i="2"/>
  <c r="D9" i="2"/>
  <c r="D19" i="2" s="1"/>
  <c r="E9" i="2"/>
  <c r="F9" i="2"/>
  <c r="I431" i="1"/>
  <c r="I438" i="1" s="1"/>
  <c r="G632" i="1" s="1"/>
  <c r="J9" i="1"/>
  <c r="G9" i="2" s="1"/>
  <c r="C10" i="2"/>
  <c r="C19" i="2" s="1"/>
  <c r="D10" i="2"/>
  <c r="E10" i="2"/>
  <c r="F10" i="2"/>
  <c r="I432" i="1"/>
  <c r="J10" i="1" s="1"/>
  <c r="G14" i="2"/>
  <c r="C11" i="2"/>
  <c r="C12" i="2"/>
  <c r="D12" i="2"/>
  <c r="E12" i="2"/>
  <c r="F12" i="2"/>
  <c r="I433" i="1"/>
  <c r="J12" i="1"/>
  <c r="G12" i="2" s="1"/>
  <c r="C13" i="2"/>
  <c r="D13" i="2"/>
  <c r="E13" i="2"/>
  <c r="E19" i="2" s="1"/>
  <c r="F13" i="2"/>
  <c r="I434" i="1"/>
  <c r="J13" i="1" s="1"/>
  <c r="G13" i="2" s="1"/>
  <c r="C14" i="2"/>
  <c r="D14" i="2"/>
  <c r="E14" i="2"/>
  <c r="F14" i="2"/>
  <c r="I435" i="1"/>
  <c r="J14" i="1"/>
  <c r="F15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F19" i="2" s="1"/>
  <c r="I437" i="1"/>
  <c r="J18" i="1" s="1"/>
  <c r="G18" i="2" s="1"/>
  <c r="C22" i="2"/>
  <c r="C32" i="2" s="1"/>
  <c r="D22" i="2"/>
  <c r="E22" i="2"/>
  <c r="F22" i="2"/>
  <c r="F32" i="2" s="1"/>
  <c r="F43" i="2" s="1"/>
  <c r="F23" i="2"/>
  <c r="F24" i="2"/>
  <c r="F25" i="2"/>
  <c r="F26" i="2"/>
  <c r="F27" i="2"/>
  <c r="F28" i="2"/>
  <c r="F29" i="2"/>
  <c r="F30" i="2"/>
  <c r="F31" i="2"/>
  <c r="F34" i="2"/>
  <c r="F35" i="2"/>
  <c r="F36" i="2"/>
  <c r="F37" i="2"/>
  <c r="F38" i="2"/>
  <c r="F40" i="2"/>
  <c r="F41" i="2"/>
  <c r="F42" i="2"/>
  <c r="I440" i="1"/>
  <c r="J23" i="1" s="1"/>
  <c r="C23" i="2"/>
  <c r="D23" i="2"/>
  <c r="D32" i="2" s="1"/>
  <c r="E23" i="2"/>
  <c r="E32" i="2" s="1"/>
  <c r="I441" i="1"/>
  <c r="J24" i="1" s="1"/>
  <c r="G23" i="2" s="1"/>
  <c r="C24" i="2"/>
  <c r="D24" i="2"/>
  <c r="E24" i="2"/>
  <c r="I442" i="1"/>
  <c r="J25" i="1"/>
  <c r="G24" i="2" s="1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E31" i="2"/>
  <c r="I443" i="1"/>
  <c r="J32" i="1"/>
  <c r="G31" i="2" s="1"/>
  <c r="C34" i="2"/>
  <c r="D34" i="2"/>
  <c r="D42" i="2" s="1"/>
  <c r="D43" i="2" s="1"/>
  <c r="E34" i="2"/>
  <c r="E42" i="2" s="1"/>
  <c r="C35" i="2"/>
  <c r="D35" i="2"/>
  <c r="E35" i="2"/>
  <c r="C36" i="2"/>
  <c r="D36" i="2"/>
  <c r="E36" i="2"/>
  <c r="I446" i="1"/>
  <c r="I450" i="1" s="1"/>
  <c r="J37" i="1"/>
  <c r="J43" i="1" s="1"/>
  <c r="C37" i="2"/>
  <c r="D37" i="2"/>
  <c r="E37" i="2"/>
  <c r="I447" i="1"/>
  <c r="J38" i="1" s="1"/>
  <c r="G37" i="2" s="1"/>
  <c r="C38" i="2"/>
  <c r="D38" i="2"/>
  <c r="E38" i="2"/>
  <c r="I448" i="1"/>
  <c r="J40" i="1"/>
  <c r="G39" i="2"/>
  <c r="C40" i="2"/>
  <c r="D40" i="2"/>
  <c r="E40" i="2"/>
  <c r="E41" i="2"/>
  <c r="I449" i="1"/>
  <c r="J41" i="1"/>
  <c r="D41" i="2"/>
  <c r="D48" i="2"/>
  <c r="F48" i="2"/>
  <c r="D51" i="2"/>
  <c r="E51" i="2"/>
  <c r="F51" i="2"/>
  <c r="F54" i="2" s="1"/>
  <c r="F53" i="2"/>
  <c r="D53" i="2"/>
  <c r="E53" i="2"/>
  <c r="D61" i="2"/>
  <c r="D62" i="2" s="1"/>
  <c r="E61" i="2"/>
  <c r="E62" i="2"/>
  <c r="F61" i="2"/>
  <c r="F62" i="2"/>
  <c r="G61" i="2"/>
  <c r="G62" i="2" s="1"/>
  <c r="G73" i="2" s="1"/>
  <c r="G96" i="2" s="1"/>
  <c r="F64" i="2"/>
  <c r="F65" i="2"/>
  <c r="E68" i="2"/>
  <c r="F68" i="2"/>
  <c r="F69" i="2"/>
  <c r="F70" i="2"/>
  <c r="F73" i="2"/>
  <c r="D69" i="2"/>
  <c r="D70" i="2"/>
  <c r="D71" i="2"/>
  <c r="E71" i="2"/>
  <c r="E72" i="2"/>
  <c r="G69" i="2"/>
  <c r="G70" i="2"/>
  <c r="E77" i="2"/>
  <c r="E83" i="2" s="1"/>
  <c r="F77" i="2"/>
  <c r="E79" i="2"/>
  <c r="F79" i="2"/>
  <c r="D80" i="2"/>
  <c r="F80" i="2"/>
  <c r="D81" i="2"/>
  <c r="E81" i="2"/>
  <c r="F81" i="2"/>
  <c r="F83" i="2"/>
  <c r="F85" i="2"/>
  <c r="F86" i="2"/>
  <c r="F88" i="2"/>
  <c r="F89" i="2"/>
  <c r="F91" i="2"/>
  <c r="F92" i="2"/>
  <c r="F93" i="2"/>
  <c r="F94" i="2"/>
  <c r="F95" i="2"/>
  <c r="D88" i="2"/>
  <c r="D95" i="2" s="1"/>
  <c r="D89" i="2"/>
  <c r="D90" i="2"/>
  <c r="D91" i="2"/>
  <c r="D92" i="2"/>
  <c r="D93" i="2"/>
  <c r="D94" i="2"/>
  <c r="E88" i="2"/>
  <c r="G88" i="2"/>
  <c r="G89" i="2"/>
  <c r="G90" i="2"/>
  <c r="G95" i="2"/>
  <c r="E89" i="2"/>
  <c r="E95" i="2" s="1"/>
  <c r="E90" i="2"/>
  <c r="E91" i="2"/>
  <c r="E92" i="2"/>
  <c r="E93" i="2"/>
  <c r="E94" i="2"/>
  <c r="D107" i="2"/>
  <c r="F107" i="2"/>
  <c r="G107" i="2"/>
  <c r="C114" i="2"/>
  <c r="E114" i="2"/>
  <c r="E115" i="2"/>
  <c r="C117" i="2"/>
  <c r="F120" i="2"/>
  <c r="G120" i="2"/>
  <c r="D126" i="2"/>
  <c r="D136" i="2" s="1"/>
  <c r="E127" i="2"/>
  <c r="E129" i="2"/>
  <c r="E135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G490" i="1"/>
  <c r="C153" i="2"/>
  <c r="H490" i="1"/>
  <c r="D153" i="2" s="1"/>
  <c r="I490" i="1"/>
  <c r="E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G493" i="1"/>
  <c r="C156" i="2"/>
  <c r="H493" i="1"/>
  <c r="D156" i="2"/>
  <c r="I493" i="1"/>
  <c r="E156" i="2"/>
  <c r="J493" i="1"/>
  <c r="F156" i="2"/>
  <c r="G19" i="1"/>
  <c r="G608" i="1" s="1"/>
  <c r="H19" i="1"/>
  <c r="I19" i="1"/>
  <c r="G610" i="1" s="1"/>
  <c r="F33" i="1"/>
  <c r="H33" i="1"/>
  <c r="I33" i="1"/>
  <c r="G43" i="1"/>
  <c r="H43" i="1"/>
  <c r="F169" i="1"/>
  <c r="I169" i="1"/>
  <c r="I184" i="1" s="1"/>
  <c r="F175" i="1"/>
  <c r="F184" i="1"/>
  <c r="G175" i="1"/>
  <c r="G184" i="1" s="1"/>
  <c r="H175" i="1"/>
  <c r="H184" i="1"/>
  <c r="I175" i="1"/>
  <c r="J175" i="1"/>
  <c r="J184" i="1" s="1"/>
  <c r="F180" i="1"/>
  <c r="G180" i="1"/>
  <c r="H180" i="1"/>
  <c r="I180" i="1"/>
  <c r="F203" i="1"/>
  <c r="G203" i="1"/>
  <c r="G249" i="1" s="1"/>
  <c r="G263" i="1" s="1"/>
  <c r="H203" i="1"/>
  <c r="H249" i="1" s="1"/>
  <c r="H263" i="1" s="1"/>
  <c r="I203" i="1"/>
  <c r="I249" i="1" s="1"/>
  <c r="I263" i="1" s="1"/>
  <c r="J203" i="1"/>
  <c r="J249" i="1" s="1"/>
  <c r="K203" i="1"/>
  <c r="F221" i="1"/>
  <c r="G221" i="1"/>
  <c r="H221" i="1"/>
  <c r="J221" i="1"/>
  <c r="K221" i="1"/>
  <c r="F239" i="1"/>
  <c r="G239" i="1"/>
  <c r="H239" i="1"/>
  <c r="I239" i="1"/>
  <c r="F248" i="1"/>
  <c r="G248" i="1"/>
  <c r="H248" i="1"/>
  <c r="I248" i="1"/>
  <c r="J248" i="1"/>
  <c r="K248" i="1"/>
  <c r="L248" i="1" s="1"/>
  <c r="G282" i="1"/>
  <c r="G330" i="1" s="1"/>
  <c r="G344" i="1" s="1"/>
  <c r="H282" i="1"/>
  <c r="I282" i="1"/>
  <c r="G301" i="1"/>
  <c r="H301" i="1"/>
  <c r="I301" i="1"/>
  <c r="G320" i="1"/>
  <c r="I320" i="1"/>
  <c r="F329" i="1"/>
  <c r="G329" i="1"/>
  <c r="L329" i="1" s="1"/>
  <c r="H329" i="1"/>
  <c r="I329" i="1"/>
  <c r="J329" i="1"/>
  <c r="J330" i="1"/>
  <c r="J344" i="1" s="1"/>
  <c r="K329" i="1"/>
  <c r="G354" i="1"/>
  <c r="J354" i="1"/>
  <c r="K354" i="1"/>
  <c r="I360" i="1"/>
  <c r="L373" i="1"/>
  <c r="F374" i="1"/>
  <c r="G374" i="1"/>
  <c r="H374" i="1"/>
  <c r="I374" i="1"/>
  <c r="J374" i="1"/>
  <c r="K374" i="1"/>
  <c r="F385" i="1"/>
  <c r="G385" i="1"/>
  <c r="H385" i="1"/>
  <c r="H400" i="1"/>
  <c r="H634" i="1"/>
  <c r="I385" i="1"/>
  <c r="I400" i="1" s="1"/>
  <c r="F393" i="1"/>
  <c r="G393" i="1"/>
  <c r="H393" i="1"/>
  <c r="I393" i="1"/>
  <c r="F399" i="1"/>
  <c r="G399" i="1"/>
  <c r="G400" i="1" s="1"/>
  <c r="H635" i="1" s="1"/>
  <c r="H399" i="1"/>
  <c r="I399" i="1"/>
  <c r="F400" i="1"/>
  <c r="H633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F426" i="1" s="1"/>
  <c r="G419" i="1"/>
  <c r="H419" i="1"/>
  <c r="H426" i="1" s="1"/>
  <c r="I419" i="1"/>
  <c r="J419" i="1"/>
  <c r="L421" i="1"/>
  <c r="L422" i="1"/>
  <c r="L423" i="1"/>
  <c r="L424" i="1"/>
  <c r="L425" i="1" s="1"/>
  <c r="F425" i="1"/>
  <c r="G425" i="1"/>
  <c r="G426" i="1"/>
  <c r="H425" i="1"/>
  <c r="I425" i="1"/>
  <c r="I426" i="1" s="1"/>
  <c r="J425" i="1"/>
  <c r="J426" i="1"/>
  <c r="F438" i="1"/>
  <c r="G438" i="1"/>
  <c r="G630" i="1"/>
  <c r="H438" i="1"/>
  <c r="F444" i="1"/>
  <c r="F451" i="1" s="1"/>
  <c r="H629" i="1" s="1"/>
  <c r="J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F460" i="1"/>
  <c r="G460" i="1"/>
  <c r="G466" i="1" s="1"/>
  <c r="H613" i="1" s="1"/>
  <c r="H460" i="1"/>
  <c r="I460" i="1"/>
  <c r="J460" i="1"/>
  <c r="J466" i="1"/>
  <c r="H616" i="1"/>
  <c r="F464" i="1"/>
  <c r="F466" i="1" s="1"/>
  <c r="H612" i="1" s="1"/>
  <c r="G464" i="1"/>
  <c r="J464" i="1"/>
  <c r="K485" i="1"/>
  <c r="K486" i="1"/>
  <c r="K487" i="1"/>
  <c r="K489" i="1"/>
  <c r="K491" i="1"/>
  <c r="K492" i="1"/>
  <c r="F507" i="1"/>
  <c r="G507" i="1"/>
  <c r="H507" i="1"/>
  <c r="I507" i="1"/>
  <c r="F519" i="1"/>
  <c r="G519" i="1"/>
  <c r="H519" i="1"/>
  <c r="I519" i="1"/>
  <c r="J519" i="1"/>
  <c r="K519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G550" i="1"/>
  <c r="H550" i="1"/>
  <c r="I550" i="1"/>
  <c r="J550" i="1"/>
  <c r="J561" i="1" s="1"/>
  <c r="K550" i="1"/>
  <c r="K561" i="1" s="1"/>
  <c r="F555" i="1"/>
  <c r="F561" i="1" s="1"/>
  <c r="G555" i="1"/>
  <c r="I555" i="1"/>
  <c r="I561" i="1"/>
  <c r="J555" i="1"/>
  <c r="K555" i="1"/>
  <c r="L557" i="1"/>
  <c r="L558" i="1"/>
  <c r="L559" i="1"/>
  <c r="L560" i="1" s="1"/>
  <c r="F560" i="1"/>
  <c r="G560" i="1"/>
  <c r="G561" i="1" s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H588" i="1"/>
  <c r="H639" i="1"/>
  <c r="I588" i="1"/>
  <c r="H640" i="1"/>
  <c r="J588" i="1"/>
  <c r="H641" i="1"/>
  <c r="K592" i="1"/>
  <c r="K593" i="1"/>
  <c r="K594" i="1"/>
  <c r="H595" i="1"/>
  <c r="I595" i="1"/>
  <c r="J595" i="1"/>
  <c r="H604" i="1"/>
  <c r="I604" i="1"/>
  <c r="J604" i="1"/>
  <c r="K604" i="1"/>
  <c r="G609" i="1"/>
  <c r="H617" i="1"/>
  <c r="H618" i="1"/>
  <c r="H619" i="1"/>
  <c r="H620" i="1"/>
  <c r="H622" i="1"/>
  <c r="H628" i="1"/>
  <c r="G629" i="1"/>
  <c r="G631" i="1"/>
  <c r="G633" i="1"/>
  <c r="J633" i="1" s="1"/>
  <c r="G634" i="1"/>
  <c r="J634" i="1" s="1"/>
  <c r="G642" i="1"/>
  <c r="H642" i="1"/>
  <c r="J642" i="1" s="1"/>
  <c r="G643" i="1"/>
  <c r="H643" i="1"/>
  <c r="J643" i="1" s="1"/>
  <c r="G644" i="1"/>
  <c r="J644" i="1" s="1"/>
  <c r="H644" i="1"/>
  <c r="G645" i="1"/>
  <c r="C105" i="2"/>
  <c r="C115" i="2"/>
  <c r="C20" i="10"/>
  <c r="F132" i="1"/>
  <c r="C16" i="2"/>
  <c r="G40" i="2"/>
  <c r="G54" i="2"/>
  <c r="G55" i="2"/>
  <c r="L311" i="1"/>
  <c r="H44" i="1"/>
  <c r="H609" i="1"/>
  <c r="J609" i="1"/>
  <c r="G614" i="1"/>
  <c r="D31" i="2"/>
  <c r="G33" i="1"/>
  <c r="D14" i="13"/>
  <c r="C14" i="13"/>
  <c r="E13" i="13"/>
  <c r="C13" i="13"/>
  <c r="F249" i="1"/>
  <c r="F263" i="1"/>
  <c r="G150" i="2"/>
  <c r="H645" i="1"/>
  <c r="J645" i="1" s="1"/>
  <c r="K262" i="1"/>
  <c r="L258" i="1"/>
  <c r="K595" i="1"/>
  <c r="G638" i="1"/>
  <c r="L262" i="1"/>
  <c r="A40" i="12"/>
  <c r="C55" i="2" l="1"/>
  <c r="C96" i="2" s="1"/>
  <c r="H33" i="13"/>
  <c r="C25" i="13"/>
  <c r="D73" i="2"/>
  <c r="E43" i="2"/>
  <c r="E54" i="2"/>
  <c r="E55" i="2" s="1"/>
  <c r="E96" i="2" s="1"/>
  <c r="C36" i="10"/>
  <c r="L301" i="1"/>
  <c r="D31" i="13" s="1"/>
  <c r="C31" i="13" s="1"/>
  <c r="I514" i="1"/>
  <c r="I535" i="1" s="1"/>
  <c r="H514" i="1"/>
  <c r="H535" i="1" s="1"/>
  <c r="E70" i="2"/>
  <c r="E73" i="2" s="1"/>
  <c r="G22" i="2"/>
  <c r="G32" i="2" s="1"/>
  <c r="J33" i="1"/>
  <c r="J44" i="1" s="1"/>
  <c r="H611" i="1" s="1"/>
  <c r="J185" i="1"/>
  <c r="A13" i="12"/>
  <c r="K490" i="1"/>
  <c r="B153" i="2"/>
  <c r="G153" i="2" s="1"/>
  <c r="C110" i="2"/>
  <c r="D6" i="13"/>
  <c r="C6" i="13" s="1"/>
  <c r="C15" i="10"/>
  <c r="L513" i="1"/>
  <c r="F541" i="1" s="1"/>
  <c r="K541" i="1" s="1"/>
  <c r="K249" i="1"/>
  <c r="K263" i="1" s="1"/>
  <c r="J542" i="1"/>
  <c r="G651" i="1"/>
  <c r="C38" i="10"/>
  <c r="C43" i="2"/>
  <c r="H466" i="1"/>
  <c r="H614" i="1" s="1"/>
  <c r="J614" i="1" s="1"/>
  <c r="I330" i="1"/>
  <c r="I344" i="1" s="1"/>
  <c r="E136" i="2"/>
  <c r="B156" i="2"/>
  <c r="G156" i="2" s="1"/>
  <c r="K493" i="1"/>
  <c r="L519" i="1"/>
  <c r="G539" i="1"/>
  <c r="G542" i="1" s="1"/>
  <c r="L555" i="1"/>
  <c r="L561" i="1" s="1"/>
  <c r="J19" i="1"/>
  <c r="G611" i="1" s="1"/>
  <c r="G10" i="2"/>
  <c r="G19" i="2" s="1"/>
  <c r="D29" i="13"/>
  <c r="C29" i="13" s="1"/>
  <c r="L354" i="1"/>
  <c r="F651" i="1"/>
  <c r="D119" i="2"/>
  <c r="D120" i="2" s="1"/>
  <c r="J263" i="1"/>
  <c r="H638" i="1"/>
  <c r="J638" i="1" s="1"/>
  <c r="G615" i="1"/>
  <c r="J615" i="1" s="1"/>
  <c r="I44" i="1"/>
  <c r="H610" i="1" s="1"/>
  <c r="J610" i="1" s="1"/>
  <c r="L374" i="1"/>
  <c r="G626" i="1" s="1"/>
  <c r="J626" i="1" s="1"/>
  <c r="F122" i="2"/>
  <c r="F136" i="2" s="1"/>
  <c r="F137" i="2" s="1"/>
  <c r="C29" i="10"/>
  <c r="G616" i="1"/>
  <c r="J616" i="1" s="1"/>
  <c r="E110" i="2"/>
  <c r="H651" i="1"/>
  <c r="H330" i="1"/>
  <c r="H344" i="1" s="1"/>
  <c r="F55" i="2"/>
  <c r="F96" i="2" s="1"/>
  <c r="I185" i="1"/>
  <c r="G620" i="1" s="1"/>
  <c r="J620" i="1" s="1"/>
  <c r="L203" i="1"/>
  <c r="D137" i="2"/>
  <c r="I542" i="1"/>
  <c r="E33" i="13"/>
  <c r="D35" i="13" s="1"/>
  <c r="C8" i="13"/>
  <c r="H539" i="1"/>
  <c r="H542" i="1" s="1"/>
  <c r="L524" i="1"/>
  <c r="C133" i="2"/>
  <c r="C136" i="2" s="1"/>
  <c r="G44" i="1"/>
  <c r="H608" i="1" s="1"/>
  <c r="J608" i="1" s="1"/>
  <c r="G613" i="1"/>
  <c r="J613" i="1" s="1"/>
  <c r="C130" i="2"/>
  <c r="L400" i="1"/>
  <c r="E116" i="2"/>
  <c r="H464" i="1"/>
  <c r="K239" i="1"/>
  <c r="I444" i="1"/>
  <c r="I451" i="1" s="1"/>
  <c r="H632" i="1" s="1"/>
  <c r="J632" i="1" s="1"/>
  <c r="H154" i="1"/>
  <c r="H161" i="1" s="1"/>
  <c r="C39" i="10" s="1"/>
  <c r="F5" i="13"/>
  <c r="D52" i="2"/>
  <c r="D54" i="2" s="1"/>
  <c r="D55" i="2" s="1"/>
  <c r="D96" i="2" s="1"/>
  <c r="D12" i="13"/>
  <c r="C12" i="13" s="1"/>
  <c r="C21" i="10"/>
  <c r="D15" i="13"/>
  <c r="C15" i="13" s="1"/>
  <c r="G635" i="1"/>
  <c r="J635" i="1" s="1"/>
  <c r="H621" i="1"/>
  <c r="F604" i="1"/>
  <c r="F301" i="1"/>
  <c r="F330" i="1" s="1"/>
  <c r="F344" i="1" s="1"/>
  <c r="D77" i="2"/>
  <c r="D83" i="2" s="1"/>
  <c r="D19" i="13"/>
  <c r="C19" i="13" s="1"/>
  <c r="L226" i="1"/>
  <c r="C11" i="10" s="1"/>
  <c r="F512" i="1"/>
  <c r="L512" i="1" s="1"/>
  <c r="F540" i="1" s="1"/>
  <c r="K540" i="1" s="1"/>
  <c r="C17" i="10"/>
  <c r="B151" i="2"/>
  <c r="G151" i="2" s="1"/>
  <c r="F104" i="1"/>
  <c r="F185" i="1" s="1"/>
  <c r="G617" i="1" s="1"/>
  <c r="J617" i="1" s="1"/>
  <c r="C111" i="2"/>
  <c r="K488" i="1"/>
  <c r="L601" i="1"/>
  <c r="L207" i="1"/>
  <c r="L221" i="1" s="1"/>
  <c r="G650" i="1" s="1"/>
  <c r="H104" i="1"/>
  <c r="F43" i="1"/>
  <c r="C106" i="2"/>
  <c r="C104" i="2"/>
  <c r="G524" i="1"/>
  <c r="G535" i="1" s="1"/>
  <c r="E101" i="2"/>
  <c r="L523" i="1"/>
  <c r="H541" i="1" s="1"/>
  <c r="C18" i="10"/>
  <c r="F511" i="1"/>
  <c r="G602" i="1"/>
  <c r="G604" i="1" s="1"/>
  <c r="G36" i="2"/>
  <c r="G42" i="2" s="1"/>
  <c r="G43" i="2" s="1"/>
  <c r="F354" i="1"/>
  <c r="I359" i="1"/>
  <c r="I361" i="1" s="1"/>
  <c r="H624" i="1" s="1"/>
  <c r="J624" i="1" s="1"/>
  <c r="H626" i="1"/>
  <c r="F524" i="1"/>
  <c r="C112" i="2"/>
  <c r="E105" i="2"/>
  <c r="H555" i="1"/>
  <c r="H561" i="1" s="1"/>
  <c r="G639" i="1"/>
  <c r="J639" i="1" s="1"/>
  <c r="K330" i="1"/>
  <c r="K344" i="1" s="1"/>
  <c r="G5" i="13"/>
  <c r="G33" i="13" s="1"/>
  <c r="C41" i="10" l="1"/>
  <c r="G627" i="1"/>
  <c r="J627" i="1" s="1"/>
  <c r="H636" i="1"/>
  <c r="G654" i="1"/>
  <c r="F514" i="1"/>
  <c r="F535" i="1" s="1"/>
  <c r="L511" i="1"/>
  <c r="E120" i="2"/>
  <c r="L239" i="1"/>
  <c r="H650" i="1" s="1"/>
  <c r="H654" i="1" s="1"/>
  <c r="J611" i="1"/>
  <c r="F650" i="1"/>
  <c r="L602" i="1"/>
  <c r="G653" i="1" s="1"/>
  <c r="L330" i="1"/>
  <c r="L344" i="1" s="1"/>
  <c r="G623" i="1" s="1"/>
  <c r="J623" i="1" s="1"/>
  <c r="C10" i="10"/>
  <c r="C102" i="2"/>
  <c r="D38" i="10"/>
  <c r="C27" i="10"/>
  <c r="G625" i="1"/>
  <c r="J625" i="1" s="1"/>
  <c r="G636" i="1"/>
  <c r="J636" i="1" s="1"/>
  <c r="G621" i="1"/>
  <c r="J621" i="1" s="1"/>
  <c r="E107" i="2"/>
  <c r="C101" i="2"/>
  <c r="D5" i="13"/>
  <c r="F33" i="13"/>
  <c r="C120" i="2"/>
  <c r="G612" i="1"/>
  <c r="J612" i="1" s="1"/>
  <c r="F44" i="1"/>
  <c r="H607" i="1" s="1"/>
  <c r="J607" i="1" s="1"/>
  <c r="D36" i="10"/>
  <c r="H185" i="1"/>
  <c r="G619" i="1" s="1"/>
  <c r="J619" i="1" s="1"/>
  <c r="F653" i="1"/>
  <c r="I651" i="1"/>
  <c r="C5" i="13" l="1"/>
  <c r="D33" i="13"/>
  <c r="D36" i="13" s="1"/>
  <c r="H662" i="1"/>
  <c r="C6" i="10" s="1"/>
  <c r="H657" i="1"/>
  <c r="I650" i="1"/>
  <c r="F654" i="1"/>
  <c r="L514" i="1"/>
  <c r="L535" i="1" s="1"/>
  <c r="F539" i="1"/>
  <c r="G657" i="1"/>
  <c r="G662" i="1"/>
  <c r="C5" i="10" s="1"/>
  <c r="E137" i="2"/>
  <c r="L249" i="1"/>
  <c r="L263" i="1" s="1"/>
  <c r="G622" i="1" s="1"/>
  <c r="J622" i="1" s="1"/>
  <c r="D37" i="10"/>
  <c r="D35" i="10"/>
  <c r="D40" i="10"/>
  <c r="C28" i="10"/>
  <c r="D10" i="10"/>
  <c r="C107" i="2"/>
  <c r="C137" i="2" s="1"/>
  <c r="I653" i="1"/>
  <c r="D39" i="10"/>
  <c r="L604" i="1"/>
  <c r="H646" i="1"/>
  <c r="I654" i="1" l="1"/>
  <c r="K539" i="1"/>
  <c r="K542" i="1" s="1"/>
  <c r="F542" i="1"/>
  <c r="F662" i="1"/>
  <c r="C4" i="10" s="1"/>
  <c r="F657" i="1"/>
  <c r="D22" i="10"/>
  <c r="C30" i="10"/>
  <c r="D13" i="10"/>
  <c r="D25" i="10"/>
  <c r="D20" i="10"/>
  <c r="D16" i="10"/>
  <c r="D12" i="10"/>
  <c r="D28" i="10" s="1"/>
  <c r="D23" i="10"/>
  <c r="D26" i="10"/>
  <c r="D24" i="10"/>
  <c r="D19" i="10"/>
  <c r="D18" i="10"/>
  <c r="D21" i="10"/>
  <c r="D11" i="10"/>
  <c r="D17" i="10"/>
  <c r="D15" i="10"/>
  <c r="D41" i="10"/>
  <c r="D27" i="10"/>
  <c r="I662" i="1" l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248FE90-075A-4864-AB5E-91E4A1AC658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861D453-F758-4F8D-9B3B-B9DD16E3F18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5290573-EFF0-4B3B-AFF2-84AEB6FC796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41C3B59-5856-4805-B095-86D68C1B3FB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9B5CE95-DD22-4D3B-BDAA-B74026E3958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6B04D80-A710-46F4-B3D2-8D5EBFE2A86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222560A-DF52-47C8-89A4-2512B378DB6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B61DF50-1686-4805-BA6F-44239F3FBBA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20862B6-7973-4D23-8BEE-21E1B14F0B5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72FBE81-4E18-4C63-92DB-B593C3896C6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74FB873-65FF-4CE2-B26F-A9269D788F0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284D443-E053-4893-8F9D-9C2432B8566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<sst xmlns="http://schemas.openxmlformats.org/spreadsheetml/2006/main" count="3868" uniqueCount="905">
  <si>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</si>
  <si>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</si>
  <si>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</si>
  <si>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</si>
  <si>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</si>
  <si>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</si>
  <si>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</si>
  <si>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</si>
  <si>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</si>
  <si>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</si>
  <si>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</si>
  <si>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</si>
  <si>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</si>
  <si>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</si>
  <si>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</si>
  <si>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</si>
  <si>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</si>
  <si>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</si>
  <si>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</si>
  <si>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</si>
  <si>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</si>
  <si>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</si>
  <si>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</si>
  <si>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</si>
  <si>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</si>
  <si>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</si>
  <si>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</si>
  <si>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</si>
  <si>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</si>
  <si>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</si>
  <si>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</si>
  <si>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</si>
  <si>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</si>
  <si>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</si>
  <si>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</si>
  <si>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</si>
  <si>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</si>
  <si>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</si>
  <si>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</si>
  <si>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</si>
  <si>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</si>
  <si>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</si>
  <si>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</si>
  <si>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</si>
  <si>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</si>
  <si>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</si>
  <si>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</si>
  <si>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</si>
  <si>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</si>
  <si>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</si>
  <si>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</si>
  <si>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</si>
  <si>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</si>
  <si>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</si>
  <si>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</si>
  <si>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</si>
  <si>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</si>
  <si>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</si>
  <si>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</si>
  <si>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</si>
  <si>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</si>
  <si>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</si>
  <si>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</si>
  <si>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</si>
  <si>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</si>
  <si>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</si>
  <si>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</si>
  <si>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</si>
  <si>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</si>
  <si>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</si>
  <si>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</si>
  <si>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</si>
  <si>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</si>
  <si>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</si>
  <si>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</si>
  <si>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</si>
  <si>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</si>
  <si>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</si>
  <si>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</si>
  <si>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</si>
  <si>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</si>
  <si>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</si>
  <si>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</si>
  <si>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</si>
  <si>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</si>
  <si>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</si>
  <si>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</si>
  <si>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</si>
  <si>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</si>
  <si>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</si>
  <si>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</si>
  <si>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</si>
  <si>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</si>
  <si>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</si>
  <si>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</si>
  <si>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</si>
  <si>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</si>
  <si>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</si>
  <si>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</si>
  <si>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</si>
  <si>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</si>
  <si>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</si>
  <si>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</si>
  <si>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</si>
  <si>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</si>
  <si>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</si>
  <si>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</si>
  <si>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</si>
  <si>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</si>
  <si>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</si>
  <si>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</si>
  <si>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</si>
  <si>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</si>
  <si>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</si>
  <si>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</si>
  <si>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</si>
  <si>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</si>
  <si>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</si>
  <si>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</si>
  <si>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</si>
  <si>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</si>
  <si>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</si>
  <si>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</si>
  <si>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</si>
  <si>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</si>
  <si>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</si>
  <si>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</si>
  <si>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</si>
  <si>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</si>
  <si>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</si>
  <si>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</si>
  <si>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</si>
  <si>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</si>
  <si>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</si>
  <si>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</si>
  <si>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</si>
  <si>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</si>
  <si>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</si>
  <si>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</si>
  <si>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</si>
  <si>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</si>
  <si>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</si>
  <si>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</si>
  <si>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</si>
  <si>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</si>
  <si>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</si>
  <si>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</si>
  <si>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</si>
  <si>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</si>
  <si>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</si>
  <si>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</si>
  <si>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</si>
  <si>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</si>
  <si>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</si>
  <si>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</si>
  <si>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</si>
  <si>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</si>
  <si>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</si>
  <si>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</si>
  <si>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</si>
  <si>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</si>
  <si>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</si>
  <si>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</si>
  <si>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</si>
  <si>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</si>
  <si>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</si>
  <si>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</si>
  <si>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</si>
  <si>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</si>
  <si>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</si>
  <si>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</si>
  <si>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</si>
  <si>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</si>
  <si>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</si>
  <si>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</si>
  <si>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</si>
  <si>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</si>
  <si>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</si>
  <si>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</si>
  <si>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</si>
  <si>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</si>
  <si>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</si>
  <si>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</si>
  <si>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</si>
  <si>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</si>
  <si>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</si>
  <si>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</si>
  <si>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</si>
  <si>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</si>
  <si>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</si>
  <si>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</si>
  <si>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</si>
  <si>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</si>
  <si>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</si>
  <si>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</si>
  <si>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</si>
  <si>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</si>
  <si>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</si>
  <si>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</si>
  <si>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</si>
  <si>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</si>
  <si>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</si>
  <si>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</si>
  <si>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</si>
  <si>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</si>
  <si>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</si>
  <si>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</si>
  <si>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</si>
  <si>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</si>
  <si>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</si>
  <si>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</si>
  <si>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</si>
  <si>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</si>
  <si>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</si>
  <si>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</si>
  <si>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</si>
  <si>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</si>
  <si>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</si>
  <si>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</si>
  <si>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</si>
  <si>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</si>
  <si>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</si>
  <si>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</si>
  <si>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</si>
  <si>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</si>
  <si>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</si>
  <si>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</si>
  <si>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</si>
  <si>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</si>
  <si>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</si>
  <si>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</si>
  <si>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</si>
  <si>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</si>
  <si>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</si>
  <si>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</si>
  <si>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</si>
  <si>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</si>
  <si>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</si>
  <si>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</si>
  <si>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</si>
  <si>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</si>
  <si>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</si>
  <si>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</si>
  <si>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</si>
  <si>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</si>
  <si>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</si>
  <si>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</si>
  <si>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</si>
  <si>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</si>
  <si>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</si>
  <si>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</si>
  <si>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</si>
  <si>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</si>
  <si>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</si>
  <si>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</si>
  <si>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</si>
  <si>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</si>
  <si>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</si>
  <si>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</si>
  <si>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</si>
  <si>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</si>
  <si>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</si>
  <si>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</si>
  <si>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</si>
  <si>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</si>
  <si>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</si>
  <si>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</si>
  <si>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</si>
  <si>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</si>
  <si>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</si>
  <si>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</si>
  <si>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</si>
  <si>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</si>
  <si>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</si>
  <si>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</si>
  <si>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</si>
  <si>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</si>
  <si>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</si>
  <si>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</si>
  <si>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</si>
  <si>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</si>
  <si>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</si>
  <si>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</si>
  <si>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</si>
  <si>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</si>
  <si>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</si>
  <si>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</si>
  <si>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</si>
  <si>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</si>
  <si>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</si>
  <si>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</si>
  <si>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</si>
  <si>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</si>
  <si>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</si>
  <si>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</si>
  <si>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</si>
  <si>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</si>
  <si>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</si>
  <si>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</si>
  <si>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</si>
  <si>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</si>
  <si>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</si>
  <si>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</si>
  <si>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</si>
  <si>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</si>
  <si>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</si>
  <si>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</si>
  <si>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</si>
  <si>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</si>
  <si>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</si>
  <si>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</si>
  <si>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</si>
  <si>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</si>
  <si>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</si>
  <si>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</si>
  <si>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</si>
  <si>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</si>
  <si>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</si>
  <si>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</si>
  <si>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</si>
  <si>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</si>
  <si>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</si>
  <si>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</si>
  <si>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</si>
  <si>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</si>
  <si>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</si>
  <si>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</si>
  <si>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</si>
  <si>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</si>
  <si>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</si>
  <si>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</si>
  <si>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</si>
  <si>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</si>
  <si>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</si>
  <si>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</si>
  <si>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</si>
  <si>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</si>
  <si>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</si>
  <si>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</si>
  <si>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</si>
  <si>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</si>
  <si>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</si>
  <si>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</si>
  <si>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</si>
  <si>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</si>
  <si>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</si>
  <si>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</si>
  <si>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</si>
  <si>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</si>
  <si>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</si>
  <si>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</si>
  <si>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</si>
  <si>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</si>
  <si>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</si>
  <si>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</si>
  <si>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</si>
  <si>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</si>
  <si>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</si>
  <si>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</si>
  <si>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</si>
  <si>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</si>
  <si>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</si>
  <si>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</si>
  <si>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</si>
  <si>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</si>
  <si>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</si>
  <si>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</si>
  <si>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</si>
  <si>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</si>
  <si>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</si>
  <si>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</si>
  <si>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</si>
  <si>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</si>
  <si>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</si>
  <si>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</si>
  <si>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</si>
  <si>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</si>
  <si>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</si>
  <si>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</si>
  <si>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</si>
  <si>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</si>
  <si>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</si>
  <si>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</si>
  <si>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</si>
  <si>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</si>
  <si>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</si>
  <si>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</si>
  <si>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</si>
  <si>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</si>
  <si>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</si>
  <si>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</si>
  <si>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</si>
  <si>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</si>
  <si>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</si>
  <si>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</si>
  <si>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</si>
  <si>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</si>
  <si>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</si>
  <si>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</si>
  <si>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</si>
  <si>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</si>
  <si>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</si>
  <si>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</si>
  <si>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</si>
  <si>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</si>
  <si>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</si>
  <si>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</si>
  <si>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</si>
  <si>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</si>
  <si>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</si>
  <si>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</si>
  <si>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</si>
  <si>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</si>
  <si>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</si>
  <si>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</si>
  <si>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</si>
  <si>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</si>
  <si>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</si>
  <si>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</si>
  <si>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</si>
  <si>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</si>
  <si>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</si>
  <si>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</si>
  <si>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</si>
  <si>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</si>
  <si>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</si>
  <si>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</si>
  <si>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</si>
  <si>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</si>
  <si>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</si>
  <si>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</si>
  <si>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</si>
  <si>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</si>
  <si>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</si>
  <si>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</si>
  <si>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</si>
  <si>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</si>
  <si>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</si>
  <si>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</si>
  <si>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</si>
  <si>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</si>
  <si>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</si>
  <si>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</si>
  <si>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</si>
  <si>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</si>
  <si>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</si>
  <si>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</si>
  <si>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</si>
  <si>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</si>
  <si>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</si>
  <si>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</si>
  <si>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</si>
  <si>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</si>
  <si>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</si>
  <si>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</si>
  <si>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</si>
  <si>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</si>
  <si>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</si>
  <si>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</si>
  <si>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</si>
  <si>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</si>
  <si>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</si>
  <si>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</si>
  <si>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</si>
  <si>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</si>
  <si>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</si>
  <si>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</si>
  <si>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</si>
  <si>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</si>
  <si>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</si>
  <si>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</si>
  <si>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</si>
  <si>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</si>
  <si>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</si>
  <si>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</si>
  <si>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</si>
  <si>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</si>
  <si>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</si>
  <si>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</si>
  <si>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</si>
  <si>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</si>
  <si>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</si>
  <si>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</si>
  <si>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</si>
  <si>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</si>
  <si>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</si>
  <si>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</si>
  <si>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</si>
  <si>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</si>
  <si>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</si>
  <si>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</si>
  <si>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</si>
  <si>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</si>
  <si>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</si>
  <si>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</si>
  <si>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</si>
  <si>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</si>
  <si>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</si>
  <si>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</si>
  <si>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</si>
  <si>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</si>
  <si>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</si>
  <si>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</si>
  <si>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</si>
  <si>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</si>
  <si>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</si>
  <si>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</si>
  <si>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</si>
  <si>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</si>
  <si>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</si>
  <si>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</si>
  <si>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</si>
  <si>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</si>
  <si>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</si>
  <si>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</si>
  <si>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</si>
  <si>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</si>
  <si>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</si>
  <si>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</si>
  <si>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</si>
  <si>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</si>
  <si>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</si>
  <si>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</si>
  <si>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</si>
  <si>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</si>
  <si>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</si>
  <si>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</si>
  <si>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</si>
  <si>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</si>
  <si>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</si>
  <si>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</si>
  <si>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</si>
  <si>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</si>
  <si>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</si>
  <si>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</si>
  <si>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</si>
  <si>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</si>
  <si>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</si>
  <si>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</si>
  <si>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</si>
  <si>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</si>
  <si>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</si>
  <si>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</si>
  <si>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</si>
  <si>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</si>
  <si>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</si>
  <si>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</si>
  <si>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</si>
  <si>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</si>
  <si>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</si>
  <si>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</si>
  <si>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</si>
  <si>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</si>
  <si>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</si>
  <si>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</si>
  <si>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</si>
  <si>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</si>
  <si>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</si>
  <si>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</si>
  <si>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</si>
  <si>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</si>
  <si>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</si>
  <si>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</si>
  <si>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</si>
  <si>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</si>
  <si>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</si>
  <si>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</si>
  <si>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</si>
  <si>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</si>
  <si>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</si>
  <si>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</si>
  <si>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</si>
  <si>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</si>
  <si>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</si>
  <si>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</si>
  <si>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</si>
  <si>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</si>
  <si>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</si>
  <si>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</si>
  <si>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</si>
  <si>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</si>
  <si>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</si>
  <si>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</si>
  <si>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</si>
  <si>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</si>
  <si>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</si>
  <si>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</si>
  <si>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</si>
  <si>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</si>
  <si>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</si>
  <si>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</si>
  <si>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</si>
  <si>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</si>
  <si>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</si>
  <si>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</si>
  <si>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</si>
  <si>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</si>
  <si>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</si>
  <si>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</si>
  <si>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</si>
  <si>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</si>
  <si>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</si>
  <si>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</si>
  <si>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</si>
  <si>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</si>
  <si>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</si>
  <si>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</si>
  <si>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</si>
  <si>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</si>
  <si>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</si>
  <si>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</si>
  <si>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</si>
  <si>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</si>
  <si>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</si>
  <si>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</si>
  <si>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</si>
  <si>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</si>
  <si>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</si>
  <si>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</si>
  <si>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</si>
  <si>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</si>
  <si>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</si>
  <si>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</si>
  <si>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</si>
  <si>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</si>
  <si>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</si>
  <si>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</si>
  <si>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</si>
  <si>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</si>
  <si>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</si>
  <si>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</si>
  <si>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</si>
  <si>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</si>
  <si>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</si>
  <si>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</si>
  <si>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</si>
  <si>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</si>
  <si>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</si>
  <si>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</si>
  <si>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</si>
  <si>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</si>
  <si>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</si>
  <si>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</si>
  <si>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</si>
  <si>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</si>
  <si>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</si>
  <si>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</si>
  <si>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</si>
  <si>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</si>
  <si>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</si>
  <si>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</si>
  <si>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</si>
  <si>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</si>
  <si>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</si>
  <si>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</si>
  <si>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</si>
  <si>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</si>
  <si>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</si>
  <si>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</si>
  <si>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</si>
  <si>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</si>
  <si>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</si>
  <si>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</si>
  <si>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</si>
  <si>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</si>
  <si>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</si>
  <si>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</si>
  <si>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</si>
  <si>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</si>
  <si>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</si>
  <si>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</si>
  <si>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</si>
  <si>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</si>
  <si>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</si>
  <si>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</si>
  <si>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</si>
  <si>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</si>
  <si>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</si>
  <si>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</si>
  <si>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</si>
  <si>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</si>
  <si>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</si>
  <si>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</si>
  <si>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</si>
  <si>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</si>
  <si>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</si>
  <si>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</si>
  <si>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</si>
  <si>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</si>
  <si>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</si>
  <si>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</si>
  <si>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</si>
  <si>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</si>
  <si>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</si>
  <si>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</si>
  <si>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</si>
  <si>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</si>
  <si>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</si>
  <si>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</si>
  <si>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</si>
  <si>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</si>
  <si>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</si>
  <si>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</si>
  <si>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</si>
  <si>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</si>
  <si>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</si>
  <si>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</si>
  <si>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</si>
  <si>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</si>
  <si>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</si>
  <si>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</si>
  <si>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</si>
  <si>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</si>
  <si>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</si>
  <si>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</si>
  <si>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</si>
  <si>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</si>
  <si>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</si>
  <si>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</si>
  <si>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</si>
  <si>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</si>
  <si>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</si>
  <si>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</si>
  <si>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</si>
  <si>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</si>
  <si>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</si>
  <si>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</si>
  <si>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</si>
  <si>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</si>
  <si>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</si>
  <si>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</si>
  <si>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</si>
  <si>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</si>
  <si>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</si>
  <si>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</si>
  <si>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</si>
  <si>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</si>
  <si>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</si>
  <si>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</si>
  <si>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</si>
  <si>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</si>
  <si>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</si>
  <si>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</si>
  <si>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</si>
  <si>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</si>
  <si>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</si>
  <si>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</si>
  <si>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</si>
  <si>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</si>
  <si>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</si>
  <si>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</si>
  <si>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</si>
  <si>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</si>
  <si>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</si>
  <si>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</si>
  <si>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</si>
  <si>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</si>
  <si>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</si>
  <si>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</si>
  <si>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</si>
  <si>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</si>
  <si>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</si>
  <si>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</si>
  <si>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</si>
  <si>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</si>
  <si>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</si>
  <si>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</si>
  <si>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</si>
  <si>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</si>
  <si>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</si>
  <si>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</si>
  <si>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</si>
  <si>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</si>
  <si>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</si>
  <si>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</si>
  <si>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</si>
  <si>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</si>
  <si>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</si>
  <si>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</si>
  <si>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</si>
  <si>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</si>
  <si>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</si>
  <si>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</si>
  <si>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</si>
  <si>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</si>
  <si>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</si>
  <si>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</si>
  <si>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</si>
  <si>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</si>
  <si>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</si>
  <si>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</si>
  <si>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</si>
  <si>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</si>
  <si>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</si>
  <si>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</si>
  <si>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</si>
  <si>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</si>
  <si>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</si>
  <si>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</si>
  <si>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</si>
  <si>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</si>
  <si>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</si>
  <si>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</si>
  <si>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</si>
  <si>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</si>
  <si>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</si>
  <si>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</si>
  <si>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</si>
  <si>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</si>
  <si>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</si>
  <si>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</si>
  <si>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</si>
  <si>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</si>
  <si>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</si>
  <si>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</si>
  <si>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</si>
  <si>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</si>
  <si>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</si>
  <si>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</si>
  <si>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</si>
  <si>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</si>
  <si>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</si>
  <si>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</si>
  <si>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</si>
  <si>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</si>
  <si>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</si>
  <si>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</si>
  <si>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</si>
  <si>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</si>
  <si>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</si>
  <si>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</si>
  <si>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</si>
  <si>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</si>
  <si>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</si>
  <si>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</si>
  <si>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</si>
  <si>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</si>
  <si>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</si>
  <si>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</si>
  <si>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</si>
  <si>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</si>
  <si>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</si>
  <si>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</si>
  <si>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</si>
  <si>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</si>
  <si>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</si>
  <si>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</si>
  <si>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</si>
  <si>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</si>
  <si>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</si>
  <si>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</si>
  <si>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</si>
  <si>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</si>
  <si>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</si>
  <si>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</si>
  <si>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</si>
  <si>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</si>
  <si>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</si>
  <si>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</si>
  <si>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</si>
  <si>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</si>
  <si>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</si>
  <si>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</si>
  <si>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</si>
  <si>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</si>
  <si>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</si>
  <si>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</si>
  <si>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</si>
  <si>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</si>
  <si>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</si>
  <si>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</si>
  <si>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</si>
  <si>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</si>
  <si>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</si>
  <si>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</si>
  <si>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</si>
  <si>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</si>
  <si>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</si>
  <si>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</si>
  <si>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</si>
  <si>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</si>
  <si>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</si>
  <si>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</si>
  <si>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</si>
  <si>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</si>
  <si>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</si>
  <si>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</si>
  <si>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</si>
  <si>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</si>
  <si>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</si>
  <si>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</si>
  <si>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</si>
  <si>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</si>
  <si>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</si>
  <si>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Cap Proj: $14,506,398.46 rec'd June 2010-</t>
  </si>
  <si>
    <t xml:space="preserve">        partial bond proceeds carried as deferred revenue</t>
  </si>
  <si>
    <t>7/95</t>
  </si>
  <si>
    <t>8/15</t>
  </si>
  <si>
    <t>6/10</t>
  </si>
  <si>
    <t>7/10</t>
  </si>
  <si>
    <t>9/26</t>
  </si>
  <si>
    <t>QSCB</t>
  </si>
  <si>
    <t>10/26</t>
  </si>
  <si>
    <t>Salem SD</t>
  </si>
  <si>
    <t>Impact fees collected by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</si>
</sst>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3DF0-7D78-4892-AAE3-868A325048A2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45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903</v>
      </c>
      <c r="B2" s="21">
        <v>473</v>
      </c>
      <c r="C2" s="21">
        <v>473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1954120.43</v>
      </c>
      <c r="G9" s="18">
        <v>67281.48</v>
      </c>
      <c r="H9" s="18"/>
      <c r="I9" s="18">
        <v>11320889.23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136355.04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341519.26</v>
      </c>
      <c r="G12" s="18">
        <v>311953.34999999998</v>
      </c>
      <c r="H12" s="18">
        <v>140123.62</v>
      </c>
      <c r="I12" s="18">
        <v>3520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114603.21+2492.58-149.24</f>
        <v>116946.55</v>
      </c>
      <c r="G13" s="18">
        <v>28198.27</v>
      </c>
      <c r="H13" s="18">
        <f>399726.9+430.33</f>
        <v>400157.23000000004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12389.93+766.11</f>
        <v>13156.04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2425742.2799999998</v>
      </c>
      <c r="G19" s="41">
        <f>SUM(G9:G18)</f>
        <v>407433.1</v>
      </c>
      <c r="H19" s="41">
        <f>SUM(H9:H18)</f>
        <v>540280.85000000009</v>
      </c>
      <c r="I19" s="41">
        <f>SUM(I9:I18)</f>
        <v>11324409.23</v>
      </c>
      <c r="J19" s="41">
        <f>SUM(J9:J18)</f>
        <v>136355.04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311953.35+140123.62+3520</f>
        <v>455596.97</v>
      </c>
      <c r="G23" s="18"/>
      <c r="H23" s="18">
        <v>341519.26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f>557.26+8958.88+1485.23</f>
        <v>11001.369999999999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621229.97-1052.64+6516.55</f>
        <v>626693.88</v>
      </c>
      <c r="G25" s="18">
        <v>7229.72</v>
      </c>
      <c r="H25" s="18">
        <v>8051.6</v>
      </c>
      <c r="I25" s="18">
        <f>20077.42+2403879.49</f>
        <v>2423956.91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62301.07+5934</f>
        <v>68235.070000000007</v>
      </c>
      <c r="G30" s="18">
        <v>647.02</v>
      </c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1150525.9200000002</v>
      </c>
      <c r="G33" s="41">
        <f>SUM(G23:G32)</f>
        <v>7876.74</v>
      </c>
      <c r="H33" s="41">
        <f>SUM(H23:H32)</f>
        <v>360572.23</v>
      </c>
      <c r="I33" s="41">
        <f>SUM(I23:I32)</f>
        <v>2423956.91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170445.44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79563.53</v>
      </c>
      <c r="G41" s="18">
        <v>399556.36</v>
      </c>
      <c r="H41" s="18">
        <f>140123.62+39585</f>
        <v>179708.62</v>
      </c>
      <c r="I41" s="18">
        <f>11304331.81-2403879.49</f>
        <v>8900452.3200000003</v>
      </c>
      <c r="J41" s="13">
        <f>SUM(I449)</f>
        <v>136355.04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1025356.63-149.24</f>
        <v>1025207.39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1275216.3600000001</v>
      </c>
      <c r="G43" s="41">
        <f>SUM(G35:G42)</f>
        <v>399556.36</v>
      </c>
      <c r="H43" s="41">
        <f>SUM(H35:H42)</f>
        <v>179708.62</v>
      </c>
      <c r="I43" s="41">
        <f>SUM(I35:I42)</f>
        <v>8900452.3200000003</v>
      </c>
      <c r="J43" s="41">
        <f>SUM(J35:J42)</f>
        <v>136355.04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2425742.2800000003</v>
      </c>
      <c r="G44" s="41">
        <f>G43+G33</f>
        <v>407433.1</v>
      </c>
      <c r="H44" s="41">
        <f>H43+H33</f>
        <v>540280.85</v>
      </c>
      <c r="I44" s="41">
        <f>I43+I33</f>
        <v>11324409.23</v>
      </c>
      <c r="J44" s="41">
        <f>J43+J33</f>
        <v>136355.04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31154214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137408.76999999999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31291622.77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102810.9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27230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85000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80000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1627717.75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41456.57+2492.58</f>
        <v>43949.15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68040.52-149.24</f>
        <v>67891.28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40000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2074599.0799999998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3564.91</v>
      </c>
      <c r="G88" s="18">
        <v>787.9</v>
      </c>
      <c r="H88" s="18"/>
      <c r="I88" s="18">
        <f>55799.64-238.46</f>
        <v>55561.18</v>
      </c>
      <c r="J88" s="18">
        <v>59.52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1379461.06-2502.95-8059.8</f>
        <v>1368898.31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2977.31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24353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2084.67</v>
      </c>
      <c r="G94" s="18"/>
      <c r="H94" s="18">
        <v>39550</v>
      </c>
      <c r="I94" s="18"/>
      <c r="J94" s="18">
        <v>17253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7429.41+90216.49-0.01</f>
        <v>97645.890000000014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127648.47000000002</v>
      </c>
      <c r="G103" s="41">
        <f>SUM(G88:G102)</f>
        <v>1369686.21</v>
      </c>
      <c r="H103" s="41">
        <f>SUM(H88:H102)</f>
        <v>42527.31</v>
      </c>
      <c r="I103" s="41">
        <f>SUM(I88:I102)</f>
        <v>55561.18</v>
      </c>
      <c r="J103" s="41">
        <f>SUM(J88:J102)</f>
        <v>17312.52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33493870.319999997</v>
      </c>
      <c r="G104" s="41">
        <f>G52+G103</f>
        <v>1369686.21</v>
      </c>
      <c r="H104" s="41">
        <f>H52+H71+H86+H103</f>
        <v>42527.31</v>
      </c>
      <c r="I104" s="41">
        <f>I52+I103</f>
        <v>55561.18</v>
      </c>
      <c r="J104" s="41">
        <f>J52+J103</f>
        <v>17312.52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5131215.2699999996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10102755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186107.73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15420078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146458.32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137437.65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395025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1318841.74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106587.06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2392.13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28198.27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30750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f>3681.62+3502.3</f>
        <v>7183.92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2137491.9</v>
      </c>
      <c r="G128" s="41">
        <f>SUM(G115:G127)</f>
        <v>28198.27</v>
      </c>
      <c r="H128" s="41">
        <f>SUM(H115:H127)</f>
        <v>7183.92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17557569.899999999</v>
      </c>
      <c r="G132" s="41">
        <f>G113+SUM(G128:G129)</f>
        <v>28198.27</v>
      </c>
      <c r="H132" s="41">
        <f>H113+SUM(H128:H131)</f>
        <v>7183.92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59296.58</v>
      </c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15549.72+236755.69+13762.83+755.21+62394.69+430.33</f>
        <v>329648.47000000003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2079.7+92699.07</f>
        <v>94778.77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278721.06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f>105781.98+59754.2</f>
        <v>165536.18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428657.76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871354.69+566316.44</f>
        <v>1437671.13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451752.13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511048.71</v>
      </c>
      <c r="G154" s="41">
        <f>SUM(G142:G153)</f>
        <v>428657.76</v>
      </c>
      <c r="H154" s="41">
        <f>SUM(H142:H153)</f>
        <v>2306355.61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511048.71</v>
      </c>
      <c r="G161" s="41">
        <f>G139+G154+SUM(G155:G160)</f>
        <v>428657.76</v>
      </c>
      <c r="H161" s="41">
        <f>H139+H154+SUM(H155:H160)</f>
        <v>2306355.61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7493840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7493840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8059.8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12930.95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52700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65630.95</v>
      </c>
      <c r="G175" s="41">
        <f>SUM(G171:G174)</f>
        <v>8059.8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65630.95</v>
      </c>
      <c r="G184" s="41">
        <f>G175+SUM(G180:G183)</f>
        <v>8059.8</v>
      </c>
      <c r="H184" s="41">
        <f>+H175+SUM(H180:H183)</f>
        <v>0</v>
      </c>
      <c r="I184" s="41">
        <f>I169+I175+SUM(I180:I183)</f>
        <v>7493840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51628119.880000003</v>
      </c>
      <c r="G185" s="47">
        <f>G104+G132+G161+G184</f>
        <v>1834602.04</v>
      </c>
      <c r="H185" s="47">
        <f>H104+H132+H161+H184</f>
        <v>2356066.84</v>
      </c>
      <c r="I185" s="47">
        <f>I104+I132+I161+I184</f>
        <v>7549401.1799999997</v>
      </c>
      <c r="J185" s="47">
        <f>J104+J132+J184</f>
        <v>17312.52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6411078.05+5000</f>
        <v>6416078.0499999998</v>
      </c>
      <c r="G189" s="18">
        <f>2328955.74+934</f>
        <v>2329889.7400000002</v>
      </c>
      <c r="H189" s="18">
        <v>1042.93</v>
      </c>
      <c r="I189" s="18">
        <f>246658.78+107.28</f>
        <v>246766.06</v>
      </c>
      <c r="J189" s="18">
        <v>44124.74</v>
      </c>
      <c r="K189" s="18">
        <v>135</v>
      </c>
      <c r="L189" s="19">
        <f>SUM(F189:K189)</f>
        <v>9038036.5199999996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2411327.35</v>
      </c>
      <c r="G190" s="18">
        <v>481414.43</v>
      </c>
      <c r="H190" s="18">
        <f>1205739.31-146011.03-151189.11</f>
        <v>908539.17</v>
      </c>
      <c r="I190" s="18">
        <v>15112.35</v>
      </c>
      <c r="J190" s="18"/>
      <c r="K190" s="18">
        <v>594.36</v>
      </c>
      <c r="L190" s="19">
        <f>SUM(F190:K190)</f>
        <v>3816987.66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13552.5</v>
      </c>
      <c r="G192" s="18">
        <v>2144.96</v>
      </c>
      <c r="H192" s="18"/>
      <c r="I192" s="18"/>
      <c r="J192" s="18"/>
      <c r="K192" s="18"/>
      <c r="L192" s="19">
        <f>SUM(F192:K192)</f>
        <v>15697.46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1348910.54</v>
      </c>
      <c r="G194" s="18">
        <v>511058.97</v>
      </c>
      <c r="H194" s="18">
        <v>20424.740000000002</v>
      </c>
      <c r="I194" s="18">
        <v>18348.57</v>
      </c>
      <c r="J194" s="18"/>
      <c r="K194" s="18"/>
      <c r="L194" s="19">
        <f t="shared" ref="L194:L200" si="0">SUM(F194:K194)</f>
        <v>1898742.82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393223.46</v>
      </c>
      <c r="G195" s="18">
        <v>115506.67</v>
      </c>
      <c r="H195" s="18">
        <v>26067.11</v>
      </c>
      <c r="I195" s="18">
        <v>138081.75</v>
      </c>
      <c r="J195" s="18">
        <v>123062.15</v>
      </c>
      <c r="K195" s="18"/>
      <c r="L195" s="19">
        <f t="shared" si="0"/>
        <v>795941.14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186525.05</v>
      </c>
      <c r="G196" s="18">
        <v>74742.78</v>
      </c>
      <c r="H196" s="18">
        <v>34566.93</v>
      </c>
      <c r="I196" s="18">
        <v>5432.47</v>
      </c>
      <c r="J196" s="18"/>
      <c r="K196" s="18">
        <v>3793.44</v>
      </c>
      <c r="L196" s="19">
        <f t="shared" si="0"/>
        <v>305060.67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673559.65</v>
      </c>
      <c r="G197" s="18">
        <v>283009.28999999998</v>
      </c>
      <c r="H197" s="18">
        <v>92842.96</v>
      </c>
      <c r="I197" s="18">
        <f>12713.18+3.9+15.09</f>
        <v>12732.17</v>
      </c>
      <c r="J197" s="18"/>
      <c r="K197" s="18">
        <v>3189</v>
      </c>
      <c r="L197" s="19">
        <f t="shared" si="0"/>
        <v>1065333.0699999998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83655</v>
      </c>
      <c r="G198" s="18">
        <v>32482.49</v>
      </c>
      <c r="H198" s="18">
        <v>5034.88</v>
      </c>
      <c r="I198" s="18"/>
      <c r="J198" s="18"/>
      <c r="K198" s="18"/>
      <c r="L198" s="19">
        <f t="shared" si="0"/>
        <v>121172.37000000001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447081.98</v>
      </c>
      <c r="G199" s="18">
        <v>160926.29999999999</v>
      </c>
      <c r="H199" s="18">
        <v>512115.75</v>
      </c>
      <c r="I199" s="18">
        <v>375004.51</v>
      </c>
      <c r="J199" s="18">
        <v>8078.41</v>
      </c>
      <c r="K199" s="18"/>
      <c r="L199" s="19">
        <f t="shared" si="0"/>
        <v>1503206.95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932210.81</v>
      </c>
      <c r="I200" s="18"/>
      <c r="J200" s="18"/>
      <c r="K200" s="18"/>
      <c r="L200" s="19">
        <f t="shared" si="0"/>
        <v>932210.81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14934.63</v>
      </c>
      <c r="G201" s="18">
        <v>5831.53</v>
      </c>
      <c r="H201" s="18">
        <v>25233.43</v>
      </c>
      <c r="I201" s="18">
        <v>4763.4399999999996</v>
      </c>
      <c r="J201" s="18"/>
      <c r="K201" s="18"/>
      <c r="L201" s="19">
        <f>SUM(F201:K201)</f>
        <v>50763.03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11988848.210000005</v>
      </c>
      <c r="G203" s="41">
        <f t="shared" si="1"/>
        <v>3997007.16</v>
      </c>
      <c r="H203" s="41">
        <f t="shared" si="1"/>
        <v>2558078.7100000004</v>
      </c>
      <c r="I203" s="41">
        <f t="shared" si="1"/>
        <v>816241.31999999983</v>
      </c>
      <c r="J203" s="41">
        <f t="shared" si="1"/>
        <v>175265.3</v>
      </c>
      <c r="K203" s="41">
        <f t="shared" si="1"/>
        <v>7711.8</v>
      </c>
      <c r="L203" s="41">
        <f t="shared" si="1"/>
        <v>19543152.5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3572387.68</v>
      </c>
      <c r="G207" s="18">
        <v>1348874.85</v>
      </c>
      <c r="H207" s="18">
        <v>302.89999999999998</v>
      </c>
      <c r="I207" s="18">
        <f>137549.2+109.5</f>
        <v>137658.70000000001</v>
      </c>
      <c r="J207" s="18">
        <v>10121.89</v>
      </c>
      <c r="K207" s="18"/>
      <c r="L207" s="19">
        <f>SUM(F207:K207)</f>
        <v>5069346.0200000005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1119093.26</v>
      </c>
      <c r="G208" s="18">
        <v>276703.67</v>
      </c>
      <c r="H208" s="18">
        <f>79004.86+146011.03+151189.11</f>
        <v>376205</v>
      </c>
      <c r="I208" s="18">
        <v>6081.86</v>
      </c>
      <c r="J208" s="18"/>
      <c r="K208" s="18">
        <v>365.76</v>
      </c>
      <c r="L208" s="19">
        <f>SUM(F208:K208)</f>
        <v>1778449.55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55018</v>
      </c>
      <c r="G210" s="18">
        <v>8707.7099999999991</v>
      </c>
      <c r="H210" s="18">
        <v>4445</v>
      </c>
      <c r="I210" s="18">
        <f>8599.03+553.5</f>
        <v>9152.5300000000007</v>
      </c>
      <c r="J210" s="18"/>
      <c r="K210" s="18">
        <v>946</v>
      </c>
      <c r="L210" s="19">
        <f>SUM(F210:K210)</f>
        <v>78269.239999999991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406826.04</v>
      </c>
      <c r="G212" s="18">
        <v>143151.62</v>
      </c>
      <c r="H212" s="18">
        <v>11205.08</v>
      </c>
      <c r="I212" s="18">
        <f>8451.57+106.95</f>
        <v>8558.52</v>
      </c>
      <c r="J212" s="18"/>
      <c r="K212" s="18"/>
      <c r="L212" s="19">
        <f t="shared" ref="L212:L218" si="2">SUM(F212:K212)</f>
        <v>569741.25999999989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249293.71</v>
      </c>
      <c r="G213" s="18">
        <v>91392.34</v>
      </c>
      <c r="H213" s="18">
        <v>16041.3</v>
      </c>
      <c r="I213" s="18">
        <v>79175.64</v>
      </c>
      <c r="J213" s="18">
        <v>67495.88</v>
      </c>
      <c r="K213" s="18"/>
      <c r="L213" s="19">
        <f t="shared" si="2"/>
        <v>503398.87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114784.65</v>
      </c>
      <c r="G214" s="18">
        <v>45995.56</v>
      </c>
      <c r="H214" s="18">
        <v>21271.96</v>
      </c>
      <c r="I214" s="18">
        <v>3343.06</v>
      </c>
      <c r="J214" s="18"/>
      <c r="K214" s="18">
        <v>2334.42</v>
      </c>
      <c r="L214" s="19">
        <f t="shared" si="2"/>
        <v>187729.65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347276.81</v>
      </c>
      <c r="G215" s="18">
        <v>149941.35999999999</v>
      </c>
      <c r="H215" s="18">
        <v>60657.74</v>
      </c>
      <c r="I215" s="18">
        <v>10178.870000000001</v>
      </c>
      <c r="J215" s="18"/>
      <c r="K215" s="18">
        <v>89</v>
      </c>
      <c r="L215" s="19">
        <f t="shared" si="2"/>
        <v>568143.78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51480</v>
      </c>
      <c r="G216" s="18">
        <v>19989.22</v>
      </c>
      <c r="H216" s="18">
        <v>3098.39</v>
      </c>
      <c r="I216" s="18"/>
      <c r="J216" s="18"/>
      <c r="K216" s="18"/>
      <c r="L216" s="19">
        <f t="shared" si="2"/>
        <v>74567.61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225124.51</v>
      </c>
      <c r="G217" s="18">
        <v>81458.539999999994</v>
      </c>
      <c r="H217" s="18">
        <v>224677.09</v>
      </c>
      <c r="I217" s="18">
        <v>201078.84</v>
      </c>
      <c r="J217" s="18">
        <v>33844.33</v>
      </c>
      <c r="K217" s="18"/>
      <c r="L217" s="19">
        <f t="shared" si="2"/>
        <v>766183.30999999994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581466.06000000006</v>
      </c>
      <c r="I218" s="18"/>
      <c r="J218" s="18"/>
      <c r="K218" s="18"/>
      <c r="L218" s="19">
        <f t="shared" si="2"/>
        <v>581466.06000000006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9190.5400000000009</v>
      </c>
      <c r="G219" s="18">
        <v>3588.63</v>
      </c>
      <c r="H219" s="18">
        <v>15528.26</v>
      </c>
      <c r="I219" s="18">
        <v>2931.35</v>
      </c>
      <c r="J219" s="18"/>
      <c r="K219" s="18"/>
      <c r="L219" s="19">
        <f>SUM(F219:K219)</f>
        <v>31238.78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6150475.2000000002</v>
      </c>
      <c r="G221" s="41">
        <f>SUM(G207:G220)</f>
        <v>2169803.5</v>
      </c>
      <c r="H221" s="41">
        <f>SUM(H207:H220)</f>
        <v>1314898.78</v>
      </c>
      <c r="I221" s="41">
        <f>SUM(I207:I220)</f>
        <v>458159.37</v>
      </c>
      <c r="J221" s="41">
        <f>SUM(J207:J220)</f>
        <v>111462.1</v>
      </c>
      <c r="K221" s="41">
        <f t="shared" si="3"/>
        <v>3735.1800000000003</v>
      </c>
      <c r="L221" s="41">
        <f t="shared" si="3"/>
        <v>10208534.130000001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6137948.2999999998</v>
      </c>
      <c r="G225" s="18">
        <f>2287120.38-0.01</f>
        <v>2287120.37</v>
      </c>
      <c r="H225" s="18">
        <v>22993.21</v>
      </c>
      <c r="I225" s="18">
        <f>318080.83-0.01+160.7</f>
        <v>318241.52</v>
      </c>
      <c r="J225" s="18">
        <f>81624.01-0.01</f>
        <v>81624</v>
      </c>
      <c r="K225" s="18">
        <v>100</v>
      </c>
      <c r="L225" s="19">
        <f>SUM(F225:K225)</f>
        <v>8848027.4000000004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1183865.43</v>
      </c>
      <c r="G226" s="18">
        <v>341192.85</v>
      </c>
      <c r="H226" s="18">
        <f>1802253.85+0.01</f>
        <v>1802253.86</v>
      </c>
      <c r="I226" s="18">
        <f>5577.21+188.74</f>
        <v>5765.95</v>
      </c>
      <c r="J226" s="18"/>
      <c r="K226" s="18">
        <f>563.88+0.01</f>
        <v>563.89</v>
      </c>
      <c r="L226" s="19">
        <f>SUM(F226:K226)</f>
        <v>3333641.98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1110962.97</v>
      </c>
      <c r="G227" s="18">
        <v>394107.38</v>
      </c>
      <c r="H227" s="18">
        <f>30718.88+595</f>
        <v>31313.88</v>
      </c>
      <c r="I227" s="18">
        <f>89850.79+1635.82</f>
        <v>91486.61</v>
      </c>
      <c r="J227" s="18"/>
      <c r="K227" s="18"/>
      <c r="L227" s="19">
        <f>SUM(F227:K227)</f>
        <v>1627870.84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439637.03</v>
      </c>
      <c r="G228" s="18">
        <v>94554.44</v>
      </c>
      <c r="H228" s="18">
        <v>136966.63</v>
      </c>
      <c r="I228" s="18">
        <f>43381.01+1175.07+920.1+944.9</f>
        <v>46421.08</v>
      </c>
      <c r="J228" s="18">
        <v>12625.13</v>
      </c>
      <c r="K228" s="18">
        <v>13192</v>
      </c>
      <c r="L228" s="19">
        <f>SUM(F228:K228)</f>
        <v>743396.30999999994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765253.6</v>
      </c>
      <c r="G230" s="18">
        <v>267796.03000000003</v>
      </c>
      <c r="H230" s="18">
        <v>20571.900000000001</v>
      </c>
      <c r="I230" s="18">
        <v>22481.58</v>
      </c>
      <c r="J230" s="18"/>
      <c r="K230" s="18">
        <v>710</v>
      </c>
      <c r="L230" s="19">
        <f t="shared" ref="L230:L236" si="4">SUM(F230:K230)</f>
        <v>1076813.1100000001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313650.08</v>
      </c>
      <c r="G231" s="18">
        <v>106366.31</v>
      </c>
      <c r="H231" s="18">
        <v>25057.29</v>
      </c>
      <c r="I231" s="18">
        <v>131067.87</v>
      </c>
      <c r="J231" s="18">
        <v>133882.70000000001</v>
      </c>
      <c r="K231" s="18">
        <v>89</v>
      </c>
      <c r="L231" s="19">
        <f t="shared" si="4"/>
        <v>710113.25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176959.66</v>
      </c>
      <c r="G232" s="18">
        <v>70909.820000000007</v>
      </c>
      <c r="H232" s="18">
        <v>32794.269999999997</v>
      </c>
      <c r="I232" s="18">
        <v>5153.88</v>
      </c>
      <c r="J232" s="18"/>
      <c r="K232" s="18">
        <v>3598.9</v>
      </c>
      <c r="L232" s="19">
        <f t="shared" si="4"/>
        <v>289416.53000000003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603792.16</v>
      </c>
      <c r="G233" s="18">
        <v>253412.95</v>
      </c>
      <c r="H233" s="18">
        <v>104013.57</v>
      </c>
      <c r="I233" s="18">
        <v>23764.62</v>
      </c>
      <c r="J233" s="18"/>
      <c r="K233" s="18">
        <v>4031</v>
      </c>
      <c r="L233" s="19">
        <f t="shared" si="4"/>
        <v>989014.30000000016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79365</v>
      </c>
      <c r="G234" s="18">
        <v>30816.720000000001</v>
      </c>
      <c r="H234" s="18">
        <v>4776.68</v>
      </c>
      <c r="I234" s="18"/>
      <c r="J234" s="18"/>
      <c r="K234" s="18"/>
      <c r="L234" s="19">
        <f t="shared" si="4"/>
        <v>114958.39999999999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581833.18000000005</v>
      </c>
      <c r="G235" s="18">
        <v>212101.44</v>
      </c>
      <c r="H235" s="18">
        <v>411338.58</v>
      </c>
      <c r="I235" s="18">
        <v>599822.03</v>
      </c>
      <c r="J235" s="18">
        <v>7664.13</v>
      </c>
      <c r="K235" s="18"/>
      <c r="L235" s="19">
        <f t="shared" si="4"/>
        <v>1812759.36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979579.74</v>
      </c>
      <c r="I236" s="18"/>
      <c r="J236" s="18"/>
      <c r="K236" s="18"/>
      <c r="L236" s="19">
        <f t="shared" si="4"/>
        <v>979579.74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14168.75</v>
      </c>
      <c r="G237" s="18">
        <v>5532.48</v>
      </c>
      <c r="H237" s="18">
        <v>23939.4</v>
      </c>
      <c r="I237" s="18">
        <v>5327.42</v>
      </c>
      <c r="J237" s="18"/>
      <c r="K237" s="18"/>
      <c r="L237" s="19">
        <f>SUM(F237:K237)</f>
        <v>48968.05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11407436.159999998</v>
      </c>
      <c r="G239" s="41">
        <f t="shared" si="5"/>
        <v>4063910.7900000005</v>
      </c>
      <c r="H239" s="41">
        <f t="shared" si="5"/>
        <v>3595599.0100000002</v>
      </c>
      <c r="I239" s="41">
        <f t="shared" si="5"/>
        <v>1249532.56</v>
      </c>
      <c r="J239" s="41">
        <f t="shared" si="5"/>
        <v>235795.96000000002</v>
      </c>
      <c r="K239" s="41">
        <f t="shared" si="5"/>
        <v>22284.79</v>
      </c>
      <c r="L239" s="41">
        <f t="shared" si="5"/>
        <v>20574559.269999996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150960.22</v>
      </c>
      <c r="G243" s="18">
        <v>45987.08</v>
      </c>
      <c r="H243" s="18">
        <v>3349.4</v>
      </c>
      <c r="I243" s="18">
        <v>2578.98</v>
      </c>
      <c r="J243" s="18"/>
      <c r="K243" s="18"/>
      <c r="L243" s="19">
        <f t="shared" si="6"/>
        <v>202875.68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567125.28</v>
      </c>
      <c r="I247" s="18"/>
      <c r="J247" s="18"/>
      <c r="K247" s="18"/>
      <c r="L247" s="19">
        <f t="shared" si="6"/>
        <v>567125.28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150960.22</v>
      </c>
      <c r="G248" s="41">
        <f t="shared" si="7"/>
        <v>45987.08</v>
      </c>
      <c r="H248" s="41">
        <f t="shared" si="7"/>
        <v>570474.68000000005</v>
      </c>
      <c r="I248" s="41">
        <f t="shared" si="7"/>
        <v>2578.98</v>
      </c>
      <c r="J248" s="41">
        <f t="shared" si="7"/>
        <v>0</v>
      </c>
      <c r="K248" s="41">
        <f t="shared" si="7"/>
        <v>0</v>
      </c>
      <c r="L248" s="41">
        <f>SUM(F248:K248)</f>
        <v>770000.96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29697719.789999999</v>
      </c>
      <c r="G249" s="41">
        <f t="shared" si="8"/>
        <v>10276708.530000001</v>
      </c>
      <c r="H249" s="41">
        <f t="shared" si="8"/>
        <v>8039051.1799999997</v>
      </c>
      <c r="I249" s="41">
        <f t="shared" si="8"/>
        <v>2526512.23</v>
      </c>
      <c r="J249" s="41">
        <f t="shared" si="8"/>
        <v>522523.36000000004</v>
      </c>
      <c r="K249" s="41">
        <f t="shared" si="8"/>
        <v>33731.770000000004</v>
      </c>
      <c r="L249" s="41">
        <f t="shared" si="8"/>
        <v>51096246.859999999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285000</v>
      </c>
      <c r="L252" s="19">
        <f>SUM(F252:K252)</f>
        <v>285000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253583.77</v>
      </c>
      <c r="L253" s="19">
        <f>SUM(F253:K253)</f>
        <v>253583.77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8059.8</v>
      </c>
      <c r="L255" s="19">
        <f>SUM(F255:K255)</f>
        <v>8059.8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546643.57000000007</v>
      </c>
      <c r="L262" s="41">
        <f t="shared" si="9"/>
        <v>546643.57000000007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29697719.789999999</v>
      </c>
      <c r="G263" s="42">
        <f t="shared" si="11"/>
        <v>10276708.530000001</v>
      </c>
      <c r="H263" s="42">
        <f t="shared" si="11"/>
        <v>8039051.1799999997</v>
      </c>
      <c r="I263" s="42">
        <f t="shared" si="11"/>
        <v>2526512.23</v>
      </c>
      <c r="J263" s="42">
        <f t="shared" si="11"/>
        <v>522523.36000000004</v>
      </c>
      <c r="K263" s="42">
        <f t="shared" si="11"/>
        <v>580375.34000000008</v>
      </c>
      <c r="L263" s="42">
        <f t="shared" si="11"/>
        <v>51642890.43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165319.79</v>
      </c>
      <c r="G268" s="18">
        <v>14041.14</v>
      </c>
      <c r="H268" s="18">
        <v>1250</v>
      </c>
      <c r="I268" s="18">
        <v>7123.52</v>
      </c>
      <c r="J268" s="18"/>
      <c r="K268" s="18"/>
      <c r="L268" s="19">
        <f>SUM(F268:K268)</f>
        <v>187734.44999999998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426388.13</v>
      </c>
      <c r="G269" s="18">
        <v>90518.95</v>
      </c>
      <c r="H269" s="18">
        <v>22439.14</v>
      </c>
      <c r="I269" s="18">
        <f>16647.04+430.33</f>
        <v>17077.370000000003</v>
      </c>
      <c r="J269" s="18">
        <v>33588.69</v>
      </c>
      <c r="K269" s="18"/>
      <c r="L269" s="19">
        <f>SUM(F269:K269)</f>
        <v>590012.28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48648.32+19821.11</f>
        <v>68469.429999999993</v>
      </c>
      <c r="G273" s="18">
        <v>6382.14</v>
      </c>
      <c r="H273" s="18">
        <f>30802.65+890.36</f>
        <v>31693.010000000002</v>
      </c>
      <c r="I273" s="18"/>
      <c r="J273" s="18"/>
      <c r="K273" s="18"/>
      <c r="L273" s="19">
        <f t="shared" ref="L273:L279" si="12">SUM(F273:K273)</f>
        <v>106544.57999999999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35362.42</v>
      </c>
      <c r="G274" s="18">
        <v>5094.1899999999996</v>
      </c>
      <c r="H274" s="18">
        <f>27918.29+8047</f>
        <v>35965.29</v>
      </c>
      <c r="I274" s="18">
        <f>12649.28+6717.1</f>
        <v>19366.38</v>
      </c>
      <c r="J274" s="18"/>
      <c r="K274" s="18"/>
      <c r="L274" s="19">
        <f t="shared" si="12"/>
        <v>95788.28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>
        <v>13990</v>
      </c>
      <c r="K278" s="18"/>
      <c r="L278" s="19">
        <f t="shared" si="12"/>
        <v>13990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3420</v>
      </c>
      <c r="I279" s="18"/>
      <c r="J279" s="18"/>
      <c r="K279" s="18"/>
      <c r="L279" s="19">
        <f t="shared" si="12"/>
        <v>3420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695539.77000000014</v>
      </c>
      <c r="G282" s="42">
        <f t="shared" si="13"/>
        <v>116036.42</v>
      </c>
      <c r="H282" s="42">
        <f t="shared" si="13"/>
        <v>94767.44</v>
      </c>
      <c r="I282" s="42">
        <f t="shared" si="13"/>
        <v>43567.270000000004</v>
      </c>
      <c r="J282" s="42">
        <f t="shared" si="13"/>
        <v>47578.69</v>
      </c>
      <c r="K282" s="42">
        <f t="shared" si="13"/>
        <v>0</v>
      </c>
      <c r="L282" s="41">
        <f t="shared" si="13"/>
        <v>997489.59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14910.12</v>
      </c>
      <c r="G287" s="18">
        <v>1780.89</v>
      </c>
      <c r="H287" s="18">
        <v>7132.3</v>
      </c>
      <c r="I287" s="18">
        <v>5280.28</v>
      </c>
      <c r="J287" s="18"/>
      <c r="K287" s="18"/>
      <c r="L287" s="19">
        <f>SUM(F287:K287)</f>
        <v>29103.59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95029.72</v>
      </c>
      <c r="G288" s="18">
        <v>32230.47</v>
      </c>
      <c r="H288" s="18">
        <v>13808.7</v>
      </c>
      <c r="I288" s="18">
        <v>3864.39</v>
      </c>
      <c r="J288" s="18">
        <v>20669.96</v>
      </c>
      <c r="K288" s="18"/>
      <c r="L288" s="19">
        <f>SUM(F288:K288)</f>
        <v>165603.24000000002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29937.43+465</f>
        <v>30402.43</v>
      </c>
      <c r="G292" s="18">
        <f>3927.47+72.67</f>
        <v>4000.14</v>
      </c>
      <c r="H292" s="18">
        <v>18955.48</v>
      </c>
      <c r="I292" s="18"/>
      <c r="J292" s="18"/>
      <c r="K292" s="18"/>
      <c r="L292" s="19">
        <f t="shared" ref="L292:L298" si="14">SUM(F292:K292)</f>
        <v>53358.05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10199.200000000001</v>
      </c>
      <c r="G293" s="18">
        <v>1517.51</v>
      </c>
      <c r="H293" s="18">
        <v>17180.490000000002</v>
      </c>
      <c r="I293" s="18">
        <v>5124.68</v>
      </c>
      <c r="J293" s="18"/>
      <c r="K293" s="18"/>
      <c r="L293" s="19">
        <f t="shared" si="14"/>
        <v>34021.880000000005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150541.47</v>
      </c>
      <c r="G301" s="42">
        <f t="shared" si="15"/>
        <v>39529.01</v>
      </c>
      <c r="H301" s="42">
        <f t="shared" si="15"/>
        <v>57076.97</v>
      </c>
      <c r="I301" s="42">
        <f t="shared" si="15"/>
        <v>14269.35</v>
      </c>
      <c r="J301" s="42">
        <f t="shared" si="15"/>
        <v>20669.96</v>
      </c>
      <c r="K301" s="42">
        <f t="shared" si="15"/>
        <v>0</v>
      </c>
      <c r="L301" s="41">
        <f t="shared" si="15"/>
        <v>282086.76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123149.19</v>
      </c>
      <c r="G306" s="18">
        <v>37604.480000000003</v>
      </c>
      <c r="H306" s="18"/>
      <c r="I306" s="18">
        <v>138.75</v>
      </c>
      <c r="J306" s="18"/>
      <c r="K306" s="18"/>
      <c r="L306" s="19">
        <f>SUM(F306:K306)</f>
        <v>160892.42000000001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146504.14000000001</v>
      </c>
      <c r="G307" s="18">
        <v>49688.65</v>
      </c>
      <c r="H307" s="18">
        <v>21288.41</v>
      </c>
      <c r="I307" s="18">
        <v>5957.6</v>
      </c>
      <c r="J307" s="18">
        <v>31866.19</v>
      </c>
      <c r="K307" s="18"/>
      <c r="L307" s="19">
        <f>SUM(F307:K307)</f>
        <v>255304.99000000002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35887.5</v>
      </c>
      <c r="G308" s="18">
        <v>6510.19</v>
      </c>
      <c r="H308" s="18">
        <v>840</v>
      </c>
      <c r="I308" s="18">
        <v>25461.41</v>
      </c>
      <c r="J308" s="18">
        <v>111764.13</v>
      </c>
      <c r="K308" s="18">
        <v>1100</v>
      </c>
      <c r="L308" s="19">
        <f>SUM(F308:K308)</f>
        <v>181563.23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1845.6+100607.55</f>
        <v>102453.15000000001</v>
      </c>
      <c r="G311" s="18">
        <f>15587.31+147.65</f>
        <v>15734.96</v>
      </c>
      <c r="H311" s="18">
        <f>29223.03+7672.5</f>
        <v>36895.53</v>
      </c>
      <c r="I311" s="18">
        <v>415.93</v>
      </c>
      <c r="J311" s="18"/>
      <c r="K311" s="18"/>
      <c r="L311" s="19">
        <f t="shared" ref="L311:L317" si="16">SUM(F311:K311)</f>
        <v>155499.57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41081.760000000002</v>
      </c>
      <c r="G312" s="18">
        <v>4476.1899999999996</v>
      </c>
      <c r="H312" s="18">
        <v>63733.72</v>
      </c>
      <c r="I312" s="18">
        <f>8690.34+200</f>
        <v>8890.34</v>
      </c>
      <c r="J312" s="18"/>
      <c r="K312" s="18">
        <v>10849.41</v>
      </c>
      <c r="L312" s="19">
        <f t="shared" si="16"/>
        <v>129031.42000000001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4715</v>
      </c>
      <c r="I316" s="18"/>
      <c r="J316" s="18"/>
      <c r="K316" s="18"/>
      <c r="L316" s="19">
        <f t="shared" si="16"/>
        <v>4715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449075.74000000005</v>
      </c>
      <c r="G320" s="42">
        <f t="shared" si="17"/>
        <v>114014.47</v>
      </c>
      <c r="H320" s="42">
        <f t="shared" si="17"/>
        <v>127472.66</v>
      </c>
      <c r="I320" s="42">
        <f t="shared" si="17"/>
        <v>40864.03</v>
      </c>
      <c r="J320" s="42">
        <f t="shared" si="17"/>
        <v>143630.32</v>
      </c>
      <c r="K320" s="42">
        <f t="shared" si="17"/>
        <v>11949.41</v>
      </c>
      <c r="L320" s="41">
        <f t="shared" si="17"/>
        <v>887006.63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f>100653.58+17000+6187.5</f>
        <v>123841.08</v>
      </c>
      <c r="G325" s="18">
        <v>13796.13</v>
      </c>
      <c r="H325" s="18">
        <v>4787.66</v>
      </c>
      <c r="I325" s="18">
        <v>6134.64</v>
      </c>
      <c r="J325" s="18">
        <v>16093.6</v>
      </c>
      <c r="K325" s="18"/>
      <c r="L325" s="19">
        <f t="shared" si="18"/>
        <v>164653.11000000002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123841.08</v>
      </c>
      <c r="G329" s="41">
        <f t="shared" si="19"/>
        <v>13796.13</v>
      </c>
      <c r="H329" s="41">
        <f t="shared" si="19"/>
        <v>4787.66</v>
      </c>
      <c r="I329" s="41">
        <f t="shared" si="19"/>
        <v>6134.64</v>
      </c>
      <c r="J329" s="41">
        <f t="shared" si="19"/>
        <v>16093.6</v>
      </c>
      <c r="K329" s="41">
        <f t="shared" si="19"/>
        <v>0</v>
      </c>
      <c r="L329" s="41">
        <f t="shared" si="18"/>
        <v>164653.11000000002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1418998.0600000003</v>
      </c>
      <c r="G330" s="41">
        <f t="shared" si="20"/>
        <v>283376.03000000003</v>
      </c>
      <c r="H330" s="41">
        <f t="shared" si="20"/>
        <v>284104.73</v>
      </c>
      <c r="I330" s="41">
        <f t="shared" si="20"/>
        <v>104835.29</v>
      </c>
      <c r="J330" s="41">
        <f t="shared" si="20"/>
        <v>227972.57</v>
      </c>
      <c r="K330" s="41">
        <f t="shared" si="20"/>
        <v>11949.41</v>
      </c>
      <c r="L330" s="41">
        <f t="shared" si="20"/>
        <v>2331236.09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6267.77+5780.11+883.07</f>
        <v>12930.95</v>
      </c>
      <c r="L336" s="19">
        <f t="shared" ref="L336:L342" si="21">SUM(F336:K336)</f>
        <v>12930.95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12930.95</v>
      </c>
      <c r="L343" s="41">
        <f>SUM(L333:L342)</f>
        <v>12930.95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1418998.0600000003</v>
      </c>
      <c r="G344" s="41">
        <f>G330</f>
        <v>283376.03000000003</v>
      </c>
      <c r="H344" s="41">
        <f>H330</f>
        <v>284104.73</v>
      </c>
      <c r="I344" s="41">
        <f>I330</f>
        <v>104835.29</v>
      </c>
      <c r="J344" s="41">
        <f>J330</f>
        <v>227972.57</v>
      </c>
      <c r="K344" s="47">
        <f>K330+K343</f>
        <v>24880.36</v>
      </c>
      <c r="L344" s="41">
        <f>L330+L343</f>
        <v>2344167.04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203958.7+46463.29</f>
        <v>250421.99000000002</v>
      </c>
      <c r="G350" s="18">
        <v>83263.360000000001</v>
      </c>
      <c r="H350" s="18">
        <f>8236.08+1815.75</f>
        <v>10051.83</v>
      </c>
      <c r="I350" s="18">
        <f>2531.33+10248.6+166231.94+5935.14</f>
        <v>184947.01</v>
      </c>
      <c r="J350" s="18">
        <v>7826.17</v>
      </c>
      <c r="K350" s="18"/>
      <c r="L350" s="13">
        <f>SUM(F350:K350)</f>
        <v>536510.3600000001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106921.87+28592.8</f>
        <v>135514.66999999998</v>
      </c>
      <c r="G351" s="18">
        <v>51238.99</v>
      </c>
      <c r="H351" s="18">
        <f>1117.39+3971.83</f>
        <v>5089.22</v>
      </c>
      <c r="I351" s="18">
        <f>11882.44+195879.6+1557.74+3652.39</f>
        <v>212972.17</v>
      </c>
      <c r="J351" s="18">
        <v>4816.1099999999997</v>
      </c>
      <c r="K351" s="18"/>
      <c r="L351" s="19">
        <f>SUM(F351:K351)</f>
        <v>409631.16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209397.71+44080.56</f>
        <v>253478.27</v>
      </c>
      <c r="G352" s="18">
        <v>78993.440000000002</v>
      </c>
      <c r="H352" s="18">
        <f>17904.67+1722.64</f>
        <v>19627.309999999998</v>
      </c>
      <c r="I352" s="18">
        <f>2401.52+5630.77+33234.88+455531.11+516.09</f>
        <v>497314.37</v>
      </c>
      <c r="J352" s="18">
        <v>7424.83</v>
      </c>
      <c r="K352" s="18"/>
      <c r="L352" s="19">
        <f>SUM(F352:K352)</f>
        <v>856838.21999999986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639414.93000000005</v>
      </c>
      <c r="G354" s="47">
        <f t="shared" si="22"/>
        <v>213495.79</v>
      </c>
      <c r="H354" s="47">
        <f t="shared" si="22"/>
        <v>34768.36</v>
      </c>
      <c r="I354" s="47">
        <f t="shared" si="22"/>
        <v>895233.55</v>
      </c>
      <c r="J354" s="47">
        <f t="shared" si="22"/>
        <v>20067.11</v>
      </c>
      <c r="K354" s="47">
        <f t="shared" si="22"/>
        <v>0</v>
      </c>
      <c r="L354" s="47">
        <f t="shared" si="22"/>
        <v>1802979.7399999998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166231.94+5935.14</f>
        <v>172167.08000000002</v>
      </c>
      <c r="G359" s="18">
        <f>195879.6+3652.39</f>
        <v>199531.99000000002</v>
      </c>
      <c r="H359" s="18">
        <f>5630.77+455531.11+516.09</f>
        <v>461677.97000000003</v>
      </c>
      <c r="I359" s="56">
        <f>SUM(F359:H359)</f>
        <v>833377.04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2531.33+10248.6</f>
        <v>12779.93</v>
      </c>
      <c r="G360" s="63">
        <f>11882.44+1557.74</f>
        <v>13440.18</v>
      </c>
      <c r="H360" s="63">
        <f>2401.52+33234.88</f>
        <v>35636.399999999994</v>
      </c>
      <c r="I360" s="56">
        <f>SUM(F360:H360)</f>
        <v>61856.509999999995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184947.01</v>
      </c>
      <c r="G361" s="47">
        <f>SUM(G359:G360)</f>
        <v>212972.17</v>
      </c>
      <c r="H361" s="47">
        <f>SUM(H359:H360)</f>
        <v>497314.37</v>
      </c>
      <c r="I361" s="47">
        <f>SUM(I359:I360)</f>
        <v>895233.55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702790.38</v>
      </c>
      <c r="I368" s="18"/>
      <c r="J368" s="18"/>
      <c r="K368" s="18"/>
      <c r="L368" s="13">
        <f t="shared" si="23"/>
        <v>702790.38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10698767.83-702790.38+2403879.49-84876</f>
        <v>12314980.939999999</v>
      </c>
      <c r="I370" s="18"/>
      <c r="J370" s="18">
        <v>84876</v>
      </c>
      <c r="K370" s="18"/>
      <c r="L370" s="13">
        <f t="shared" si="23"/>
        <v>12399856.939999999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52700</v>
      </c>
      <c r="L373" s="13">
        <f t="shared" si="23"/>
        <v>52700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13017771.32</v>
      </c>
      <c r="I374" s="41">
        <f t="shared" si="24"/>
        <v>0</v>
      </c>
      <c r="J374" s="47">
        <f t="shared" si="24"/>
        <v>84876</v>
      </c>
      <c r="K374" s="47">
        <f t="shared" si="24"/>
        <v>52700</v>
      </c>
      <c r="L374" s="47">
        <f t="shared" si="24"/>
        <v>13155347.32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14.73</v>
      </c>
      <c r="I381" s="18"/>
      <c r="J381" s="24" t="s">
        <v>312</v>
      </c>
      <c r="K381" s="24" t="s">
        <v>312</v>
      </c>
      <c r="L381" s="56">
        <f t="shared" si="25"/>
        <v>14.73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f>33.11+11.68</f>
        <v>44.79</v>
      </c>
      <c r="I384" s="18">
        <v>17253</v>
      </c>
      <c r="J384" s="24" t="s">
        <v>312</v>
      </c>
      <c r="K384" s="24" t="s">
        <v>312</v>
      </c>
      <c r="L384" s="56">
        <f t="shared" si="25"/>
        <v>17297.79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59.519999999999996</v>
      </c>
      <c r="I385" s="65">
        <f>SUM(I379:I384)</f>
        <v>17253</v>
      </c>
      <c r="J385" s="45" t="s">
        <v>312</v>
      </c>
      <c r="K385" s="45" t="s">
        <v>312</v>
      </c>
      <c r="L385" s="47">
        <f>SUM(L379:L384)</f>
        <v>17312.52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59.519999999999996</v>
      </c>
      <c r="I400" s="47">
        <f>I385+I393+I399</f>
        <v>17253</v>
      </c>
      <c r="J400" s="24" t="s">
        <v>312</v>
      </c>
      <c r="K400" s="24" t="s">
        <v>312</v>
      </c>
      <c r="L400" s="47">
        <f>L385+L393+L399</f>
        <v>17312.52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29543.52</v>
      </c>
      <c r="G432" s="18">
        <f>136355.04-29543.52</f>
        <v>106811.52</v>
      </c>
      <c r="H432" s="18"/>
      <c r="I432" s="56">
        <f t="shared" si="33"/>
        <v>136355.04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29543.52</v>
      </c>
      <c r="G438" s="13">
        <f>SUM(G431:G437)</f>
        <v>106811.52</v>
      </c>
      <c r="H438" s="13">
        <f>SUM(H431:H437)</f>
        <v>0</v>
      </c>
      <c r="I438" s="13">
        <f>SUM(I431:I437)</f>
        <v>136355.04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29543.52</v>
      </c>
      <c r="G449" s="18">
        <v>106811.52</v>
      </c>
      <c r="H449" s="18"/>
      <c r="I449" s="56">
        <f>SUM(F449:H449)</f>
        <v>136355.04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29543.52</v>
      </c>
      <c r="G450" s="83">
        <f>SUM(G446:G449)</f>
        <v>106811.52</v>
      </c>
      <c r="H450" s="83">
        <f>SUM(H446:H449)</f>
        <v>0</v>
      </c>
      <c r="I450" s="83">
        <f>SUM(I446:I449)</f>
        <v>136355.04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29543.52</v>
      </c>
      <c r="G451" s="42">
        <f>G444+G450</f>
        <v>106811.52</v>
      </c>
      <c r="H451" s="42">
        <f>H444+H450</f>
        <v>0</v>
      </c>
      <c r="I451" s="42">
        <f>I444+I450</f>
        <v>136355.04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1289986.9099999999</v>
      </c>
      <c r="G455" s="18">
        <v>367934.06</v>
      </c>
      <c r="H455" s="18">
        <v>167808.82</v>
      </c>
      <c r="I455" s="18"/>
      <c r="J455" s="18">
        <v>119042.52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51628119.880000003</v>
      </c>
      <c r="G458" s="18">
        <f>1808906.72-2502.95+28198.27</f>
        <v>1834602.04</v>
      </c>
      <c r="H458" s="18">
        <v>2356066.84</v>
      </c>
      <c r="I458" s="18">
        <f>7493840+55799.64-238.46</f>
        <v>7549401.1799999997</v>
      </c>
      <c r="J458" s="18">
        <f>17253+59.52</f>
        <v>17312.52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>
        <v>14506398.460000001</v>
      </c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51628119.880000003</v>
      </c>
      <c r="G460" s="53">
        <f>SUM(G458:G459)</f>
        <v>1834602.04</v>
      </c>
      <c r="H460" s="53">
        <f>SUM(H458:H459)</f>
        <v>2356066.84</v>
      </c>
      <c r="I460" s="53">
        <f>SUM(I458:I459)</f>
        <v>22055799.640000001</v>
      </c>
      <c r="J460" s="53">
        <f>SUM(J458:J459)</f>
        <v>17312.52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51642890.43</v>
      </c>
      <c r="G462" s="18">
        <v>1802979.74</v>
      </c>
      <c r="H462" s="18">
        <f>2343736.71+430.33</f>
        <v>2344167.04</v>
      </c>
      <c r="I462" s="18">
        <f>10751467.83+2403879.49</f>
        <v>13155347.32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51642890.43</v>
      </c>
      <c r="G464" s="53">
        <f>SUM(G462:G463)</f>
        <v>1802979.74</v>
      </c>
      <c r="H464" s="53">
        <f>SUM(H462:H463)</f>
        <v>2344167.04</v>
      </c>
      <c r="I464" s="53">
        <f>SUM(I462:I463)</f>
        <v>13155347.32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1275216.3599999994</v>
      </c>
      <c r="G466" s="53">
        <f>(G455+G460)- G464</f>
        <v>399556.3600000001</v>
      </c>
      <c r="H466" s="53">
        <f>(H455+H460)- H464</f>
        <v>179708.61999999965</v>
      </c>
      <c r="I466" s="53">
        <f>(I455+I460)- I464</f>
        <v>8900452.3200000003</v>
      </c>
      <c r="J466" s="53">
        <f>(J455+J460)- J464</f>
        <v>136355.04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895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16</v>
      </c>
      <c r="H480" s="154">
        <v>16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898</v>
      </c>
      <c r="H481" s="155" t="s">
        <v>899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900</v>
      </c>
      <c r="H482" s="155" t="s">
        <v>902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2565000</v>
      </c>
      <c r="G483" s="18">
        <v>14506160</v>
      </c>
      <c r="H483" s="18">
        <v>7493840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5.25</v>
      </c>
      <c r="G484" s="18" t="s">
        <v>901</v>
      </c>
      <c r="H484" s="18">
        <v>3.5110000000000001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1710000</v>
      </c>
      <c r="G485" s="18">
        <v>14506160</v>
      </c>
      <c r="H485" s="18">
        <v>7493840</v>
      </c>
      <c r="I485" s="18"/>
      <c r="J485" s="18"/>
      <c r="K485" s="53">
        <f>SUM(F485:J485)</f>
        <v>23710000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285000</v>
      </c>
      <c r="G487" s="18">
        <v>0</v>
      </c>
      <c r="H487" s="18">
        <v>0</v>
      </c>
      <c r="I487" s="18"/>
      <c r="J487" s="18"/>
      <c r="K487" s="53">
        <f t="shared" si="34"/>
        <v>285000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1425000</v>
      </c>
      <c r="G488" s="205">
        <v>14605160</v>
      </c>
      <c r="H488" s="205">
        <v>7493840</v>
      </c>
      <c r="I488" s="205"/>
      <c r="J488" s="205"/>
      <c r="K488" s="206">
        <f t="shared" si="34"/>
        <v>23524000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285733-86925</f>
        <v>198808</v>
      </c>
      <c r="G489" s="18">
        <v>0</v>
      </c>
      <c r="H489" s="18">
        <v>2732172.52</v>
      </c>
      <c r="I489" s="18"/>
      <c r="J489" s="18"/>
      <c r="K489" s="53">
        <f t="shared" si="34"/>
        <v>2930980.52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1623808</v>
      </c>
      <c r="G490" s="42">
        <f>SUM(G488:G489)</f>
        <v>14605160</v>
      </c>
      <c r="H490" s="42">
        <f>SUM(H488:H489)</f>
        <v>10226012.52</v>
      </c>
      <c r="I490" s="42">
        <f>SUM(I488:I489)</f>
        <v>0</v>
      </c>
      <c r="J490" s="42">
        <f>SUM(J488:J489)</f>
        <v>0</v>
      </c>
      <c r="K490" s="42">
        <f t="shared" si="34"/>
        <v>26454980.52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285000</v>
      </c>
      <c r="G491" s="205">
        <v>911160</v>
      </c>
      <c r="H491" s="205">
        <v>436000</v>
      </c>
      <c r="I491" s="205"/>
      <c r="J491" s="205"/>
      <c r="K491" s="206">
        <f t="shared" si="34"/>
        <v>1632160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39543.75+31706.25</f>
        <v>71250</v>
      </c>
      <c r="G492" s="18">
        <v>0</v>
      </c>
      <c r="H492" s="18">
        <f>147776.25+139056.25</f>
        <v>286832.5</v>
      </c>
      <c r="I492" s="18"/>
      <c r="J492" s="18"/>
      <c r="K492" s="53">
        <f t="shared" si="34"/>
        <v>358082.5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356250</v>
      </c>
      <c r="G493" s="42">
        <f>SUM(G491:G492)</f>
        <v>911160</v>
      </c>
      <c r="H493" s="42">
        <f>SUM(H491:H492)</f>
        <v>722832.5</v>
      </c>
      <c r="I493" s="42">
        <f>SUM(I491:I492)</f>
        <v>0</v>
      </c>
      <c r="J493" s="42">
        <f>SUM(J491:J492)</f>
        <v>0</v>
      </c>
      <c r="K493" s="42">
        <f t="shared" si="34"/>
        <v>1990242.5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F190+F269-F521</f>
        <v>2774749.98</v>
      </c>
      <c r="G511" s="18">
        <f t="shared" si="35"/>
        <v>546203.43810000003</v>
      </c>
      <c r="H511" s="18">
        <f t="shared" si="35"/>
        <v>930978.31</v>
      </c>
      <c r="I511" s="18">
        <f t="shared" si="35"/>
        <v>32189.72</v>
      </c>
      <c r="J511" s="18">
        <f t="shared" si="35"/>
        <v>33588.69</v>
      </c>
      <c r="K511" s="18">
        <f t="shared" si="35"/>
        <v>594.36</v>
      </c>
      <c r="L511" s="88">
        <f>SUM(F511:K511)</f>
        <v>4318304.4981000004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F208+F288-F522</f>
        <v>1175374.98</v>
      </c>
      <c r="G512" s="18">
        <f t="shared" si="36"/>
        <v>293100.3296</v>
      </c>
      <c r="H512" s="18">
        <f t="shared" si="36"/>
        <v>390013.7</v>
      </c>
      <c r="I512" s="18">
        <f t="shared" si="36"/>
        <v>9946.25</v>
      </c>
      <c r="J512" s="18">
        <f t="shared" si="36"/>
        <v>20669.96</v>
      </c>
      <c r="K512" s="18">
        <f t="shared" si="36"/>
        <v>365.76</v>
      </c>
      <c r="L512" s="88">
        <f>SUM(F512:K512)</f>
        <v>1889470.9796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F226+F307-F523</f>
        <v>1270633.0699999998</v>
      </c>
      <c r="G513" s="18">
        <f t="shared" si="37"/>
        <v>366471.04229999997</v>
      </c>
      <c r="H513" s="18">
        <f t="shared" si="37"/>
        <v>1823542.27</v>
      </c>
      <c r="I513" s="18">
        <f t="shared" si="37"/>
        <v>11723.55</v>
      </c>
      <c r="J513" s="18">
        <f t="shared" si="37"/>
        <v>31866.19</v>
      </c>
      <c r="K513" s="18">
        <f t="shared" si="37"/>
        <v>563.89</v>
      </c>
      <c r="L513" s="88">
        <f>SUM(F513:K513)</f>
        <v>3504800.0122999996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5220758.0299999993</v>
      </c>
      <c r="G514" s="108">
        <f t="shared" ref="G514:L514" si="38">SUM(G511:G513)</f>
        <v>1205774.81</v>
      </c>
      <c r="H514" s="108">
        <f t="shared" si="38"/>
        <v>3144534.2800000003</v>
      </c>
      <c r="I514" s="108">
        <f t="shared" si="38"/>
        <v>53859.520000000004</v>
      </c>
      <c r="J514" s="108">
        <f t="shared" si="38"/>
        <v>86124.84</v>
      </c>
      <c r="K514" s="108">
        <f t="shared" si="38"/>
        <v>1524.01</v>
      </c>
      <c r="L514" s="89">
        <f t="shared" si="38"/>
        <v>9712575.4900000002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407661.8</v>
      </c>
      <c r="G516" s="18">
        <f>F516*0.379</f>
        <v>154503.8222</v>
      </c>
      <c r="H516" s="18">
        <v>38939.94</v>
      </c>
      <c r="I516" s="18">
        <v>3092.89</v>
      </c>
      <c r="J516" s="18"/>
      <c r="K516" s="18"/>
      <c r="L516" s="88">
        <f>SUM(F516:K516)</f>
        <v>604198.45220000006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250868.8</v>
      </c>
      <c r="G517" s="18">
        <f>F517*0.379</f>
        <v>95079.275200000004</v>
      </c>
      <c r="H517" s="18">
        <v>23963.040000000001</v>
      </c>
      <c r="I517" s="18">
        <v>1903.32</v>
      </c>
      <c r="J517" s="18"/>
      <c r="K517" s="18"/>
      <c r="L517" s="88">
        <f>SUM(F517:K517)</f>
        <v>371814.43519999995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386756.06</v>
      </c>
      <c r="G518" s="18">
        <f>F518*0.379</f>
        <v>146580.54673999999</v>
      </c>
      <c r="H518" s="18">
        <v>36943.019999999997</v>
      </c>
      <c r="I518" s="18">
        <v>2934.28</v>
      </c>
      <c r="J518" s="18"/>
      <c r="K518" s="18"/>
      <c r="L518" s="88">
        <f>SUM(F518:K518)</f>
        <v>573213.90674000001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1045286.6599999999</v>
      </c>
      <c r="G519" s="89">
        <f t="shared" ref="G519:L519" si="39">SUM(G516:G518)</f>
        <v>396163.64413999999</v>
      </c>
      <c r="H519" s="89">
        <f t="shared" si="39"/>
        <v>99846</v>
      </c>
      <c r="I519" s="89">
        <f t="shared" si="39"/>
        <v>7930.49</v>
      </c>
      <c r="J519" s="89">
        <f t="shared" si="39"/>
        <v>0</v>
      </c>
      <c r="K519" s="89">
        <f t="shared" si="39"/>
        <v>0</v>
      </c>
      <c r="L519" s="89">
        <f t="shared" si="39"/>
        <v>1549226.7941399999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161450*0.39</f>
        <v>62965.5</v>
      </c>
      <c r="G521" s="18">
        <f>65974.21*0.39</f>
        <v>25729.941900000002</v>
      </c>
      <c r="H521" s="18"/>
      <c r="I521" s="18"/>
      <c r="J521" s="18"/>
      <c r="K521" s="18"/>
      <c r="L521" s="88">
        <f>SUM(F521:K521)</f>
        <v>88695.441900000005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161450*0.24</f>
        <v>38748</v>
      </c>
      <c r="G522" s="18">
        <f>65974.21*0.24</f>
        <v>15833.8104</v>
      </c>
      <c r="H522" s="18"/>
      <c r="I522" s="18"/>
      <c r="J522" s="18"/>
      <c r="K522" s="18"/>
      <c r="L522" s="88">
        <f>SUM(F522:K522)</f>
        <v>54581.810400000002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161450*0.37</f>
        <v>59736.5</v>
      </c>
      <c r="G523" s="18">
        <f>65974.21*0.37</f>
        <v>24410.457700000003</v>
      </c>
      <c r="H523" s="18"/>
      <c r="I523" s="18"/>
      <c r="J523" s="18"/>
      <c r="K523" s="18"/>
      <c r="L523" s="88">
        <f>SUM(F523:K523)</f>
        <v>84146.957699999999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161450</v>
      </c>
      <c r="G524" s="89">
        <f t="shared" ref="G524:L524" si="40">SUM(G521:G523)</f>
        <v>65974.210000000006</v>
      </c>
      <c r="H524" s="89">
        <f t="shared" si="40"/>
        <v>0</v>
      </c>
      <c r="I524" s="89">
        <f t="shared" si="40"/>
        <v>0</v>
      </c>
      <c r="J524" s="89">
        <f t="shared" si="40"/>
        <v>0</v>
      </c>
      <c r="K524" s="89">
        <f t="shared" si="40"/>
        <v>0</v>
      </c>
      <c r="L524" s="89">
        <f t="shared" si="40"/>
        <v>227424.21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15164.82</v>
      </c>
      <c r="I528" s="18"/>
      <c r="J528" s="18"/>
      <c r="K528" s="18"/>
      <c r="L528" s="88">
        <f>SUM(F528:K528)</f>
        <v>15164.82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15164.82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15164.82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326203.84999999998</v>
      </c>
      <c r="I531" s="18"/>
      <c r="J531" s="18"/>
      <c r="K531" s="18"/>
      <c r="L531" s="88">
        <f>SUM(F531:K531)</f>
        <v>326203.84999999998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200740.83</v>
      </c>
      <c r="I532" s="18"/>
      <c r="J532" s="18"/>
      <c r="K532" s="18"/>
      <c r="L532" s="88">
        <f>SUM(F532:K532)</f>
        <v>200740.83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309475.45</v>
      </c>
      <c r="I533" s="18"/>
      <c r="J533" s="18"/>
      <c r="K533" s="18"/>
      <c r="L533" s="88">
        <f>SUM(F533:K533)</f>
        <v>309475.45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836420.12999999989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836420.12999999989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6427494.6899999995</v>
      </c>
      <c r="G535" s="89">
        <f t="shared" ref="G535:L535" si="43">G514+G519+G524+G529+G534</f>
        <v>1667912.66414</v>
      </c>
      <c r="H535" s="89">
        <f t="shared" si="43"/>
        <v>4095965.23</v>
      </c>
      <c r="I535" s="89">
        <f t="shared" si="43"/>
        <v>61790.01</v>
      </c>
      <c r="J535" s="89">
        <f t="shared" si="43"/>
        <v>86124.84</v>
      </c>
      <c r="K535" s="89">
        <f t="shared" si="43"/>
        <v>1524.01</v>
      </c>
      <c r="L535" s="89">
        <f t="shared" si="43"/>
        <v>12340811.444140002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4318304.4981000004</v>
      </c>
      <c r="G539" s="87">
        <f>L516</f>
        <v>604198.45220000006</v>
      </c>
      <c r="H539" s="87">
        <f>L521</f>
        <v>88695.441900000005</v>
      </c>
      <c r="I539" s="87">
        <f>L526</f>
        <v>0</v>
      </c>
      <c r="J539" s="87">
        <f>L531</f>
        <v>326203.84999999998</v>
      </c>
      <c r="K539" s="87">
        <f>SUM(F539:J539)</f>
        <v>5337402.2422000002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1889470.9796</v>
      </c>
      <c r="G540" s="87">
        <f>L517</f>
        <v>371814.43519999995</v>
      </c>
      <c r="H540" s="87">
        <f>L522</f>
        <v>54581.810400000002</v>
      </c>
      <c r="I540" s="87">
        <f>L527</f>
        <v>0</v>
      </c>
      <c r="J540" s="87">
        <f>L532</f>
        <v>200740.83</v>
      </c>
      <c r="K540" s="87">
        <f>SUM(F540:J540)</f>
        <v>2516608.0551999998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3504800.0122999996</v>
      </c>
      <c r="G541" s="87">
        <f>L518</f>
        <v>573213.90674000001</v>
      </c>
      <c r="H541" s="87">
        <f>L523</f>
        <v>84146.957699999999</v>
      </c>
      <c r="I541" s="87">
        <f>L528</f>
        <v>15164.82</v>
      </c>
      <c r="J541" s="87">
        <f>L533</f>
        <v>309475.45</v>
      </c>
      <c r="K541" s="87">
        <f>SUM(F541:J541)</f>
        <v>4486801.1467399998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9712575.4900000002</v>
      </c>
      <c r="G542" s="89">
        <f t="shared" si="44"/>
        <v>1549226.7941399999</v>
      </c>
      <c r="H542" s="89">
        <f t="shared" si="44"/>
        <v>227424.21</v>
      </c>
      <c r="I542" s="89">
        <f t="shared" si="44"/>
        <v>15164.82</v>
      </c>
      <c r="J542" s="89">
        <f t="shared" si="44"/>
        <v>836420.12999999989</v>
      </c>
      <c r="K542" s="89">
        <f t="shared" si="44"/>
        <v>12340811.444139998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(131324.25+12585.16)*0.39</f>
        <v>56124.669900000001</v>
      </c>
      <c r="G552" s="18">
        <f>19411.04+1462.25*0.39</f>
        <v>19981.317500000001</v>
      </c>
      <c r="H552" s="18">
        <f>310*0.39</f>
        <v>120.9</v>
      </c>
      <c r="I552" s="18">
        <f>3180.01*0.39</f>
        <v>1240.2039000000002</v>
      </c>
      <c r="J552" s="18">
        <f>4299.4*0.39</f>
        <v>1676.7659999999998</v>
      </c>
      <c r="K552" s="18"/>
      <c r="L552" s="88">
        <f>SUM(F552:K552)</f>
        <v>79143.857299999989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(131324.25+12585.16)*0.24</f>
        <v>34538.258399999999</v>
      </c>
      <c r="G553" s="18">
        <f>11945.26+1462.25*0.24</f>
        <v>12296.2</v>
      </c>
      <c r="H553" s="18">
        <f>310*0.24</f>
        <v>74.399999999999991</v>
      </c>
      <c r="I553" s="18">
        <f>3180.01*0.24</f>
        <v>763.20240000000001</v>
      </c>
      <c r="J553" s="18">
        <f>4299.4*0.24</f>
        <v>1031.8559999999998</v>
      </c>
      <c r="K553" s="18"/>
      <c r="L553" s="88">
        <f>SUM(F553:K553)</f>
        <v>48703.916800000006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(131324.25+12585.16)*0.37</f>
        <v>53246.481700000004</v>
      </c>
      <c r="G554" s="18">
        <f>18415.6+1462.25*0.37</f>
        <v>18956.6325</v>
      </c>
      <c r="H554" s="18">
        <f>310*0.37</f>
        <v>114.7</v>
      </c>
      <c r="I554" s="18">
        <f>3180.01*0.37</f>
        <v>1176.6037000000001</v>
      </c>
      <c r="J554" s="18">
        <f>4299.4*0.37</f>
        <v>1590.7779999999998</v>
      </c>
      <c r="K554" s="18"/>
      <c r="L554" s="88">
        <f>SUM(F554:K554)</f>
        <v>75085.195900000021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143909.41</v>
      </c>
      <c r="G555" s="89">
        <f t="shared" si="46"/>
        <v>51234.15</v>
      </c>
      <c r="H555" s="89">
        <f t="shared" si="46"/>
        <v>310</v>
      </c>
      <c r="I555" s="89">
        <f t="shared" si="46"/>
        <v>3180.01</v>
      </c>
      <c r="J555" s="89">
        <f t="shared" si="46"/>
        <v>4299.3999999999996</v>
      </c>
      <c r="K555" s="89">
        <f t="shared" si="46"/>
        <v>0</v>
      </c>
      <c r="L555" s="89">
        <f t="shared" si="46"/>
        <v>202932.97000000003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143909.41</v>
      </c>
      <c r="G561" s="89">
        <f t="shared" ref="G561:L561" si="48">G550+G555+G560</f>
        <v>51234.15</v>
      </c>
      <c r="H561" s="89">
        <f t="shared" si="48"/>
        <v>310</v>
      </c>
      <c r="I561" s="89">
        <f t="shared" si="48"/>
        <v>3180.01</v>
      </c>
      <c r="J561" s="89">
        <f t="shared" si="48"/>
        <v>4299.3999999999996</v>
      </c>
      <c r="K561" s="89">
        <f t="shared" si="48"/>
        <v>0</v>
      </c>
      <c r="L561" s="89">
        <f t="shared" si="48"/>
        <v>202932.97000000003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57556.79</v>
      </c>
      <c r="G569" s="18">
        <v>70899.5</v>
      </c>
      <c r="H569" s="18"/>
      <c r="I569" s="87">
        <f t="shared" si="49"/>
        <v>128456.29000000001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730961.28059999994</v>
      </c>
      <c r="G572" s="18">
        <v>146011.03</v>
      </c>
      <c r="H572" s="18">
        <f>1070853.44+126861.62*0.37</f>
        <v>1117792.2393999998</v>
      </c>
      <c r="I572" s="87">
        <f t="shared" si="49"/>
        <v>1994764.5499999998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79887.98</v>
      </c>
      <c r="G573" s="18">
        <v>151189.10999999999</v>
      </c>
      <c r="H573" s="18">
        <v>535660.74</v>
      </c>
      <c r="I573" s="87">
        <f t="shared" si="49"/>
        <v>766737.83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9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7386.1</v>
      </c>
      <c r="I576" s="87">
        <f t="shared" si="49"/>
        <v>7386.1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606006.96</v>
      </c>
      <c r="I581" s="18">
        <v>372927.36</v>
      </c>
      <c r="J581" s="18">
        <v>574929.68000000005</v>
      </c>
      <c r="K581" s="104">
        <f t="shared" ref="K581:K587" si="50">SUM(H581:J581)</f>
        <v>1553864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326203.85</f>
        <v>326203.84999999998</v>
      </c>
      <c r="I582" s="18">
        <v>200740.83</v>
      </c>
      <c r="J582" s="18">
        <v>309475.45</v>
      </c>
      <c r="K582" s="104">
        <f t="shared" si="50"/>
        <v>836420.12999999989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8844.58</v>
      </c>
      <c r="K583" s="104">
        <f t="shared" si="50"/>
        <v>8844.58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6837.87</v>
      </c>
      <c r="J584" s="18">
        <v>56703.77</v>
      </c>
      <c r="K584" s="104">
        <f t="shared" si="50"/>
        <v>63541.64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960</v>
      </c>
      <c r="J585" s="18">
        <v>29626.26</v>
      </c>
      <c r="K585" s="104">
        <f t="shared" si="50"/>
        <v>30586.26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932210.80999999994</v>
      </c>
      <c r="I588" s="108">
        <f>SUM(I581:I587)</f>
        <v>581466.05999999994</v>
      </c>
      <c r="J588" s="108">
        <f>SUM(J581:J587)</f>
        <v>979579.74000000011</v>
      </c>
      <c r="K588" s="108">
        <f>SUM(K581:K587)</f>
        <v>2493256.61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222843.98</v>
      </c>
      <c r="I594" s="18">
        <v>132132.06</v>
      </c>
      <c r="J594" s="18">
        <v>395519.89</v>
      </c>
      <c r="K594" s="104">
        <f>SUM(H594:J594)</f>
        <v>750495.93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222843.98</v>
      </c>
      <c r="I595" s="108">
        <f>SUM(I592:I594)</f>
        <v>132132.06</v>
      </c>
      <c r="J595" s="108">
        <f>SUM(J592:J594)</f>
        <v>395519.89</v>
      </c>
      <c r="K595" s="108">
        <f>SUM(K592:K594)</f>
        <v>750495.93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34750*0.52</f>
        <v>18070</v>
      </c>
      <c r="G601" s="18">
        <f>F601*0.2</f>
        <v>3614</v>
      </c>
      <c r="H601" s="18"/>
      <c r="I601" s="18"/>
      <c r="J601" s="18"/>
      <c r="K601" s="18"/>
      <c r="L601" s="88">
        <f>SUM(F601:K601)</f>
        <v>21684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34750*0.12</f>
        <v>4170</v>
      </c>
      <c r="G602" s="18">
        <f>F602*0.2</f>
        <v>834</v>
      </c>
      <c r="H602" s="18"/>
      <c r="I602" s="18"/>
      <c r="J602" s="18"/>
      <c r="K602" s="18"/>
      <c r="L602" s="88">
        <f>SUM(F602:K602)</f>
        <v>5004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34750*0.36</f>
        <v>12510</v>
      </c>
      <c r="G603" s="18">
        <f>F603*0.2</f>
        <v>2502</v>
      </c>
      <c r="H603" s="18"/>
      <c r="I603" s="18"/>
      <c r="J603" s="18"/>
      <c r="K603" s="18"/>
      <c r="L603" s="88">
        <f>SUM(F603:K603)</f>
        <v>15012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34750</v>
      </c>
      <c r="G604" s="108">
        <f t="shared" si="51"/>
        <v>6950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41700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2425742.2799999998</v>
      </c>
      <c r="H607" s="109">
        <f>SUM(F44)</f>
        <v>2425742.2800000003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407433.1</v>
      </c>
      <c r="H608" s="109">
        <f>SUM(G44)</f>
        <v>407433.1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540280.85000000009</v>
      </c>
      <c r="H609" s="109">
        <f>SUM(H44)</f>
        <v>540280.85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11324409.23</v>
      </c>
      <c r="H610" s="109">
        <f>SUM(I44)</f>
        <v>11324409.23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136355.04</v>
      </c>
      <c r="H611" s="109">
        <f>SUM(J44)</f>
        <v>136355.04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1275216.3600000001</v>
      </c>
      <c r="H612" s="109">
        <f>F466</f>
        <v>1275216.3599999994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399556.36</v>
      </c>
      <c r="H613" s="109">
        <f>G466</f>
        <v>399556.3600000001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179708.62</v>
      </c>
      <c r="H614" s="109">
        <f>H466</f>
        <v>179708.61999999965</v>
      </c>
      <c r="I614" s="121" t="s">
        <v>110</v>
      </c>
      <c r="J614" s="109">
        <f t="shared" si="52"/>
        <v>3.4924596548080444E-10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8900452.3200000003</v>
      </c>
      <c r="H615" s="109">
        <f>I466</f>
        <v>8900452.3200000003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136355.04</v>
      </c>
      <c r="H616" s="109">
        <f>J466</f>
        <v>136355.04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51628119.880000003</v>
      </c>
      <c r="H617" s="104">
        <f>SUM(F458)</f>
        <v>51628119.880000003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1834602.04</v>
      </c>
      <c r="H618" s="104">
        <f>SUM(G458)</f>
        <v>1834602.04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2356066.84</v>
      </c>
      <c r="H619" s="104">
        <f>SUM(H458)</f>
        <v>2356066.84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7549401.1799999997</v>
      </c>
      <c r="H620" s="104">
        <f>SUM(I458)</f>
        <v>7549401.1799999997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17312.52</v>
      </c>
      <c r="H621" s="104">
        <f>SUM(J458)</f>
        <v>17312.52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51642890.43</v>
      </c>
      <c r="H622" s="104">
        <f>SUM(F462)</f>
        <v>51642890.43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2344167.04</v>
      </c>
      <c r="H623" s="104">
        <f>SUM(H462)</f>
        <v>2344167.04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895233.55</v>
      </c>
      <c r="H624" s="104">
        <f>I361</f>
        <v>895233.55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1802979.7399999998</v>
      </c>
      <c r="H625" s="104">
        <f>SUM(G462)</f>
        <v>1802979.74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13155347.32</v>
      </c>
      <c r="H626" s="104">
        <f>SUM(I462)</f>
        <v>13155347.32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17312.52</v>
      </c>
      <c r="H627" s="164">
        <f>SUM(J458)</f>
        <v>17312.52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29543.52</v>
      </c>
      <c r="H629" s="104">
        <f>SUM(F451)</f>
        <v>29543.52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106811.52</v>
      </c>
      <c r="H630" s="104">
        <f>SUM(G451)</f>
        <v>106811.52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136355.04</v>
      </c>
      <c r="H632" s="104">
        <f>SUM(I451)</f>
        <v>136355.04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59.52</v>
      </c>
      <c r="H634" s="104">
        <f>H400</f>
        <v>59.519999999999996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17312.52</v>
      </c>
      <c r="H636" s="104">
        <f>L400</f>
        <v>17312.52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2493256.61</v>
      </c>
      <c r="H637" s="104">
        <f>L200+L218+L236</f>
        <v>2493256.6100000003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750495.93</v>
      </c>
      <c r="H638" s="104">
        <f>(J249+J330)-(J247+J328)</f>
        <v>750495.93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932210.81</v>
      </c>
      <c r="H639" s="104">
        <f>H588</f>
        <v>932210.80999999994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581466.06000000006</v>
      </c>
      <c r="H640" s="104">
        <f>I588</f>
        <v>581466.05999999994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979579.74</v>
      </c>
      <c r="H641" s="104">
        <f>J588</f>
        <v>979579.74000000011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8059.8</v>
      </c>
      <c r="H642" s="104">
        <f>K255+K337</f>
        <v>8059.8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21077152.449999999</v>
      </c>
      <c r="G650" s="19">
        <f>(L221+L301+L351)</f>
        <v>10900252.050000001</v>
      </c>
      <c r="H650" s="19">
        <f>(L239+L320+L352)</f>
        <v>22318404.119999994</v>
      </c>
      <c r="I650" s="19">
        <f>SUM(F650:H650)</f>
        <v>54295808.61999999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407341.30772955436</v>
      </c>
      <c r="G651" s="19">
        <f>(L351/IF(SUM(L350:L352)=0,1,SUM(L350:L352))*(SUM(G89:G102)))</f>
        <v>311009.26438992581</v>
      </c>
      <c r="H651" s="19">
        <f>(L352/IF(SUM(L350:L352)=0,1,SUM(L350:L352))*(SUM(G89:G102)))</f>
        <v>650547.73788052006</v>
      </c>
      <c r="I651" s="19">
        <f>SUM(F651:H651)</f>
        <v>1368898.3100000003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935630.81</v>
      </c>
      <c r="G652" s="19">
        <f>(L218+L298)-(J218+J298)</f>
        <v>581466.06000000006</v>
      </c>
      <c r="H652" s="19">
        <f>(L236+L317)-(J236+J317)</f>
        <v>979579.74</v>
      </c>
      <c r="I652" s="19">
        <f>SUM(F652:H652)</f>
        <v>2496676.6100000003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1112934.0305999999</v>
      </c>
      <c r="G653" s="200">
        <f>SUM(G565:G577)+SUM(I592:I594)+L602</f>
        <v>505235.7</v>
      </c>
      <c r="H653" s="200">
        <f>SUM(H565:H577)+SUM(J592:J594)+L603</f>
        <v>2071370.9693999998</v>
      </c>
      <c r="I653" s="19">
        <f>SUM(F653:H653)</f>
        <v>3689540.6999999997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18621246.301670447</v>
      </c>
      <c r="G654" s="19">
        <f>G650-SUM(G651:G653)</f>
        <v>9502541.0256100744</v>
      </c>
      <c r="H654" s="19">
        <f>H650-SUM(H651:H653)</f>
        <v>18616905.672719475</v>
      </c>
      <c r="I654" s="19">
        <f>I650-SUM(I651:I653)</f>
        <v>46740692.999999985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1703.45</v>
      </c>
      <c r="G655" s="249">
        <v>1095.96</v>
      </c>
      <c r="H655" s="249">
        <v>1659.86</v>
      </c>
      <c r="I655" s="19">
        <f>SUM(F655:H655)</f>
        <v>4459.2699999999995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10931.49</v>
      </c>
      <c r="G657" s="19">
        <f>ROUND(G654/G655,2)</f>
        <v>8670.52</v>
      </c>
      <c r="H657" s="19">
        <f>ROUND(H654/H655,2)</f>
        <v>11215.95</v>
      </c>
      <c r="I657" s="19">
        <f>ROUND(I654/I655,2)</f>
        <v>10481.69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23.48</v>
      </c>
      <c r="I660" s="19">
        <f>SUM(F660:H660)</f>
        <v>23.48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10931.49</v>
      </c>
      <c r="G662" s="19">
        <f>ROUND((G654+G659)/(G655+G660),2)</f>
        <v>8670.52</v>
      </c>
      <c r="H662" s="19">
        <f>ROUND((H654+H659)/(H655+H660),2)</f>
        <v>11059.5</v>
      </c>
      <c r="I662" s="19">
        <f>ROUND((I654+I659)/(I655+I660),2)</f>
        <v>10426.790000000001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5894-E10D-4032-A2FF-0CB6A305E740}">
  <sheetPr>
    <tabColor indexed="20"/>
  </sheetPr>
  <dimension ref="A1:C52"/>
  <sheetViews>
    <sheetView topLeftCell="A26" workbookViewId="0">
      <selection activeCell="C44" sqref="C4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Salem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16429793.129999999</v>
      </c>
      <c r="C9" s="230">
        <f>'DOE25'!G189+'DOE25'!G207+'DOE25'!G225+'DOE25'!G268+'DOE25'!G287+'DOE25'!G306</f>
        <v>6019311.4700000007</v>
      </c>
    </row>
    <row r="10" spans="1:3" x14ac:dyDescent="0.2">
      <c r="A10" t="s">
        <v>810</v>
      </c>
      <c r="B10" s="241">
        <v>15213275.09</v>
      </c>
      <c r="C10" s="241">
        <v>5700398.2400000002</v>
      </c>
    </row>
    <row r="11" spans="1:3" x14ac:dyDescent="0.2">
      <c r="A11" t="s">
        <v>811</v>
      </c>
      <c r="B11" s="241">
        <v>270494.62</v>
      </c>
      <c r="C11" s="241">
        <v>20926.93</v>
      </c>
    </row>
    <row r="12" spans="1:3" x14ac:dyDescent="0.2">
      <c r="A12" t="s">
        <v>812</v>
      </c>
      <c r="B12" s="241">
        <v>946023.42</v>
      </c>
      <c r="C12" s="241">
        <v>297986.3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16429793.129999999</v>
      </c>
      <c r="C13" s="232">
        <f>SUM(C10:C12)</f>
        <v>6019311.4699999997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5382208.0299999993</v>
      </c>
      <c r="C18" s="230">
        <f>'DOE25'!G190+'DOE25'!G208+'DOE25'!G226+'DOE25'!G269+'DOE25'!G288+'DOE25'!G307</f>
        <v>1271749.0199999998</v>
      </c>
    </row>
    <row r="19" spans="1:3" x14ac:dyDescent="0.2">
      <c r="A19" t="s">
        <v>810</v>
      </c>
      <c r="B19" s="241">
        <v>2182544.15</v>
      </c>
      <c r="C19" s="241">
        <v>815670.52</v>
      </c>
    </row>
    <row r="20" spans="1:3" x14ac:dyDescent="0.2">
      <c r="A20" t="s">
        <v>811</v>
      </c>
      <c r="B20" s="241">
        <v>2308238.09</v>
      </c>
      <c r="C20" s="241">
        <v>181769.09</v>
      </c>
    </row>
    <row r="21" spans="1:3" x14ac:dyDescent="0.2">
      <c r="A21" t="s">
        <v>812</v>
      </c>
      <c r="B21" s="241">
        <v>891425.79</v>
      </c>
      <c r="C21" s="241">
        <v>274309.40999999997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5382208.0300000003</v>
      </c>
      <c r="C22" s="232">
        <f>SUM(C19:C21)</f>
        <v>1271749.02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1146850.47</v>
      </c>
      <c r="C27" s="235">
        <f>'DOE25'!G191+'DOE25'!G209+'DOE25'!G227+'DOE25'!G270+'DOE25'!G289+'DOE25'!G308</f>
        <v>400617.57</v>
      </c>
    </row>
    <row r="28" spans="1:3" x14ac:dyDescent="0.2">
      <c r="A28" t="s">
        <v>810</v>
      </c>
      <c r="B28" s="241">
        <v>859788.77</v>
      </c>
      <c r="C28" s="241">
        <v>325920.12</v>
      </c>
    </row>
    <row r="29" spans="1:3" x14ac:dyDescent="0.2">
      <c r="A29" t="s">
        <v>811</v>
      </c>
      <c r="B29" s="241">
        <v>93768.06</v>
      </c>
      <c r="C29" s="241">
        <v>7320.49</v>
      </c>
    </row>
    <row r="30" spans="1:3" x14ac:dyDescent="0.2">
      <c r="A30" t="s">
        <v>812</v>
      </c>
      <c r="B30" s="241">
        <f>1146850.47-953556.83</f>
        <v>193293.64</v>
      </c>
      <c r="C30" s="241">
        <v>67376.960000000006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1146850.4700000002</v>
      </c>
      <c r="C31" s="232">
        <f>SUM(C28:C30)</f>
        <v>400617.57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508207.53</v>
      </c>
      <c r="C36" s="236">
        <f>'DOE25'!G192+'DOE25'!G210+'DOE25'!G228+'DOE25'!G271+'DOE25'!G290+'DOE25'!G309</f>
        <v>105407.11</v>
      </c>
    </row>
    <row r="37" spans="1:3" x14ac:dyDescent="0.2">
      <c r="A37" t="s">
        <v>810</v>
      </c>
      <c r="B37" s="241">
        <v>116193</v>
      </c>
      <c r="C37" s="241">
        <v>44045.31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392014.53</v>
      </c>
      <c r="C39" s="241">
        <v>61361.8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508207.53</v>
      </c>
      <c r="C40" s="232">
        <f>SUM(C37:C39)</f>
        <v>105407.11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93C7-47AE-4311-AB2E-35AA77E020D2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Salem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34349722.980000004</v>
      </c>
      <c r="D5" s="20">
        <f>SUM('DOE25'!L189:L192)+SUM('DOE25'!L207:L210)+SUM('DOE25'!L225:L228)-F5-G5</f>
        <v>34185330.210000008</v>
      </c>
      <c r="E5" s="244"/>
      <c r="F5" s="256">
        <f>SUM('DOE25'!J189:J192)+SUM('DOE25'!J207:J210)+SUM('DOE25'!J225:J228)</f>
        <v>148495.76</v>
      </c>
      <c r="G5" s="53">
        <f>SUM('DOE25'!K189:K192)+SUM('DOE25'!K207:K210)+SUM('DOE25'!K225:K228)</f>
        <v>15897.009999999998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3545297.1900000004</v>
      </c>
      <c r="D6" s="20">
        <f>'DOE25'!L194+'DOE25'!L212+'DOE25'!L230-F6-G6</f>
        <v>3544587.1900000004</v>
      </c>
      <c r="E6" s="244"/>
      <c r="F6" s="256">
        <f>'DOE25'!J194+'DOE25'!J212+'DOE25'!J230</f>
        <v>0</v>
      </c>
      <c r="G6" s="53">
        <f>'DOE25'!K194+'DOE25'!K212+'DOE25'!K230</f>
        <v>710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2009453.26</v>
      </c>
      <c r="D7" s="20">
        <f>'DOE25'!L195+'DOE25'!L213+'DOE25'!L231-F7-G7</f>
        <v>1684923.53</v>
      </c>
      <c r="E7" s="244"/>
      <c r="F7" s="256">
        <f>'DOE25'!J195+'DOE25'!J213+'DOE25'!J231</f>
        <v>324440.73</v>
      </c>
      <c r="G7" s="53">
        <f>'DOE25'!K195+'DOE25'!K213+'DOE25'!K231</f>
        <v>89</v>
      </c>
      <c r="H7" s="260"/>
    </row>
    <row r="8" spans="1:9" x14ac:dyDescent="0.2">
      <c r="A8" s="32">
        <v>2300</v>
      </c>
      <c r="B8" t="s">
        <v>833</v>
      </c>
      <c r="C8" s="246">
        <f t="shared" si="0"/>
        <v>399619.66000000003</v>
      </c>
      <c r="D8" s="244"/>
      <c r="E8" s="20">
        <f>'DOE25'!L196+'DOE25'!L214+'DOE25'!L232-F8-G8-D9-D11</f>
        <v>389892.9</v>
      </c>
      <c r="F8" s="256">
        <f>'DOE25'!J196+'DOE25'!J214+'DOE25'!J232</f>
        <v>0</v>
      </c>
      <c r="G8" s="53">
        <f>'DOE25'!K196+'DOE25'!K214+'DOE25'!K232</f>
        <v>9726.76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19756.07</v>
      </c>
      <c r="D9" s="245">
        <v>19756.07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18436.45</v>
      </c>
      <c r="D10" s="244"/>
      <c r="E10" s="245">
        <v>18436.45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362831.12</v>
      </c>
      <c r="D11" s="245">
        <v>362831.12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2622491.15</v>
      </c>
      <c r="D12" s="20">
        <f>'DOE25'!L197+'DOE25'!L215+'DOE25'!L233-F12-G12</f>
        <v>2615182.15</v>
      </c>
      <c r="E12" s="244"/>
      <c r="F12" s="256">
        <f>'DOE25'!J197+'DOE25'!J215+'DOE25'!J233</f>
        <v>0</v>
      </c>
      <c r="G12" s="53">
        <f>'DOE25'!K197+'DOE25'!K215+'DOE25'!K233</f>
        <v>7309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310698.38</v>
      </c>
      <c r="D13" s="244"/>
      <c r="E13" s="20">
        <f>'DOE25'!L198+'DOE25'!L216+'DOE25'!L234-F13-G13</f>
        <v>310698.38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4082149.62</v>
      </c>
      <c r="D14" s="20">
        <f>'DOE25'!L199+'DOE25'!L217+'DOE25'!L235-F14-G14</f>
        <v>4032562.75</v>
      </c>
      <c r="E14" s="244"/>
      <c r="F14" s="256">
        <f>'DOE25'!J199+'DOE25'!J217+'DOE25'!J235</f>
        <v>49586.87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2493256.6100000003</v>
      </c>
      <c r="D15" s="20">
        <f>'DOE25'!L200+'DOE25'!L218+'DOE25'!L236-F15-G15</f>
        <v>2493256.6100000003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130969.86</v>
      </c>
      <c r="D16" s="244"/>
      <c r="E16" s="20">
        <f>'DOE25'!L201+'DOE25'!L219+'DOE25'!L237-F16-G16</f>
        <v>130969.86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202875.68</v>
      </c>
      <c r="D17" s="20">
        <f>'DOE25'!L243-F17-G17</f>
        <v>202875.68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567125.28</v>
      </c>
      <c r="D22" s="244"/>
      <c r="E22" s="244"/>
      <c r="F22" s="256">
        <f>'DOE25'!L247+'DOE25'!L328</f>
        <v>567125.28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538583.77</v>
      </c>
      <c r="D25" s="244"/>
      <c r="E25" s="244"/>
      <c r="F25" s="259"/>
      <c r="G25" s="257"/>
      <c r="H25" s="258">
        <f>'DOE25'!L252+'DOE25'!L253+'DOE25'!L333+'DOE25'!L334</f>
        <v>538583.77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969602.69999999972</v>
      </c>
      <c r="D29" s="20">
        <f>'DOE25'!L350+'DOE25'!L351+'DOE25'!L352-'DOE25'!I359-F29-G29</f>
        <v>949535.58999999973</v>
      </c>
      <c r="E29" s="244"/>
      <c r="F29" s="256">
        <f>'DOE25'!J350+'DOE25'!J351+'DOE25'!J352</f>
        <v>20067.11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2331236.0900000003</v>
      </c>
      <c r="D31" s="20">
        <f>'DOE25'!L282+'DOE25'!L301+'DOE25'!L320+'DOE25'!L325+'DOE25'!L326+'DOE25'!L327-F31-G31</f>
        <v>2091314.11</v>
      </c>
      <c r="E31" s="244"/>
      <c r="F31" s="256">
        <f>'DOE25'!J282+'DOE25'!J301+'DOE25'!J320+'DOE25'!J325+'DOE25'!J326+'DOE25'!J327</f>
        <v>227972.57</v>
      </c>
      <c r="G31" s="53">
        <f>'DOE25'!K282+'DOE25'!K301+'DOE25'!K320+'DOE25'!K325+'DOE25'!K326+'DOE25'!K327</f>
        <v>11949.41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52182155.009999998</v>
      </c>
      <c r="E33" s="247">
        <f>SUM(E5:E31)</f>
        <v>849997.59</v>
      </c>
      <c r="F33" s="247">
        <f>SUM(F5:F31)</f>
        <v>1337688.3200000003</v>
      </c>
      <c r="G33" s="247">
        <f>SUM(G5:G31)</f>
        <v>45681.179999999993</v>
      </c>
      <c r="H33" s="247">
        <f>SUM(H5:H31)</f>
        <v>538583.77</v>
      </c>
    </row>
    <row r="35" spans="2:8" ht="12" thickBot="1" x14ac:dyDescent="0.25">
      <c r="B35" s="254" t="s">
        <v>878</v>
      </c>
      <c r="D35" s="255">
        <f>E33</f>
        <v>849997.59</v>
      </c>
      <c r="E35" s="250"/>
    </row>
    <row r="36" spans="2:8" ht="12" thickTop="1" x14ac:dyDescent="0.2">
      <c r="B36" t="s">
        <v>846</v>
      </c>
      <c r="D36" s="20">
        <f>D33</f>
        <v>52182155.009999998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A2DC-756B-4DB7-9714-F39AA0A0D448}">
  <sheetPr transitionEvaluation="1" codeName="Sheet2">
    <tabColor indexed="10"/>
  </sheetPr>
  <dimension ref="A1:I156"/>
  <sheetViews>
    <sheetView zoomScale="75" workbookViewId="0">
      <pane ySplit="2" topLeftCell="A141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1954120.43</v>
      </c>
      <c r="D9" s="95">
        <f>'DOE25'!G9</f>
        <v>67281.48</v>
      </c>
      <c r="E9" s="95">
        <f>'DOE25'!H9</f>
        <v>0</v>
      </c>
      <c r="F9" s="95">
        <f>'DOE25'!I9</f>
        <v>11320889.23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136355.04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341519.26</v>
      </c>
      <c r="D12" s="95">
        <f>'DOE25'!G12</f>
        <v>311953.34999999998</v>
      </c>
      <c r="E12" s="95">
        <f>'DOE25'!H12</f>
        <v>140123.62</v>
      </c>
      <c r="F12" s="95">
        <f>'DOE25'!I12</f>
        <v>3520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116946.55</v>
      </c>
      <c r="D13" s="95">
        <f>'DOE25'!G13</f>
        <v>28198.27</v>
      </c>
      <c r="E13" s="95">
        <f>'DOE25'!H13</f>
        <v>400157.23000000004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13156.04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2425742.2799999998</v>
      </c>
      <c r="D19" s="41">
        <f>SUM(D9:D18)</f>
        <v>407433.1</v>
      </c>
      <c r="E19" s="41">
        <f>SUM(E9:E18)</f>
        <v>540280.85000000009</v>
      </c>
      <c r="F19" s="41">
        <f>SUM(F9:F18)</f>
        <v>11324409.23</v>
      </c>
      <c r="G19" s="41">
        <f>SUM(G9:G18)</f>
        <v>136355.04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455596.97</v>
      </c>
      <c r="D22" s="95">
        <f>'DOE25'!G23</f>
        <v>0</v>
      </c>
      <c r="E22" s="95">
        <f>'DOE25'!H23</f>
        <v>341519.26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11001.369999999999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626693.88</v>
      </c>
      <c r="D24" s="95">
        <f>'DOE25'!G25</f>
        <v>7229.72</v>
      </c>
      <c r="E24" s="95">
        <f>'DOE25'!H25</f>
        <v>8051.6</v>
      </c>
      <c r="F24" s="95">
        <f>'DOE25'!I25</f>
        <v>2423956.91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68235.070000000007</v>
      </c>
      <c r="D29" s="95">
        <f>'DOE25'!G30</f>
        <v>647.02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1150525.9200000002</v>
      </c>
      <c r="D32" s="41">
        <f>SUM(D22:D31)</f>
        <v>7876.74</v>
      </c>
      <c r="E32" s="41">
        <f>SUM(E22:E31)</f>
        <v>360572.23</v>
      </c>
      <c r="F32" s="41">
        <f>SUM(F22:F31)</f>
        <v>2423956.91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170445.44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79563.53</v>
      </c>
      <c r="D40" s="95">
        <f>'DOE25'!G41</f>
        <v>399556.36</v>
      </c>
      <c r="E40" s="95">
        <f>'DOE25'!H41</f>
        <v>179708.62</v>
      </c>
      <c r="F40" s="95">
        <f>'DOE25'!I41</f>
        <v>8900452.3200000003</v>
      </c>
      <c r="G40" s="95">
        <f>'DOE25'!J41</f>
        <v>136355.04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1025207.39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1275216.3600000001</v>
      </c>
      <c r="D42" s="41">
        <f>SUM(D34:D41)</f>
        <v>399556.36</v>
      </c>
      <c r="E42" s="41">
        <f>SUM(E34:E41)</f>
        <v>179708.62</v>
      </c>
      <c r="F42" s="41">
        <f>SUM(F34:F41)</f>
        <v>8900452.3200000003</v>
      </c>
      <c r="G42" s="41">
        <f>SUM(G34:G41)</f>
        <v>136355.04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2425742.2800000003</v>
      </c>
      <c r="D43" s="41">
        <f>D42+D32</f>
        <v>407433.1</v>
      </c>
      <c r="E43" s="41">
        <f>E42+E32</f>
        <v>540280.85</v>
      </c>
      <c r="F43" s="41">
        <f>F42+F32</f>
        <v>11324409.23</v>
      </c>
      <c r="G43" s="41">
        <f>G42+G32</f>
        <v>136355.04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31291622.77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2074599.0799999998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3564.91</v>
      </c>
      <c r="D51" s="95">
        <f>'DOE25'!G88</f>
        <v>787.9</v>
      </c>
      <c r="E51" s="95">
        <f>'DOE25'!H88</f>
        <v>0</v>
      </c>
      <c r="F51" s="95">
        <f>'DOE25'!I88</f>
        <v>55561.18</v>
      </c>
      <c r="G51" s="95">
        <f>'DOE25'!J88</f>
        <v>59.52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1368898.31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124083.56000000001</v>
      </c>
      <c r="D53" s="95">
        <f>SUM('DOE25'!G90:G102)</f>
        <v>0</v>
      </c>
      <c r="E53" s="95">
        <f>SUM('DOE25'!H90:H102)</f>
        <v>42527.31</v>
      </c>
      <c r="F53" s="95">
        <f>SUM('DOE25'!I90:I102)</f>
        <v>0</v>
      </c>
      <c r="G53" s="95">
        <f>SUM('DOE25'!J90:J102)</f>
        <v>17253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2202247.5499999998</v>
      </c>
      <c r="D54" s="130">
        <f>SUM(D49:D53)</f>
        <v>1369686.21</v>
      </c>
      <c r="E54" s="130">
        <f>SUM(E49:E53)</f>
        <v>42527.31</v>
      </c>
      <c r="F54" s="130">
        <f>SUM(F49:F53)</f>
        <v>55561.18</v>
      </c>
      <c r="G54" s="130">
        <f>SUM(G49:G53)</f>
        <v>17312.52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33493870.32</v>
      </c>
      <c r="D55" s="22">
        <f>D48+D54</f>
        <v>1369686.21</v>
      </c>
      <c r="E55" s="22">
        <f>E48+E54</f>
        <v>42527.31</v>
      </c>
      <c r="F55" s="22">
        <f>F48+F54</f>
        <v>55561.18</v>
      </c>
      <c r="G55" s="22">
        <f>G48+G54</f>
        <v>17312.52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5131215.2699999996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10102755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186107.73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15420078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146458.32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137437.65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395025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1318841.74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108979.19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30750</v>
      </c>
      <c r="D69" s="95">
        <f>SUM('DOE25'!G123:G127)</f>
        <v>28198.27</v>
      </c>
      <c r="E69" s="95">
        <f>SUM('DOE25'!H123:H127)</f>
        <v>7183.92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2137491.9</v>
      </c>
      <c r="D70" s="130">
        <f>SUM(D64:D69)</f>
        <v>28198.27</v>
      </c>
      <c r="E70" s="130">
        <f>SUM(E64:E69)</f>
        <v>7183.92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17557569.899999999</v>
      </c>
      <c r="D73" s="130">
        <f>SUM(D71:D72)+D70+D62</f>
        <v>28198.27</v>
      </c>
      <c r="E73" s="130">
        <f>SUM(E71:E72)+E70+E62</f>
        <v>7183.92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59296.58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451752.13</v>
      </c>
      <c r="D80" s="95">
        <f>SUM('DOE25'!G145:G153)</f>
        <v>428657.76</v>
      </c>
      <c r="E80" s="95">
        <f>SUM('DOE25'!H145:H153)</f>
        <v>2306355.61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511048.71</v>
      </c>
      <c r="D83" s="131">
        <f>SUM(D77:D82)</f>
        <v>428657.76</v>
      </c>
      <c r="E83" s="131">
        <f>SUM(E77:E82)</f>
        <v>2306355.61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7493840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8059.8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12930.95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52700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65630.95</v>
      </c>
      <c r="D95" s="86">
        <f>SUM(D85:D94)</f>
        <v>8059.8</v>
      </c>
      <c r="E95" s="86">
        <f>SUM(E85:E94)</f>
        <v>0</v>
      </c>
      <c r="F95" s="86">
        <f>SUM(F85:F94)</f>
        <v>7493840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51628119.880000003</v>
      </c>
      <c r="D96" s="86">
        <f>D55+D73+D83+D95</f>
        <v>1834602.04</v>
      </c>
      <c r="E96" s="86">
        <f>E55+E73+E83+E95</f>
        <v>2356066.84</v>
      </c>
      <c r="F96" s="86">
        <f>F55+F73+F83+F95</f>
        <v>7549401.1799999997</v>
      </c>
      <c r="G96" s="86">
        <f>G55+G73+G95</f>
        <v>17312.52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22955409.939999998</v>
      </c>
      <c r="D101" s="24" t="s">
        <v>312</v>
      </c>
      <c r="E101" s="95">
        <f>('DOE25'!L268)+('DOE25'!L287)+('DOE25'!L306)</f>
        <v>377730.45999999996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8929079.1899999995</v>
      </c>
      <c r="D102" s="24" t="s">
        <v>312</v>
      </c>
      <c r="E102" s="95">
        <f>('DOE25'!L269)+('DOE25'!L288)+('DOE25'!L307)</f>
        <v>1010920.51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1627870.84</v>
      </c>
      <c r="D103" s="24" t="s">
        <v>312</v>
      </c>
      <c r="E103" s="95">
        <f>('DOE25'!L270)+('DOE25'!L289)+('DOE25'!L308)</f>
        <v>181563.23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837363.00999999989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202875.68</v>
      </c>
      <c r="D106" s="24" t="s">
        <v>312</v>
      </c>
      <c r="E106" s="95">
        <f>+ SUM('DOE25'!L325:L327)</f>
        <v>164653.11000000002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34552598.659999996</v>
      </c>
      <c r="D107" s="86">
        <f>SUM(D101:D106)</f>
        <v>0</v>
      </c>
      <c r="E107" s="86">
        <f>SUM(E101:E106)</f>
        <v>1734867.31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3545297.1900000004</v>
      </c>
      <c r="D110" s="24" t="s">
        <v>312</v>
      </c>
      <c r="E110" s="95">
        <f>+('DOE25'!L273)+('DOE25'!L292)+('DOE25'!L311)</f>
        <v>315402.2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2009453.26</v>
      </c>
      <c r="D111" s="24" t="s">
        <v>312</v>
      </c>
      <c r="E111" s="95">
        <f>+('DOE25'!L274)+('DOE25'!L293)+('DOE25'!L312)</f>
        <v>258841.58000000002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782206.85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2622491.15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310698.38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4082149.62</v>
      </c>
      <c r="D115" s="24" t="s">
        <v>312</v>
      </c>
      <c r="E115" s="95">
        <f>+('DOE25'!L278)+('DOE25'!L297)+('DOE25'!L316)</f>
        <v>18705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2493256.6100000003</v>
      </c>
      <c r="D116" s="24" t="s">
        <v>312</v>
      </c>
      <c r="E116" s="95">
        <f>+('DOE25'!L279)+('DOE25'!L298)+('DOE25'!L317)</f>
        <v>3420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130969.86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1802979.7399999998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15976522.919999998</v>
      </c>
      <c r="D120" s="86">
        <f>SUM(D110:D119)</f>
        <v>1802979.7399999998</v>
      </c>
      <c r="E120" s="86">
        <f>SUM(E110:E119)</f>
        <v>596368.78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567125.28</v>
      </c>
      <c r="D122" s="24" t="s">
        <v>312</v>
      </c>
      <c r="E122" s="129">
        <f>'DOE25'!L328</f>
        <v>0</v>
      </c>
      <c r="F122" s="129">
        <f>SUM('DOE25'!L366:'DOE25'!L372)</f>
        <v>13102647.32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253583.77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12930.95</v>
      </c>
      <c r="F126" s="95">
        <f>'DOE25'!K373</f>
        <v>52700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8059.8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17312.52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-17312.52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1113768.8500000001</v>
      </c>
      <c r="D136" s="141">
        <f>SUM(D122:D135)</f>
        <v>0</v>
      </c>
      <c r="E136" s="141">
        <f>SUM(E122:E135)</f>
        <v>12930.95</v>
      </c>
      <c r="F136" s="141">
        <f>SUM(F122:F135)</f>
        <v>13155347.32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51642890.43</v>
      </c>
      <c r="D137" s="86">
        <f>(D107+D120+D136)</f>
        <v>1802979.7399999998</v>
      </c>
      <c r="E137" s="86">
        <f>(E107+E120+E136)</f>
        <v>2344167.04</v>
      </c>
      <c r="F137" s="86">
        <f>(F107+F120+F136)</f>
        <v>13155347.32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16</v>
      </c>
      <c r="D143" s="153">
        <f>'DOE25'!H480</f>
        <v>16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7/95</v>
      </c>
      <c r="C144" s="152" t="str">
        <f>'DOE25'!G481</f>
        <v>6/10</v>
      </c>
      <c r="D144" s="152" t="str">
        <f>'DOE25'!H481</f>
        <v>7/10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</v>
      </c>
      <c r="C145" s="152" t="str">
        <f>'DOE25'!G482</f>
        <v>9/26</v>
      </c>
      <c r="D145" s="152" t="str">
        <f>'DOE25'!H482</f>
        <v>10/26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2565000</v>
      </c>
      <c r="C146" s="137">
        <f>'DOE25'!G483</f>
        <v>14506160</v>
      </c>
      <c r="D146" s="137">
        <f>'DOE25'!H483</f>
        <v>7493840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5.25</v>
      </c>
      <c r="C147" s="137" t="str">
        <f>'DOE25'!G484</f>
        <v>QSCB</v>
      </c>
      <c r="D147" s="137">
        <f>'DOE25'!H484</f>
        <v>3.5110000000000001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1710000</v>
      </c>
      <c r="C148" s="137">
        <f>'DOE25'!G485</f>
        <v>14506160</v>
      </c>
      <c r="D148" s="137">
        <f>'DOE25'!H485</f>
        <v>7493840</v>
      </c>
      <c r="E148" s="137">
        <f>'DOE25'!I485</f>
        <v>0</v>
      </c>
      <c r="F148" s="137">
        <f>'DOE25'!J485</f>
        <v>0</v>
      </c>
      <c r="G148" s="138">
        <f>SUM(B148:F148)</f>
        <v>23710000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285000</v>
      </c>
    </row>
    <row r="151" spans="1:7" x14ac:dyDescent="0.2">
      <c r="A151" s="22" t="s">
        <v>35</v>
      </c>
      <c r="B151" s="137">
        <f>'DOE25'!F488</f>
        <v>1425000</v>
      </c>
      <c r="C151" s="137">
        <f>'DOE25'!G488</f>
        <v>14605160</v>
      </c>
      <c r="D151" s="137">
        <f>'DOE25'!H488</f>
        <v>7493840</v>
      </c>
      <c r="E151" s="137">
        <f>'DOE25'!I488</f>
        <v>0</v>
      </c>
      <c r="F151" s="137">
        <f>'DOE25'!J488</f>
        <v>0</v>
      </c>
      <c r="G151" s="138">
        <f t="shared" si="0"/>
        <v>23524000</v>
      </c>
    </row>
    <row r="152" spans="1:7" x14ac:dyDescent="0.2">
      <c r="A152" s="22" t="s">
        <v>36</v>
      </c>
      <c r="B152" s="137">
        <f>'DOE25'!F489</f>
        <v>198808</v>
      </c>
      <c r="C152" s="137">
        <f>'DOE25'!G489</f>
        <v>0</v>
      </c>
      <c r="D152" s="137">
        <f>'DOE25'!H489</f>
        <v>2732172.52</v>
      </c>
      <c r="E152" s="137">
        <f>'DOE25'!I489</f>
        <v>0</v>
      </c>
      <c r="F152" s="137">
        <f>'DOE25'!J489</f>
        <v>0</v>
      </c>
      <c r="G152" s="138">
        <f t="shared" si="0"/>
        <v>2930980.52</v>
      </c>
    </row>
    <row r="153" spans="1:7" x14ac:dyDescent="0.2">
      <c r="A153" s="22" t="s">
        <v>37</v>
      </c>
      <c r="B153" s="137">
        <f>'DOE25'!F490</f>
        <v>1623808</v>
      </c>
      <c r="C153" s="137">
        <f>'DOE25'!G490</f>
        <v>14605160</v>
      </c>
      <c r="D153" s="137">
        <f>'DOE25'!H490</f>
        <v>10226012.52</v>
      </c>
      <c r="E153" s="137">
        <f>'DOE25'!I490</f>
        <v>0</v>
      </c>
      <c r="F153" s="137">
        <f>'DOE25'!J490</f>
        <v>0</v>
      </c>
      <c r="G153" s="138">
        <f t="shared" si="0"/>
        <v>26454980.52</v>
      </c>
    </row>
    <row r="154" spans="1:7" x14ac:dyDescent="0.2">
      <c r="A154" s="22" t="s">
        <v>38</v>
      </c>
      <c r="B154" s="137">
        <f>'DOE25'!F491</f>
        <v>285000</v>
      </c>
      <c r="C154" s="137">
        <f>'DOE25'!G491</f>
        <v>911160</v>
      </c>
      <c r="D154" s="137">
        <f>'DOE25'!H491</f>
        <v>436000</v>
      </c>
      <c r="E154" s="137">
        <f>'DOE25'!I491</f>
        <v>0</v>
      </c>
      <c r="F154" s="137">
        <f>'DOE25'!J491</f>
        <v>0</v>
      </c>
      <c r="G154" s="138">
        <f t="shared" si="0"/>
        <v>1632160</v>
      </c>
    </row>
    <row r="155" spans="1:7" x14ac:dyDescent="0.2">
      <c r="A155" s="22" t="s">
        <v>39</v>
      </c>
      <c r="B155" s="137">
        <f>'DOE25'!F492</f>
        <v>71250</v>
      </c>
      <c r="C155" s="137">
        <f>'DOE25'!G492</f>
        <v>0</v>
      </c>
      <c r="D155" s="137">
        <f>'DOE25'!H492</f>
        <v>286832.5</v>
      </c>
      <c r="E155" s="137">
        <f>'DOE25'!I492</f>
        <v>0</v>
      </c>
      <c r="F155" s="137">
        <f>'DOE25'!J492</f>
        <v>0</v>
      </c>
      <c r="G155" s="138">
        <f t="shared" si="0"/>
        <v>358082.5</v>
      </c>
    </row>
    <row r="156" spans="1:7" x14ac:dyDescent="0.2">
      <c r="A156" s="22" t="s">
        <v>269</v>
      </c>
      <c r="B156" s="137">
        <f>'DOE25'!F493</f>
        <v>356250</v>
      </c>
      <c r="C156" s="137">
        <f>'DOE25'!G493</f>
        <v>911160</v>
      </c>
      <c r="D156" s="137">
        <f>'DOE25'!H493</f>
        <v>722832.5</v>
      </c>
      <c r="E156" s="137">
        <f>'DOE25'!I493</f>
        <v>0</v>
      </c>
      <c r="F156" s="137">
        <f>'DOE25'!J493</f>
        <v>0</v>
      </c>
      <c r="G156" s="138">
        <f t="shared" si="0"/>
        <v>1990242.5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9192-B79B-4EE6-ADEB-43DA56A91DA0}">
  <sheetPr codeName="Sheet3">
    <tabColor indexed="43"/>
  </sheetPr>
  <dimension ref="A1:D42"/>
  <sheetViews>
    <sheetView topLeftCell="A34" workbookViewId="0">
      <selection activeCell="C42" sqref="C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Salem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10931</v>
      </c>
    </row>
    <row r="5" spans="1:4" x14ac:dyDescent="0.2">
      <c r="B5" t="s">
        <v>735</v>
      </c>
      <c r="C5" s="179">
        <f>IF('DOE25'!G655+'DOE25'!G660=0,0,ROUND('DOE25'!G662,0))</f>
        <v>8671</v>
      </c>
    </row>
    <row r="6" spans="1:4" x14ac:dyDescent="0.2">
      <c r="B6" t="s">
        <v>62</v>
      </c>
      <c r="C6" s="179">
        <f>IF('DOE25'!H655+'DOE25'!H660=0,0,ROUND('DOE25'!H662,0))</f>
        <v>11060</v>
      </c>
    </row>
    <row r="7" spans="1:4" x14ac:dyDescent="0.2">
      <c r="B7" t="s">
        <v>736</v>
      </c>
      <c r="C7" s="179">
        <f>IF('DOE25'!I655+'DOE25'!I660=0,0,ROUND('DOE25'!I662,0))</f>
        <v>10427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23333140</v>
      </c>
      <c r="D10" s="182">
        <f>ROUND((C10/$C$28)*100,1)</f>
        <v>43.6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9940000</v>
      </c>
      <c r="D11" s="182">
        <f>ROUND((C11/$C$28)*100,1)</f>
        <v>18.600000000000001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1809434</v>
      </c>
      <c r="D12" s="182">
        <f>ROUND((C12/$C$28)*100,1)</f>
        <v>3.4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837363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3860699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2268295</v>
      </c>
      <c r="D16" s="182">
        <f t="shared" si="0"/>
        <v>4.2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913177</v>
      </c>
      <c r="D17" s="182">
        <f t="shared" si="0"/>
        <v>1.7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2622491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310698</v>
      </c>
      <c r="D19" s="182">
        <f t="shared" si="0"/>
        <v>0.6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4100855</v>
      </c>
      <c r="D20" s="182">
        <f t="shared" si="0"/>
        <v>7.7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2496677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367529</v>
      </c>
      <c r="D24" s="182">
        <f t="shared" si="0"/>
        <v>0.7</v>
      </c>
    </row>
    <row r="25" spans="1:4" x14ac:dyDescent="0.2">
      <c r="A25">
        <v>5120</v>
      </c>
      <c r="B25" t="s">
        <v>751</v>
      </c>
      <c r="C25" s="179">
        <f>ROUND('DOE25'!L253+'DOE25'!L334,0)</f>
        <v>253584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434081.68999999994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53548023.689999998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13669773</v>
      </c>
    </row>
    <row r="30" spans="1:4" x14ac:dyDescent="0.2">
      <c r="B30" s="187" t="s">
        <v>760</v>
      </c>
      <c r="C30" s="180">
        <f>SUM(C28:C29)</f>
        <v>67217796.689999998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31291623</v>
      </c>
      <c r="D35" s="182">
        <f t="shared" ref="D35:D40" si="1">ROUND((C35/$C$41)*100,1)</f>
        <v>57.5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2318436.2299999967</v>
      </c>
      <c r="D36" s="182">
        <f t="shared" si="1"/>
        <v>4.3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15420078</v>
      </c>
      <c r="D37" s="182">
        <f t="shared" si="1"/>
        <v>28.3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2172874</v>
      </c>
      <c r="D38" s="182">
        <f t="shared" si="1"/>
        <v>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3246062</v>
      </c>
      <c r="D39" s="182">
        <f t="shared" si="1"/>
        <v>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54449073.229999997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7493840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4E9D-D898-475F-80D2-A24D6D95592C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Salem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80" t="s">
        <v>904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2011-09-20T14:51:58Z</cp:lastPrinted>
  <dcterms:created xsi:type="dcterms:W3CDTF">1997-12-04T19:04:30Z</dcterms:created>
  <dcterms:modified xsi:type="dcterms:W3CDTF">2025-01-10T20:34:15Z</dcterms:modified>
</cp:coreProperties>
</file>