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979825D4-B852-4A30-ADC4-0739116215B7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4F6957E3-ECB9-4E12-B3AA-C744C744C0F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8" i="1" l="1"/>
  <c r="I189" i="1"/>
  <c r="H189" i="1"/>
  <c r="F102" i="1"/>
  <c r="G518" i="1"/>
  <c r="G517" i="1"/>
  <c r="G516" i="1"/>
  <c r="G519" i="1" s="1"/>
  <c r="F518" i="1"/>
  <c r="L518" i="1" s="1"/>
  <c r="G541" i="1" s="1"/>
  <c r="F517" i="1"/>
  <c r="F516" i="1"/>
  <c r="H513" i="1"/>
  <c r="H512" i="1"/>
  <c r="H511" i="1"/>
  <c r="I513" i="1"/>
  <c r="I512" i="1"/>
  <c r="I511" i="1"/>
  <c r="G513" i="1"/>
  <c r="G512" i="1"/>
  <c r="G511" i="1"/>
  <c r="G514" i="1" s="1"/>
  <c r="F513" i="1"/>
  <c r="L513" i="1" s="1"/>
  <c r="F541" i="1" s="1"/>
  <c r="F512" i="1"/>
  <c r="F511" i="1"/>
  <c r="K523" i="1"/>
  <c r="K522" i="1"/>
  <c r="K521" i="1"/>
  <c r="I522" i="1"/>
  <c r="I521" i="1"/>
  <c r="I523" i="1" s="1"/>
  <c r="I524" i="1" s="1"/>
  <c r="H522" i="1"/>
  <c r="H521" i="1"/>
  <c r="H523" i="1" s="1"/>
  <c r="H527" i="1"/>
  <c r="H528" i="1" s="1"/>
  <c r="L528" i="1" s="1"/>
  <c r="I541" i="1" s="1"/>
  <c r="H526" i="1"/>
  <c r="G523" i="1"/>
  <c r="G524" i="1" s="1"/>
  <c r="G522" i="1"/>
  <c r="G521" i="1"/>
  <c r="F523" i="1"/>
  <c r="F522" i="1"/>
  <c r="F521" i="1"/>
  <c r="J513" i="1"/>
  <c r="J512" i="1"/>
  <c r="J511" i="1"/>
  <c r="H531" i="1"/>
  <c r="L531" i="1" s="1"/>
  <c r="B12" i="12"/>
  <c r="B11" i="12"/>
  <c r="B10" i="12"/>
  <c r="B13" i="12" s="1"/>
  <c r="A13" i="12" s="1"/>
  <c r="B20" i="12"/>
  <c r="B19" i="12"/>
  <c r="H306" i="1"/>
  <c r="F306" i="1"/>
  <c r="H287" i="1"/>
  <c r="F287" i="1"/>
  <c r="F268" i="1"/>
  <c r="H268" i="1"/>
  <c r="H282" i="1" s="1"/>
  <c r="F504" i="1"/>
  <c r="F503" i="1"/>
  <c r="F507" i="1" s="1"/>
  <c r="H497" i="1"/>
  <c r="B39" i="12"/>
  <c r="B40" i="12" s="1"/>
  <c r="A40" i="12" s="1"/>
  <c r="B37" i="12"/>
  <c r="J455" i="1"/>
  <c r="H199" i="1"/>
  <c r="H217" i="1"/>
  <c r="H235" i="1"/>
  <c r="F9" i="1"/>
  <c r="F109" i="1"/>
  <c r="C37" i="10" s="1"/>
  <c r="F113" i="1"/>
  <c r="F132" i="1" s="1"/>
  <c r="H553" i="1"/>
  <c r="L553" i="1" s="1"/>
  <c r="H554" i="1"/>
  <c r="H552" i="1"/>
  <c r="L552" i="1" s="1"/>
  <c r="L555" i="1" s="1"/>
  <c r="I552" i="1"/>
  <c r="H603" i="1"/>
  <c r="H602" i="1"/>
  <c r="H601" i="1"/>
  <c r="G603" i="1"/>
  <c r="G602" i="1"/>
  <c r="G601" i="1"/>
  <c r="F601" i="1"/>
  <c r="J594" i="1"/>
  <c r="I594" i="1"/>
  <c r="H594" i="1"/>
  <c r="F492" i="1"/>
  <c r="F489" i="1"/>
  <c r="F488" i="1"/>
  <c r="I268" i="1"/>
  <c r="G655" i="1"/>
  <c r="F655" i="1"/>
  <c r="I234" i="1"/>
  <c r="L234" i="1"/>
  <c r="H232" i="1"/>
  <c r="I232" i="1"/>
  <c r="I216" i="1"/>
  <c r="L216" i="1"/>
  <c r="C114" i="2" s="1"/>
  <c r="H214" i="1"/>
  <c r="I214" i="1"/>
  <c r="I198" i="1"/>
  <c r="H196" i="1"/>
  <c r="L196" i="1"/>
  <c r="I196" i="1"/>
  <c r="H247" i="1"/>
  <c r="I207" i="1"/>
  <c r="L207" i="1" s="1"/>
  <c r="I225" i="1"/>
  <c r="I239" i="1" s="1"/>
  <c r="H245" i="1"/>
  <c r="I235" i="1"/>
  <c r="I208" i="1"/>
  <c r="I197" i="1"/>
  <c r="I231" i="1"/>
  <c r="J225" i="1"/>
  <c r="I213" i="1"/>
  <c r="J207" i="1"/>
  <c r="L198" i="1"/>
  <c r="I195" i="1"/>
  <c r="J189" i="1"/>
  <c r="F5" i="13" s="1"/>
  <c r="H225" i="1"/>
  <c r="L225" i="1" s="1"/>
  <c r="J217" i="1"/>
  <c r="I217" i="1"/>
  <c r="J199" i="1"/>
  <c r="L199" i="1" s="1"/>
  <c r="I199" i="1"/>
  <c r="H207" i="1"/>
  <c r="J235" i="1"/>
  <c r="H231" i="1"/>
  <c r="H213" i="1"/>
  <c r="H195" i="1"/>
  <c r="K225" i="1"/>
  <c r="K207" i="1"/>
  <c r="K221" i="1" s="1"/>
  <c r="K189" i="1"/>
  <c r="G231" i="1"/>
  <c r="L231" i="1" s="1"/>
  <c r="G195" i="1"/>
  <c r="J228" i="1"/>
  <c r="L228" i="1" s="1"/>
  <c r="C104" i="2" s="1"/>
  <c r="H569" i="1"/>
  <c r="J581" i="1"/>
  <c r="I581" i="1"/>
  <c r="H581" i="1"/>
  <c r="H582" i="1"/>
  <c r="L306" i="1"/>
  <c r="L287" i="1"/>
  <c r="H455" i="1"/>
  <c r="J352" i="1"/>
  <c r="F29" i="13" s="1"/>
  <c r="J351" i="1"/>
  <c r="J350" i="1"/>
  <c r="H352" i="1"/>
  <c r="H351" i="1"/>
  <c r="H350" i="1"/>
  <c r="H23" i="1"/>
  <c r="H33" i="1" s="1"/>
  <c r="G13" i="1"/>
  <c r="F25" i="1"/>
  <c r="F455" i="1"/>
  <c r="H360" i="1"/>
  <c r="I360" i="1" s="1"/>
  <c r="G360" i="1"/>
  <c r="F360" i="1"/>
  <c r="F49" i="1"/>
  <c r="C60" i="2"/>
  <c r="B2" i="13"/>
  <c r="F8" i="13"/>
  <c r="G8" i="13"/>
  <c r="D39" i="13"/>
  <c r="F13" i="13"/>
  <c r="G13" i="13"/>
  <c r="F16" i="13"/>
  <c r="E16" i="13" s="1"/>
  <c r="C16" i="13" s="1"/>
  <c r="G16" i="13"/>
  <c r="L201" i="1"/>
  <c r="L219" i="1"/>
  <c r="L237" i="1"/>
  <c r="L190" i="1"/>
  <c r="L191" i="1"/>
  <c r="C12" i="10" s="1"/>
  <c r="L192" i="1"/>
  <c r="C13" i="10" s="1"/>
  <c r="L208" i="1"/>
  <c r="L209" i="1"/>
  <c r="C103" i="2" s="1"/>
  <c r="L210" i="1"/>
  <c r="L226" i="1"/>
  <c r="L227" i="1"/>
  <c r="F6" i="13"/>
  <c r="G6" i="13"/>
  <c r="L194" i="1"/>
  <c r="L212" i="1"/>
  <c r="L230" i="1"/>
  <c r="D6" i="13" s="1"/>
  <c r="C6" i="13" s="1"/>
  <c r="F7" i="13"/>
  <c r="G7" i="13"/>
  <c r="F12" i="13"/>
  <c r="G12" i="13"/>
  <c r="D12" i="13" s="1"/>
  <c r="C12" i="13" s="1"/>
  <c r="L197" i="1"/>
  <c r="L215" i="1"/>
  <c r="L233" i="1"/>
  <c r="G14" i="13"/>
  <c r="F15" i="13"/>
  <c r="G15" i="13"/>
  <c r="L200" i="1"/>
  <c r="L218" i="1"/>
  <c r="L236" i="1"/>
  <c r="F17" i="13"/>
  <c r="G17" i="13"/>
  <c r="L243" i="1"/>
  <c r="D17" i="13" s="1"/>
  <c r="F18" i="13"/>
  <c r="G18" i="13"/>
  <c r="L244" i="1"/>
  <c r="D18" i="13" s="1"/>
  <c r="C18" i="13" s="1"/>
  <c r="F19" i="13"/>
  <c r="G19" i="13"/>
  <c r="G29" i="13"/>
  <c r="I359" i="1"/>
  <c r="J282" i="1"/>
  <c r="J301" i="1"/>
  <c r="F31" i="13" s="1"/>
  <c r="J320" i="1"/>
  <c r="K282" i="1"/>
  <c r="K330" i="1" s="1"/>
  <c r="K344" i="1" s="1"/>
  <c r="K301" i="1"/>
  <c r="G31" i="13" s="1"/>
  <c r="K320" i="1"/>
  <c r="L268" i="1"/>
  <c r="L269" i="1"/>
  <c r="L270" i="1"/>
  <c r="L271" i="1"/>
  <c r="L273" i="1"/>
  <c r="L274" i="1"/>
  <c r="L275" i="1"/>
  <c r="L276" i="1"/>
  <c r="L277" i="1"/>
  <c r="E114" i="2" s="1"/>
  <c r="L278" i="1"/>
  <c r="E115" i="2" s="1"/>
  <c r="L279" i="1"/>
  <c r="L280" i="1"/>
  <c r="L288" i="1"/>
  <c r="E102" i="2" s="1"/>
  <c r="L289" i="1"/>
  <c r="L290" i="1"/>
  <c r="L292" i="1"/>
  <c r="L293" i="1"/>
  <c r="L294" i="1"/>
  <c r="L295" i="1"/>
  <c r="L296" i="1"/>
  <c r="L297" i="1"/>
  <c r="L298" i="1"/>
  <c r="L299" i="1"/>
  <c r="E117" i="2" s="1"/>
  <c r="L307" i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H25" i="13" s="1"/>
  <c r="L253" i="1"/>
  <c r="L333" i="1"/>
  <c r="L334" i="1"/>
  <c r="L247" i="1"/>
  <c r="L328" i="1"/>
  <c r="F22" i="13"/>
  <c r="C22" i="13"/>
  <c r="C17" i="13"/>
  <c r="C11" i="13"/>
  <c r="C10" i="13"/>
  <c r="C9" i="13"/>
  <c r="L353" i="1"/>
  <c r="B4" i="12"/>
  <c r="B36" i="12"/>
  <c r="C36" i="12"/>
  <c r="C40" i="12"/>
  <c r="B27" i="12"/>
  <c r="C27" i="12"/>
  <c r="B31" i="12"/>
  <c r="C31" i="12"/>
  <c r="B9" i="12"/>
  <c r="C9" i="12"/>
  <c r="C13" i="12"/>
  <c r="B18" i="12"/>
  <c r="B22" i="12"/>
  <c r="C18" i="12"/>
  <c r="A22" i="12" s="1"/>
  <c r="C22" i="12"/>
  <c r="B1" i="12"/>
  <c r="L379" i="1"/>
  <c r="L380" i="1"/>
  <c r="L385" i="1" s="1"/>
  <c r="C130" i="2" s="1"/>
  <c r="C133" i="2" s="1"/>
  <c r="L381" i="1"/>
  <c r="L382" i="1"/>
  <c r="L383" i="1"/>
  <c r="L384" i="1"/>
  <c r="L387" i="1"/>
  <c r="L388" i="1"/>
  <c r="L389" i="1"/>
  <c r="L390" i="1"/>
  <c r="L391" i="1"/>
  <c r="L392" i="1"/>
  <c r="L393" i="1" s="1"/>
  <c r="C131" i="2" s="1"/>
  <c r="L395" i="1"/>
  <c r="L396" i="1"/>
  <c r="L399" i="1" s="1"/>
  <c r="C132" i="2" s="1"/>
  <c r="L397" i="1"/>
  <c r="L398" i="1"/>
  <c r="L258" i="1"/>
  <c r="J52" i="1"/>
  <c r="G48" i="2"/>
  <c r="G51" i="2"/>
  <c r="G53" i="2"/>
  <c r="G54" i="2"/>
  <c r="G55" i="2"/>
  <c r="G69" i="2"/>
  <c r="G70" i="2" s="1"/>
  <c r="G61" i="2"/>
  <c r="G62" i="2" s="1"/>
  <c r="G88" i="2"/>
  <c r="G89" i="2"/>
  <c r="G90" i="2"/>
  <c r="G95" i="2" s="1"/>
  <c r="F2" i="11"/>
  <c r="L602" i="1"/>
  <c r="G653" i="1" s="1"/>
  <c r="C40" i="10"/>
  <c r="F52" i="1"/>
  <c r="C48" i="2" s="1"/>
  <c r="G52" i="1"/>
  <c r="D48" i="2" s="1"/>
  <c r="H52" i="1"/>
  <c r="I52" i="1"/>
  <c r="F71" i="1"/>
  <c r="F86" i="1"/>
  <c r="C50" i="2" s="1"/>
  <c r="F103" i="1"/>
  <c r="G103" i="1"/>
  <c r="H71" i="1"/>
  <c r="H104" i="1" s="1"/>
  <c r="H86" i="1"/>
  <c r="H103" i="1"/>
  <c r="I103" i="1"/>
  <c r="J103" i="1"/>
  <c r="J104" i="1"/>
  <c r="J185" i="1" s="1"/>
  <c r="F128" i="1"/>
  <c r="G113" i="1"/>
  <c r="G128" i="1"/>
  <c r="H113" i="1"/>
  <c r="H132" i="1" s="1"/>
  <c r="H128" i="1"/>
  <c r="I113" i="1"/>
  <c r="I128" i="1"/>
  <c r="I132" i="1"/>
  <c r="J113" i="1"/>
  <c r="J128" i="1"/>
  <c r="J132" i="1"/>
  <c r="F139" i="1"/>
  <c r="F154" i="1"/>
  <c r="G139" i="1"/>
  <c r="G161" i="1" s="1"/>
  <c r="G154" i="1"/>
  <c r="H139" i="1"/>
  <c r="H154" i="1"/>
  <c r="H161" i="1"/>
  <c r="I139" i="1"/>
  <c r="I154" i="1"/>
  <c r="I161" i="1"/>
  <c r="L242" i="1"/>
  <c r="L324" i="1"/>
  <c r="E105" i="2" s="1"/>
  <c r="L246" i="1"/>
  <c r="L260" i="1"/>
  <c r="L261" i="1"/>
  <c r="L341" i="1"/>
  <c r="L342" i="1"/>
  <c r="C26" i="10" s="1"/>
  <c r="I655" i="1"/>
  <c r="I660" i="1"/>
  <c r="I659" i="1"/>
  <c r="C42" i="10"/>
  <c r="L366" i="1"/>
  <c r="L367" i="1"/>
  <c r="L368" i="1"/>
  <c r="L369" i="1"/>
  <c r="L370" i="1"/>
  <c r="L371" i="1"/>
  <c r="L372" i="1"/>
  <c r="B2" i="10"/>
  <c r="L336" i="1"/>
  <c r="L337" i="1"/>
  <c r="L338" i="1"/>
  <c r="E129" i="2" s="1"/>
  <c r="L339" i="1"/>
  <c r="K343" i="1"/>
  <c r="L511" i="1"/>
  <c r="F539" i="1" s="1"/>
  <c r="L522" i="1"/>
  <c r="H540" i="1"/>
  <c r="L523" i="1"/>
  <c r="H541" i="1" s="1"/>
  <c r="L526" i="1"/>
  <c r="I539" i="1" s="1"/>
  <c r="L532" i="1"/>
  <c r="J540" i="1"/>
  <c r="L533" i="1"/>
  <c r="J541" i="1" s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C19" i="2" s="1"/>
  <c r="D9" i="2"/>
  <c r="E9" i="2"/>
  <c r="F9" i="2"/>
  <c r="I431" i="1"/>
  <c r="J9" i="1"/>
  <c r="G9" i="2" s="1"/>
  <c r="C10" i="2"/>
  <c r="D10" i="2"/>
  <c r="E10" i="2"/>
  <c r="E19" i="2" s="1"/>
  <c r="F10" i="2"/>
  <c r="F19" i="2" s="1"/>
  <c r="C11" i="2"/>
  <c r="C12" i="2"/>
  <c r="D12" i="2"/>
  <c r="E12" i="2"/>
  <c r="F12" i="2"/>
  <c r="I433" i="1"/>
  <c r="J12" i="1"/>
  <c r="G12" i="2" s="1"/>
  <c r="C13" i="2"/>
  <c r="E13" i="2"/>
  <c r="F13" i="2"/>
  <c r="I434" i="1"/>
  <c r="J13" i="1"/>
  <c r="G13" i="2" s="1"/>
  <c r="C14" i="2"/>
  <c r="D14" i="2"/>
  <c r="D16" i="2"/>
  <c r="D17" i="2"/>
  <c r="D18" i="2"/>
  <c r="E14" i="2"/>
  <c r="E16" i="2"/>
  <c r="E17" i="2"/>
  <c r="E18" i="2"/>
  <c r="F14" i="2"/>
  <c r="I435" i="1"/>
  <c r="J14" i="1" s="1"/>
  <c r="G14" i="2" s="1"/>
  <c r="F15" i="2"/>
  <c r="C16" i="2"/>
  <c r="F16" i="2"/>
  <c r="C17" i="2"/>
  <c r="F17" i="2"/>
  <c r="I436" i="1"/>
  <c r="J17" i="1" s="1"/>
  <c r="G17" i="2" s="1"/>
  <c r="C18" i="2"/>
  <c r="F18" i="2"/>
  <c r="I437" i="1"/>
  <c r="J18" i="1"/>
  <c r="G18" i="2"/>
  <c r="C22" i="2"/>
  <c r="D22" i="2"/>
  <c r="D32" i="2" s="1"/>
  <c r="E22" i="2"/>
  <c r="E23" i="2"/>
  <c r="E24" i="2"/>
  <c r="E25" i="2"/>
  <c r="E28" i="2"/>
  <c r="E29" i="2"/>
  <c r="E30" i="2"/>
  <c r="E31" i="2"/>
  <c r="F22" i="2"/>
  <c r="I440" i="1"/>
  <c r="J23" i="1"/>
  <c r="G22" i="2"/>
  <c r="C23" i="2"/>
  <c r="D23" i="2"/>
  <c r="F23" i="2"/>
  <c r="F24" i="2"/>
  <c r="F25" i="2"/>
  <c r="F26" i="2"/>
  <c r="F27" i="2"/>
  <c r="F28" i="2"/>
  <c r="F29" i="2"/>
  <c r="F30" i="2"/>
  <c r="F31" i="2"/>
  <c r="F32" i="2"/>
  <c r="I441" i="1"/>
  <c r="C25" i="2"/>
  <c r="C26" i="2"/>
  <c r="C27" i="2"/>
  <c r="C28" i="2"/>
  <c r="C29" i="2"/>
  <c r="C30" i="2"/>
  <c r="C31" i="2"/>
  <c r="D24" i="2"/>
  <c r="I442" i="1"/>
  <c r="J25" i="1"/>
  <c r="G24" i="2" s="1"/>
  <c r="D25" i="2"/>
  <c r="D28" i="2"/>
  <c r="D29" i="2"/>
  <c r="D30" i="2"/>
  <c r="D31" i="2"/>
  <c r="I443" i="1"/>
  <c r="J32" i="1"/>
  <c r="G31" i="2" s="1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/>
  <c r="G36" i="2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/>
  <c r="G39" i="2" s="1"/>
  <c r="C40" i="2"/>
  <c r="F40" i="2"/>
  <c r="D41" i="2"/>
  <c r="E41" i="2"/>
  <c r="F41" i="2"/>
  <c r="E48" i="2"/>
  <c r="F48" i="2"/>
  <c r="E50" i="2"/>
  <c r="C51" i="2"/>
  <c r="D51" i="2"/>
  <c r="D54" i="2" s="1"/>
  <c r="E51" i="2"/>
  <c r="F51" i="2"/>
  <c r="F54" i="2" s="1"/>
  <c r="F55" i="2" s="1"/>
  <c r="F53" i="2"/>
  <c r="D52" i="2"/>
  <c r="D53" i="2"/>
  <c r="C53" i="2"/>
  <c r="C71" i="2"/>
  <c r="C72" i="2"/>
  <c r="C64" i="2"/>
  <c r="C65" i="2"/>
  <c r="C70" i="2" s="1"/>
  <c r="C66" i="2"/>
  <c r="C67" i="2"/>
  <c r="C68" i="2"/>
  <c r="C69" i="2"/>
  <c r="C59" i="2"/>
  <c r="C61" i="2"/>
  <c r="C79" i="2"/>
  <c r="C80" i="2"/>
  <c r="C81" i="2"/>
  <c r="C82" i="2"/>
  <c r="C85" i="2"/>
  <c r="C86" i="2"/>
  <c r="C89" i="2"/>
  <c r="C90" i="2"/>
  <c r="C91" i="2"/>
  <c r="C92" i="2"/>
  <c r="C93" i="2"/>
  <c r="C94" i="2"/>
  <c r="E53" i="2"/>
  <c r="D61" i="2"/>
  <c r="D62" i="2" s="1"/>
  <c r="E61" i="2"/>
  <c r="E62" i="2"/>
  <c r="E71" i="2"/>
  <c r="E72" i="2"/>
  <c r="E68" i="2"/>
  <c r="E70" i="2" s="1"/>
  <c r="E73" i="2" s="1"/>
  <c r="E69" i="2"/>
  <c r="F61" i="2"/>
  <c r="F62" i="2"/>
  <c r="F64" i="2"/>
  <c r="F65" i="2"/>
  <c r="F68" i="2"/>
  <c r="F69" i="2"/>
  <c r="F70" i="2" s="1"/>
  <c r="F73" i="2" s="1"/>
  <c r="D69" i="2"/>
  <c r="D70" i="2" s="1"/>
  <c r="D71" i="2"/>
  <c r="E77" i="2"/>
  <c r="F77" i="2"/>
  <c r="E79" i="2"/>
  <c r="F79" i="2"/>
  <c r="F83" i="2" s="1"/>
  <c r="D80" i="2"/>
  <c r="E80" i="2"/>
  <c r="E83" i="2" s="1"/>
  <c r="E81" i="2"/>
  <c r="F80" i="2"/>
  <c r="D81" i="2"/>
  <c r="F81" i="2"/>
  <c r="F85" i="2"/>
  <c r="F86" i="2"/>
  <c r="F88" i="2"/>
  <c r="F89" i="2"/>
  <c r="F91" i="2"/>
  <c r="F92" i="2"/>
  <c r="F93" i="2"/>
  <c r="F94" i="2"/>
  <c r="D88" i="2"/>
  <c r="E88" i="2"/>
  <c r="D89" i="2"/>
  <c r="D95" i="2" s="1"/>
  <c r="D90" i="2"/>
  <c r="D91" i="2"/>
  <c r="D92" i="2"/>
  <c r="D93" i="2"/>
  <c r="D94" i="2"/>
  <c r="E89" i="2"/>
  <c r="E95" i="2" s="1"/>
  <c r="E90" i="2"/>
  <c r="E91" i="2"/>
  <c r="E92" i="2"/>
  <c r="E93" i="2"/>
  <c r="E94" i="2"/>
  <c r="E103" i="2"/>
  <c r="E104" i="2"/>
  <c r="D107" i="2"/>
  <c r="F107" i="2"/>
  <c r="G107" i="2"/>
  <c r="E110" i="2"/>
  <c r="E111" i="2"/>
  <c r="E112" i="2"/>
  <c r="E113" i="2"/>
  <c r="C117" i="2"/>
  <c r="F120" i="2"/>
  <c r="G120" i="2"/>
  <c r="C122" i="2"/>
  <c r="E122" i="2"/>
  <c r="F122" i="2"/>
  <c r="F136" i="2" s="1"/>
  <c r="F126" i="2"/>
  <c r="D126" i="2"/>
  <c r="D136" i="2" s="1"/>
  <c r="E126" i="2"/>
  <c r="K411" i="1"/>
  <c r="K419" i="1"/>
  <c r="K425" i="1"/>
  <c r="K426" i="1"/>
  <c r="G126" i="2"/>
  <c r="G136" i="2" s="1"/>
  <c r="G137" i="2" s="1"/>
  <c r="L255" i="1"/>
  <c r="C127" i="2" s="1"/>
  <c r="E127" i="2"/>
  <c r="L256" i="1"/>
  <c r="C128" i="2"/>
  <c r="L257" i="1"/>
  <c r="C129" i="2"/>
  <c r="C134" i="2"/>
  <c r="E134" i="2"/>
  <c r="C135" i="2"/>
  <c r="E135" i="2"/>
  <c r="E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 s="1"/>
  <c r="B149" i="2"/>
  <c r="C149" i="2"/>
  <c r="D149" i="2"/>
  <c r="E149" i="2"/>
  <c r="F149" i="2"/>
  <c r="B150" i="2"/>
  <c r="C150" i="2"/>
  <c r="D150" i="2"/>
  <c r="E150" i="2"/>
  <c r="F150" i="2"/>
  <c r="G150" i="2" s="1"/>
  <c r="C151" i="2"/>
  <c r="D151" i="2"/>
  <c r="E151" i="2"/>
  <c r="F151" i="2"/>
  <c r="B152" i="2"/>
  <c r="G152" i="2" s="1"/>
  <c r="C152" i="2"/>
  <c r="D152" i="2"/>
  <c r="E152" i="2"/>
  <c r="F152" i="2"/>
  <c r="G490" i="1"/>
  <c r="C153" i="2" s="1"/>
  <c r="H490" i="1"/>
  <c r="D153" i="2"/>
  <c r="I490" i="1"/>
  <c r="K490" i="1" s="1"/>
  <c r="J490" i="1"/>
  <c r="F153" i="2"/>
  <c r="B154" i="2"/>
  <c r="C154" i="2"/>
  <c r="D154" i="2"/>
  <c r="E154" i="2"/>
  <c r="F154" i="2"/>
  <c r="B155" i="2"/>
  <c r="C155" i="2"/>
  <c r="D155" i="2"/>
  <c r="E155" i="2"/>
  <c r="G155" i="2" s="1"/>
  <c r="F155" i="2"/>
  <c r="F493" i="1"/>
  <c r="B156" i="2"/>
  <c r="G493" i="1"/>
  <c r="C156" i="2" s="1"/>
  <c r="H493" i="1"/>
  <c r="D156" i="2" s="1"/>
  <c r="I493" i="1"/>
  <c r="E156" i="2" s="1"/>
  <c r="J493" i="1"/>
  <c r="F156" i="2" s="1"/>
  <c r="F19" i="1"/>
  <c r="H19" i="1"/>
  <c r="G609" i="1" s="1"/>
  <c r="I19" i="1"/>
  <c r="G33" i="1"/>
  <c r="I33" i="1"/>
  <c r="I43" i="1"/>
  <c r="I44" i="1" s="1"/>
  <c r="F169" i="1"/>
  <c r="F184" i="1" s="1"/>
  <c r="I169" i="1"/>
  <c r="F175" i="1"/>
  <c r="G175" i="1"/>
  <c r="G184" i="1" s="1"/>
  <c r="H175" i="1"/>
  <c r="H184" i="1"/>
  <c r="I175" i="1"/>
  <c r="I184" i="1" s="1"/>
  <c r="J175" i="1"/>
  <c r="J184" i="1"/>
  <c r="F180" i="1"/>
  <c r="G180" i="1"/>
  <c r="H180" i="1"/>
  <c r="I180" i="1"/>
  <c r="F203" i="1"/>
  <c r="F249" i="1" s="1"/>
  <c r="F263" i="1" s="1"/>
  <c r="G203" i="1"/>
  <c r="H203" i="1"/>
  <c r="I203" i="1"/>
  <c r="J203" i="1"/>
  <c r="F221" i="1"/>
  <c r="G221" i="1"/>
  <c r="H221" i="1"/>
  <c r="F239" i="1"/>
  <c r="G239" i="1"/>
  <c r="G249" i="1" s="1"/>
  <c r="G263" i="1" s="1"/>
  <c r="H239" i="1"/>
  <c r="J239" i="1"/>
  <c r="K239" i="1"/>
  <c r="F248" i="1"/>
  <c r="G248" i="1"/>
  <c r="I248" i="1"/>
  <c r="J248" i="1"/>
  <c r="K248" i="1"/>
  <c r="L262" i="1"/>
  <c r="F282" i="1"/>
  <c r="F330" i="1" s="1"/>
  <c r="F344" i="1" s="1"/>
  <c r="G282" i="1"/>
  <c r="G330" i="1" s="1"/>
  <c r="G344" i="1" s="1"/>
  <c r="I282" i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J330" i="1"/>
  <c r="J344" i="1"/>
  <c r="F354" i="1"/>
  <c r="G354" i="1"/>
  <c r="H354" i="1"/>
  <c r="I354" i="1"/>
  <c r="G624" i="1"/>
  <c r="K354" i="1"/>
  <c r="F361" i="1"/>
  <c r="G361" i="1"/>
  <c r="I361" i="1"/>
  <c r="H624" i="1" s="1"/>
  <c r="J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393" i="1"/>
  <c r="H400" i="1" s="1"/>
  <c r="H634" i="1" s="1"/>
  <c r="J634" i="1" s="1"/>
  <c r="I393" i="1"/>
  <c r="F399" i="1"/>
  <c r="G399" i="1"/>
  <c r="H399" i="1"/>
  <c r="I399" i="1"/>
  <c r="I400" i="1"/>
  <c r="L405" i="1"/>
  <c r="L411" i="1" s="1"/>
  <c r="L406" i="1"/>
  <c r="L407" i="1"/>
  <c r="L408" i="1"/>
  <c r="L409" i="1"/>
  <c r="L410" i="1"/>
  <c r="F411" i="1"/>
  <c r="G411" i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26" i="1"/>
  <c r="G426" i="1"/>
  <c r="H426" i="1"/>
  <c r="F438" i="1"/>
  <c r="H438" i="1"/>
  <c r="F444" i="1"/>
  <c r="G444" i="1"/>
  <c r="H444" i="1"/>
  <c r="F450" i="1"/>
  <c r="H450" i="1"/>
  <c r="F451" i="1"/>
  <c r="H629" i="1" s="1"/>
  <c r="H451" i="1"/>
  <c r="H631" i="1" s="1"/>
  <c r="I460" i="1"/>
  <c r="I466" i="1" s="1"/>
  <c r="H615" i="1" s="1"/>
  <c r="I464" i="1"/>
  <c r="J464" i="1"/>
  <c r="K485" i="1"/>
  <c r="K486" i="1"/>
  <c r="K487" i="1"/>
  <c r="K489" i="1"/>
  <c r="K491" i="1"/>
  <c r="K492" i="1"/>
  <c r="G507" i="1"/>
  <c r="H507" i="1"/>
  <c r="I507" i="1"/>
  <c r="H514" i="1"/>
  <c r="I514" i="1"/>
  <c r="J514" i="1"/>
  <c r="J535" i="1" s="1"/>
  <c r="K514" i="1"/>
  <c r="H519" i="1"/>
  <c r="J519" i="1"/>
  <c r="K519" i="1"/>
  <c r="F524" i="1"/>
  <c r="J524" i="1"/>
  <c r="K524" i="1"/>
  <c r="F529" i="1"/>
  <c r="G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F561" i="1" s="1"/>
  <c r="G550" i="1"/>
  <c r="G561" i="1"/>
  <c r="H550" i="1"/>
  <c r="I550" i="1"/>
  <c r="J550" i="1"/>
  <c r="K550" i="1"/>
  <c r="L554" i="1"/>
  <c r="F555" i="1"/>
  <c r="G555" i="1"/>
  <c r="I555" i="1"/>
  <c r="I561" i="1"/>
  <c r="J555" i="1"/>
  <c r="K555" i="1"/>
  <c r="L557" i="1"/>
  <c r="L560" i="1"/>
  <c r="L558" i="1"/>
  <c r="L559" i="1"/>
  <c r="F560" i="1"/>
  <c r="G560" i="1"/>
  <c r="H560" i="1"/>
  <c r="I560" i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8" i="1" s="1"/>
  <c r="G637" i="1" s="1"/>
  <c r="K585" i="1"/>
  <c r="K586" i="1"/>
  <c r="K587" i="1"/>
  <c r="H588" i="1"/>
  <c r="H639" i="1" s="1"/>
  <c r="I588" i="1"/>
  <c r="H640" i="1" s="1"/>
  <c r="J588" i="1"/>
  <c r="K592" i="1"/>
  <c r="K593" i="1"/>
  <c r="I595" i="1"/>
  <c r="J595" i="1"/>
  <c r="G604" i="1"/>
  <c r="H604" i="1"/>
  <c r="I604" i="1"/>
  <c r="J604" i="1"/>
  <c r="K604" i="1"/>
  <c r="G610" i="1"/>
  <c r="H610" i="1"/>
  <c r="J610" i="1" s="1"/>
  <c r="H620" i="1"/>
  <c r="H626" i="1"/>
  <c r="H628" i="1"/>
  <c r="G629" i="1"/>
  <c r="G631" i="1"/>
  <c r="G633" i="1"/>
  <c r="G634" i="1"/>
  <c r="G635" i="1"/>
  <c r="H635" i="1"/>
  <c r="J635" i="1"/>
  <c r="G639" i="1"/>
  <c r="J639" i="1" s="1"/>
  <c r="H641" i="1"/>
  <c r="G642" i="1"/>
  <c r="H642" i="1"/>
  <c r="J642" i="1" s="1"/>
  <c r="G643" i="1"/>
  <c r="H643" i="1"/>
  <c r="G644" i="1"/>
  <c r="J644" i="1" s="1"/>
  <c r="H644" i="1"/>
  <c r="G645" i="1"/>
  <c r="H645" i="1"/>
  <c r="J645" i="1"/>
  <c r="G154" i="2"/>
  <c r="I104" i="1"/>
  <c r="I185" i="1" s="1"/>
  <c r="G620" i="1" s="1"/>
  <c r="J620" i="1" s="1"/>
  <c r="C35" i="10"/>
  <c r="G104" i="1"/>
  <c r="C29" i="10"/>
  <c r="C32" i="10"/>
  <c r="C25" i="10"/>
  <c r="C18" i="10"/>
  <c r="I330" i="1"/>
  <c r="I344" i="1" s="1"/>
  <c r="C113" i="2"/>
  <c r="B151" i="2"/>
  <c r="G151" i="2" s="1"/>
  <c r="F490" i="1"/>
  <c r="K488" i="1"/>
  <c r="L214" i="1"/>
  <c r="L213" i="1"/>
  <c r="L195" i="1"/>
  <c r="L189" i="1"/>
  <c r="L235" i="1"/>
  <c r="E101" i="2"/>
  <c r="E107" i="2" s="1"/>
  <c r="L351" i="1"/>
  <c r="L350" i="1"/>
  <c r="B153" i="2"/>
  <c r="I519" i="1"/>
  <c r="I535" i="1"/>
  <c r="G621" i="1"/>
  <c r="G636" i="1"/>
  <c r="C32" i="2" l="1"/>
  <c r="F104" i="1"/>
  <c r="G185" i="1"/>
  <c r="C136" i="2"/>
  <c r="D19" i="2"/>
  <c r="H185" i="1"/>
  <c r="E116" i="2"/>
  <c r="F652" i="1"/>
  <c r="D13" i="2"/>
  <c r="G19" i="1"/>
  <c r="G608" i="1" s="1"/>
  <c r="L343" i="1"/>
  <c r="G535" i="1"/>
  <c r="F651" i="1"/>
  <c r="G149" i="2"/>
  <c r="E120" i="2"/>
  <c r="E137" i="2" s="1"/>
  <c r="L534" i="1"/>
  <c r="J539" i="1"/>
  <c r="J542" i="1" s="1"/>
  <c r="F42" i="1"/>
  <c r="G607" i="1"/>
  <c r="E32" i="2"/>
  <c r="L512" i="1"/>
  <c r="F540" i="1" s="1"/>
  <c r="F514" i="1"/>
  <c r="F535" i="1" s="1"/>
  <c r="A31" i="12"/>
  <c r="G641" i="1"/>
  <c r="J641" i="1" s="1"/>
  <c r="H652" i="1"/>
  <c r="K541" i="1"/>
  <c r="G132" i="1"/>
  <c r="C116" i="2"/>
  <c r="G640" i="1"/>
  <c r="J640" i="1" s="1"/>
  <c r="D15" i="13"/>
  <c r="C15" i="13" s="1"/>
  <c r="C21" i="10"/>
  <c r="H637" i="1"/>
  <c r="J637" i="1" s="1"/>
  <c r="G652" i="1"/>
  <c r="G156" i="2"/>
  <c r="F161" i="1"/>
  <c r="C39" i="10" s="1"/>
  <c r="C77" i="2"/>
  <c r="C83" i="2" s="1"/>
  <c r="D55" i="2"/>
  <c r="L217" i="1"/>
  <c r="J221" i="1"/>
  <c r="J249" i="1" s="1"/>
  <c r="H248" i="1"/>
  <c r="L248" i="1" s="1"/>
  <c r="L245" i="1"/>
  <c r="C38" i="10"/>
  <c r="H330" i="1"/>
  <c r="H344" i="1" s="1"/>
  <c r="C101" i="2"/>
  <c r="L203" i="1"/>
  <c r="C10" i="10"/>
  <c r="C11" i="10"/>
  <c r="C102" i="2"/>
  <c r="C16" i="10"/>
  <c r="D7" i="13"/>
  <c r="C7" i="13" s="1"/>
  <c r="C111" i="2"/>
  <c r="H249" i="1"/>
  <c r="H263" i="1" s="1"/>
  <c r="I444" i="1"/>
  <c r="J24" i="1"/>
  <c r="G23" i="2" s="1"/>
  <c r="G32" i="2" s="1"/>
  <c r="L400" i="1"/>
  <c r="F519" i="1"/>
  <c r="L517" i="1"/>
  <c r="G540" i="1" s="1"/>
  <c r="L561" i="1"/>
  <c r="G73" i="2"/>
  <c r="G96" i="2" s="1"/>
  <c r="C20" i="10"/>
  <c r="L527" i="1"/>
  <c r="I540" i="1" s="1"/>
  <c r="I542" i="1" s="1"/>
  <c r="H529" i="1"/>
  <c r="K561" i="1"/>
  <c r="K493" i="1"/>
  <c r="F42" i="2"/>
  <c r="F43" i="2" s="1"/>
  <c r="K203" i="1"/>
  <c r="K249" i="1" s="1"/>
  <c r="K263" i="1" s="1"/>
  <c r="G5" i="13"/>
  <c r="G33" i="13" s="1"/>
  <c r="L232" i="1"/>
  <c r="F603" i="1"/>
  <c r="L601" i="1"/>
  <c r="F653" i="1" s="1"/>
  <c r="J631" i="1"/>
  <c r="L426" i="1"/>
  <c r="G628" i="1" s="1"/>
  <c r="J628" i="1" s="1"/>
  <c r="E153" i="2"/>
  <c r="G153" i="2" s="1"/>
  <c r="F137" i="2"/>
  <c r="C95" i="2"/>
  <c r="L374" i="1"/>
  <c r="G626" i="1" s="1"/>
  <c r="J626" i="1" s="1"/>
  <c r="C23" i="10"/>
  <c r="C105" i="2"/>
  <c r="C25" i="13"/>
  <c r="H33" i="13"/>
  <c r="D5" i="13"/>
  <c r="L221" i="1"/>
  <c r="C115" i="2"/>
  <c r="F95" i="2"/>
  <c r="F96" i="2" s="1"/>
  <c r="D73" i="2"/>
  <c r="L282" i="1"/>
  <c r="L301" i="1"/>
  <c r="J643" i="1"/>
  <c r="J629" i="1"/>
  <c r="K535" i="1"/>
  <c r="J426" i="1"/>
  <c r="C24" i="2"/>
  <c r="F33" i="1"/>
  <c r="L320" i="1"/>
  <c r="C15" i="10"/>
  <c r="G615" i="1"/>
  <c r="J615" i="1" s="1"/>
  <c r="L516" i="1"/>
  <c r="F14" i="13"/>
  <c r="F33" i="13" s="1"/>
  <c r="C19" i="10"/>
  <c r="H595" i="1"/>
  <c r="H555" i="1"/>
  <c r="H561" i="1" s="1"/>
  <c r="H524" i="1"/>
  <c r="H535" i="1" s="1"/>
  <c r="L352" i="1"/>
  <c r="L354" i="1" s="1"/>
  <c r="C110" i="2"/>
  <c r="C58" i="2"/>
  <c r="C62" i="2" s="1"/>
  <c r="C73" i="2" s="1"/>
  <c r="L521" i="1"/>
  <c r="H361" i="1"/>
  <c r="E13" i="13"/>
  <c r="C13" i="13" s="1"/>
  <c r="I221" i="1"/>
  <c r="I249" i="1" s="1"/>
  <c r="I263" i="1" s="1"/>
  <c r="E49" i="2"/>
  <c r="E54" i="2" s="1"/>
  <c r="E55" i="2" s="1"/>
  <c r="E96" i="2" s="1"/>
  <c r="K594" i="1"/>
  <c r="K595" i="1" s="1"/>
  <c r="G638" i="1" s="1"/>
  <c r="D77" i="2"/>
  <c r="D83" i="2" s="1"/>
  <c r="C49" i="2"/>
  <c r="C54" i="2" s="1"/>
  <c r="C55" i="2" s="1"/>
  <c r="C96" i="2" s="1"/>
  <c r="J354" i="1"/>
  <c r="C27" i="10" l="1"/>
  <c r="G462" i="1"/>
  <c r="G625" i="1"/>
  <c r="C28" i="10"/>
  <c r="K540" i="1"/>
  <c r="G650" i="1"/>
  <c r="G654" i="1" s="1"/>
  <c r="F650" i="1"/>
  <c r="G619" i="1"/>
  <c r="H458" i="1"/>
  <c r="C5" i="13"/>
  <c r="D14" i="13"/>
  <c r="C14" i="13" s="1"/>
  <c r="D20" i="10"/>
  <c r="F185" i="1"/>
  <c r="C36" i="10"/>
  <c r="J263" i="1"/>
  <c r="H638" i="1"/>
  <c r="J638" i="1" s="1"/>
  <c r="F542" i="1"/>
  <c r="J33" i="1"/>
  <c r="H539" i="1"/>
  <c r="H542" i="1" s="1"/>
  <c r="L524" i="1"/>
  <c r="C120" i="2"/>
  <c r="D96" i="2"/>
  <c r="J458" i="1"/>
  <c r="G627" i="1"/>
  <c r="H636" i="1"/>
  <c r="J636" i="1" s="1"/>
  <c r="G432" i="1"/>
  <c r="L330" i="1"/>
  <c r="L344" i="1" s="1"/>
  <c r="D31" i="13"/>
  <c r="C31" i="13" s="1"/>
  <c r="C41" i="2"/>
  <c r="C42" i="2" s="1"/>
  <c r="C43" i="2" s="1"/>
  <c r="F43" i="1"/>
  <c r="L514" i="1"/>
  <c r="L529" i="1"/>
  <c r="L603" i="1"/>
  <c r="H653" i="1" s="1"/>
  <c r="I653" i="1" s="1"/>
  <c r="F604" i="1"/>
  <c r="G618" i="1"/>
  <c r="G458" i="1"/>
  <c r="G41" i="1"/>
  <c r="G539" i="1"/>
  <c r="L519" i="1"/>
  <c r="C17" i="10"/>
  <c r="E8" i="13"/>
  <c r="C112" i="2"/>
  <c r="C106" i="2"/>
  <c r="C107" i="2" s="1"/>
  <c r="C137" i="2" s="1"/>
  <c r="C24" i="10"/>
  <c r="D19" i="13"/>
  <c r="C19" i="13" s="1"/>
  <c r="H651" i="1"/>
  <c r="G651" i="1"/>
  <c r="I651" i="1" s="1"/>
  <c r="D29" i="13"/>
  <c r="C29" i="13" s="1"/>
  <c r="D119" i="2"/>
  <c r="D120" i="2" s="1"/>
  <c r="D137" i="2" s="1"/>
  <c r="L239" i="1"/>
  <c r="H650" i="1" s="1"/>
  <c r="H654" i="1" s="1"/>
  <c r="I652" i="1"/>
  <c r="F44" i="1" l="1"/>
  <c r="H607" i="1" s="1"/>
  <c r="J607" i="1" s="1"/>
  <c r="G612" i="1"/>
  <c r="C30" i="10"/>
  <c r="D22" i="10"/>
  <c r="D25" i="10"/>
  <c r="D12" i="10"/>
  <c r="D18" i="10"/>
  <c r="D26" i="10"/>
  <c r="D13" i="10"/>
  <c r="C8" i="13"/>
  <c r="E33" i="13"/>
  <c r="D35" i="13" s="1"/>
  <c r="L249" i="1"/>
  <c r="L263" i="1" s="1"/>
  <c r="G657" i="1"/>
  <c r="G662" i="1"/>
  <c r="C5" i="10" s="1"/>
  <c r="G460" i="1"/>
  <c r="H618" i="1"/>
  <c r="D17" i="10"/>
  <c r="L535" i="1"/>
  <c r="H627" i="1"/>
  <c r="J627" i="1" s="1"/>
  <c r="J460" i="1"/>
  <c r="J466" i="1" s="1"/>
  <c r="H616" i="1" s="1"/>
  <c r="H621" i="1"/>
  <c r="J621" i="1" s="1"/>
  <c r="I650" i="1"/>
  <c r="I654" i="1" s="1"/>
  <c r="F654" i="1"/>
  <c r="H662" i="1"/>
  <c r="C6" i="10" s="1"/>
  <c r="H657" i="1"/>
  <c r="D40" i="2"/>
  <c r="D42" i="2" s="1"/>
  <c r="D43" i="2" s="1"/>
  <c r="G43" i="1"/>
  <c r="G623" i="1"/>
  <c r="H462" i="1"/>
  <c r="J618" i="1"/>
  <c r="D10" i="10"/>
  <c r="D21" i="10"/>
  <c r="D23" i="10"/>
  <c r="D33" i="13"/>
  <c r="D36" i="13" s="1"/>
  <c r="D24" i="10"/>
  <c r="L604" i="1"/>
  <c r="H619" i="1"/>
  <c r="H460" i="1"/>
  <c r="H625" i="1"/>
  <c r="J625" i="1" s="1"/>
  <c r="G464" i="1"/>
  <c r="C41" i="10"/>
  <c r="D36" i="10"/>
  <c r="F458" i="1"/>
  <c r="G617" i="1"/>
  <c r="G438" i="1"/>
  <c r="I432" i="1"/>
  <c r="D16" i="10"/>
  <c r="H41" i="1"/>
  <c r="D27" i="10"/>
  <c r="G542" i="1"/>
  <c r="K539" i="1"/>
  <c r="K542" i="1" s="1"/>
  <c r="D19" i="10"/>
  <c r="D15" i="10"/>
  <c r="D11" i="10"/>
  <c r="J619" i="1"/>
  <c r="D28" i="10" l="1"/>
  <c r="I438" i="1"/>
  <c r="G632" i="1" s="1"/>
  <c r="J10" i="1"/>
  <c r="F657" i="1"/>
  <c r="F662" i="1"/>
  <c r="C4" i="10" s="1"/>
  <c r="G449" i="1"/>
  <c r="G630" i="1"/>
  <c r="I657" i="1"/>
  <c r="I662" i="1"/>
  <c r="C7" i="10" s="1"/>
  <c r="H617" i="1"/>
  <c r="J617" i="1" s="1"/>
  <c r="F460" i="1"/>
  <c r="H466" i="1"/>
  <c r="H614" i="1" s="1"/>
  <c r="G44" i="1"/>
  <c r="H608" i="1" s="1"/>
  <c r="J608" i="1" s="1"/>
  <c r="G613" i="1"/>
  <c r="G466" i="1"/>
  <c r="H613" i="1" s="1"/>
  <c r="H464" i="1"/>
  <c r="H623" i="1"/>
  <c r="J623" i="1"/>
  <c r="H43" i="1"/>
  <c r="E40" i="2"/>
  <c r="E42" i="2" s="1"/>
  <c r="E43" i="2" s="1"/>
  <c r="D35" i="10"/>
  <c r="D41" i="10" s="1"/>
  <c r="D40" i="10"/>
  <c r="D37" i="10"/>
  <c r="D38" i="10"/>
  <c r="D39" i="10"/>
  <c r="F462" i="1"/>
  <c r="G622" i="1"/>
  <c r="J630" i="1" l="1"/>
  <c r="H622" i="1"/>
  <c r="F464" i="1"/>
  <c r="F466" i="1" s="1"/>
  <c r="H612" i="1" s="1"/>
  <c r="J612" i="1" s="1"/>
  <c r="I449" i="1"/>
  <c r="G450" i="1"/>
  <c r="G451" i="1" s="1"/>
  <c r="H630" i="1" s="1"/>
  <c r="G10" i="2"/>
  <c r="G19" i="2" s="1"/>
  <c r="J19" i="1"/>
  <c r="G611" i="1" s="1"/>
  <c r="J622" i="1"/>
  <c r="J613" i="1"/>
  <c r="G614" i="1"/>
  <c r="J614" i="1" s="1"/>
  <c r="H44" i="1"/>
  <c r="H609" i="1" s="1"/>
  <c r="J609" i="1" s="1"/>
  <c r="J41" i="1" l="1"/>
  <c r="I450" i="1"/>
  <c r="I451" i="1" s="1"/>
  <c r="H632" i="1" s="1"/>
  <c r="J632" i="1" s="1"/>
  <c r="G40" i="2" l="1"/>
  <c r="G42" i="2" s="1"/>
  <c r="G43" i="2" s="1"/>
  <c r="J43" i="1"/>
  <c r="G616" i="1" l="1"/>
  <c r="J44" i="1"/>
  <c r="H611" i="1" s="1"/>
  <c r="J611" i="1" s="1"/>
  <c r="J616" i="1" l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9A919EC-4708-4314-BB6B-D2DEFE08663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724360F-B0C8-4613-BB92-0ED5F997DBC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5EA9E9E-E2F0-4138-9728-A5EFFAA6F01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51FDDDA-5658-473B-AC43-A7F5CB0D6B3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AD31282-E21A-45C1-9485-44E2C7141C2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6E08089-527D-449E-BC22-668A72DB561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23D2ED0-AE49-48BC-9FC5-A179E43BF11D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B26702C5-2279-459B-8ADB-110ACCDB672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6A68041-6443-44B7-A0F1-2A0A5895CF73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8A048B40-399B-4460-9BB3-7AF4CFFA6F2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C2D021B-F4FD-42E4-B59D-EB4BAD8D26B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A7F808D-0741-4ACB-BC23-4FD6B536C3C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<sst xmlns="http://schemas.openxmlformats.org/spreadsheetml/2006/main" count="3873" uniqueCount="898">
  <si>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</si>
  <si>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</si>
  <si>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</si>
  <si>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</si>
  <si>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</si>
  <si>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</si>
  <si>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</si>
  <si>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</si>
  <si>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</si>
  <si>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</si>
  <si>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</si>
  <si>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</si>
  <si>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</si>
  <si>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</si>
  <si>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</si>
  <si>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</si>
  <si>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</si>
  <si>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</si>
  <si>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</si>
  <si>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</si>
  <si>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</si>
  <si>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</si>
  <si>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</si>
  <si>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</si>
  <si>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</si>
  <si>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</si>
  <si>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</si>
  <si>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</si>
  <si>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</si>
  <si>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</si>
  <si>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</si>
  <si>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</si>
  <si>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</si>
  <si>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</si>
  <si>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</si>
  <si>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</si>
  <si>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</si>
  <si>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</si>
  <si>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</si>
  <si>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</si>
  <si>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</si>
  <si>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</si>
  <si>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</si>
  <si>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</si>
  <si>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</si>
  <si>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</si>
  <si>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</si>
  <si>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</si>
  <si>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</si>
  <si>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</si>
  <si>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</si>
  <si>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</si>
  <si>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</si>
  <si>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</si>
  <si>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</si>
  <si>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</si>
  <si>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</si>
  <si>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</si>
  <si>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</si>
  <si>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</si>
  <si>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</si>
  <si>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</si>
  <si>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</si>
  <si>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</si>
  <si>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</si>
  <si>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</si>
  <si>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</si>
  <si>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</si>
  <si>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</si>
  <si>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</si>
  <si>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</si>
  <si>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</si>
  <si>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</si>
  <si>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</si>
  <si>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</si>
  <si>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</si>
  <si>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</si>
  <si>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</si>
  <si>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</si>
  <si>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</si>
  <si>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</si>
  <si>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</si>
  <si>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</si>
  <si>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</si>
  <si>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</si>
  <si>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</si>
  <si>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</si>
  <si>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</si>
  <si>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</si>
  <si>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</si>
  <si>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</si>
  <si>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</si>
  <si>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</si>
  <si>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</si>
  <si>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</si>
  <si>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</si>
  <si>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</si>
  <si>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</si>
  <si>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</si>
  <si>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</si>
  <si>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</si>
  <si>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</si>
  <si>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</si>
  <si>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</si>
  <si>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</si>
  <si>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</si>
  <si>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</si>
  <si>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</si>
  <si>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</si>
  <si>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</si>
  <si>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</si>
  <si>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</si>
  <si>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</si>
  <si>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</si>
  <si>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</si>
  <si>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</si>
  <si>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</si>
  <si>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</si>
  <si>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</si>
  <si>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</si>
  <si>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</si>
  <si>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</si>
  <si>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</si>
  <si>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</si>
  <si>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</si>
  <si>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</si>
  <si>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</si>
  <si>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</si>
  <si>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</si>
  <si>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</si>
  <si>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</si>
  <si>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</si>
  <si>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</si>
  <si>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</si>
  <si>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</si>
  <si>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</si>
  <si>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</si>
  <si>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</si>
  <si>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</si>
  <si>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</si>
  <si>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</si>
  <si>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</si>
  <si>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</si>
  <si>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</si>
  <si>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</si>
  <si>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</si>
  <si>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</si>
  <si>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</si>
  <si>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</si>
  <si>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</si>
  <si>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</si>
  <si>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</si>
  <si>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</si>
  <si>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</si>
  <si>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</si>
  <si>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</si>
  <si>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</si>
  <si>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</si>
  <si>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</si>
  <si>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</si>
  <si>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</si>
  <si>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</si>
  <si>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</si>
  <si>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</si>
  <si>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</si>
  <si>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</si>
  <si>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</si>
  <si>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</si>
  <si>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</si>
  <si>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</si>
  <si>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</si>
  <si>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</si>
  <si>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</si>
  <si>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</si>
  <si>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</si>
  <si>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</si>
  <si>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</si>
  <si>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</si>
  <si>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</si>
  <si>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</si>
  <si>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</si>
  <si>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</si>
  <si>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</si>
  <si>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</si>
  <si>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</si>
  <si>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</si>
  <si>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</si>
  <si>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</si>
  <si>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</si>
  <si>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</si>
  <si>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</si>
  <si>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</si>
  <si>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</si>
  <si>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</si>
  <si>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</si>
  <si>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</si>
  <si>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</si>
  <si>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</si>
  <si>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</si>
  <si>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</si>
  <si>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</si>
  <si>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</si>
  <si>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</si>
  <si>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</si>
  <si>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</si>
  <si>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</si>
  <si>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</si>
  <si>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</si>
  <si>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</si>
  <si>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</si>
  <si>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</si>
  <si>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</si>
  <si>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</si>
  <si>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</si>
  <si>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</si>
  <si>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</si>
  <si>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</si>
  <si>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</si>
  <si>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</si>
  <si>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</si>
  <si>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</si>
  <si>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</si>
  <si>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</si>
  <si>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</si>
  <si>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</si>
  <si>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</si>
  <si>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</si>
  <si>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</si>
  <si>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</si>
  <si>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</si>
  <si>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</si>
  <si>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</si>
  <si>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</si>
  <si>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</si>
  <si>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</si>
  <si>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</si>
  <si>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</si>
  <si>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</si>
  <si>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</si>
  <si>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</si>
  <si>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</si>
  <si>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</si>
  <si>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</si>
  <si>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</si>
  <si>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</si>
  <si>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</si>
  <si>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</si>
  <si>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</si>
  <si>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</si>
  <si>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</si>
  <si>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</si>
  <si>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</si>
  <si>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</si>
  <si>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</si>
  <si>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</si>
  <si>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</si>
  <si>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</si>
  <si>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</si>
  <si>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</si>
  <si>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</si>
  <si>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</si>
  <si>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</si>
  <si>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</si>
  <si>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</si>
  <si>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</si>
  <si>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</si>
  <si>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</si>
  <si>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</si>
  <si>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</si>
  <si>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</si>
  <si>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</si>
  <si>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</si>
  <si>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</si>
  <si>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</si>
  <si>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</si>
  <si>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</si>
  <si>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</si>
  <si>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</si>
  <si>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</si>
  <si>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</si>
  <si>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</si>
  <si>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</si>
  <si>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</si>
  <si>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</si>
  <si>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</si>
  <si>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</si>
  <si>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</si>
  <si>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</si>
  <si>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</si>
  <si>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</si>
  <si>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</si>
  <si>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</si>
  <si>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</si>
  <si>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</si>
  <si>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</si>
  <si>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</si>
  <si>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</si>
  <si>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</si>
  <si>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</si>
  <si>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</si>
  <si>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</si>
  <si>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</si>
  <si>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</si>
  <si>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</si>
  <si>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</si>
  <si>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</si>
  <si>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</si>
  <si>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</si>
  <si>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</si>
  <si>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</si>
  <si>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</si>
  <si>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</si>
  <si>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</si>
  <si>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</si>
  <si>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</si>
  <si>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</si>
  <si>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</si>
  <si>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</si>
  <si>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</si>
  <si>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</si>
  <si>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</si>
  <si>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</si>
  <si>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</si>
  <si>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</si>
  <si>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</si>
  <si>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</si>
  <si>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</si>
  <si>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</si>
  <si>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</si>
  <si>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</si>
  <si>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</si>
  <si>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</si>
  <si>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</si>
  <si>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</si>
  <si>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</si>
  <si>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</si>
  <si>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</si>
  <si>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</si>
  <si>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</si>
  <si>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</si>
  <si>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</si>
  <si>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</si>
  <si>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</si>
  <si>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</si>
  <si>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</si>
  <si>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</si>
  <si>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</si>
  <si>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</si>
  <si>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</si>
  <si>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</si>
  <si>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</si>
  <si>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</si>
  <si>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</si>
  <si>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</si>
  <si>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</si>
  <si>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</si>
  <si>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</si>
  <si>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</si>
  <si>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</si>
  <si>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</si>
  <si>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</si>
  <si>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</si>
  <si>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</si>
  <si>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</si>
  <si>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</si>
  <si>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</si>
  <si>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</si>
  <si>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</si>
  <si>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</si>
  <si>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</si>
  <si>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</si>
  <si>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</si>
  <si>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</si>
  <si>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</si>
  <si>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</si>
  <si>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</si>
  <si>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</si>
  <si>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</si>
  <si>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</si>
  <si>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</si>
  <si>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</si>
  <si>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</si>
  <si>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</si>
  <si>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</si>
  <si>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</si>
  <si>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</si>
  <si>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</si>
  <si>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</si>
  <si>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</si>
  <si>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</si>
  <si>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</si>
  <si>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</si>
  <si>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</si>
  <si>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</si>
  <si>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</si>
  <si>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</si>
  <si>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</si>
  <si>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</si>
  <si>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</si>
  <si>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</si>
  <si>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</si>
  <si>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</si>
  <si>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</si>
  <si>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</si>
  <si>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</si>
  <si>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</si>
  <si>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</si>
  <si>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</si>
  <si>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</si>
  <si>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</si>
  <si>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</si>
  <si>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</si>
  <si>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</si>
  <si>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</si>
  <si>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</si>
  <si>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</si>
  <si>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</si>
  <si>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</si>
  <si>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</si>
  <si>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</si>
  <si>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</si>
  <si>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</si>
  <si>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</si>
  <si>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</si>
  <si>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</si>
  <si>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</si>
  <si>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</si>
  <si>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</si>
  <si>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</si>
  <si>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</si>
  <si>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</si>
  <si>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</si>
  <si>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</si>
  <si>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</si>
  <si>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</si>
  <si>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</si>
  <si>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</si>
  <si>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</si>
  <si>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</si>
  <si>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</si>
  <si>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</si>
  <si>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</si>
  <si>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</si>
  <si>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</si>
  <si>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</si>
  <si>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</si>
  <si>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</si>
  <si>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</si>
  <si>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</si>
  <si>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</si>
  <si>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</si>
  <si>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</si>
  <si>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</si>
  <si>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</si>
  <si>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</si>
  <si>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</si>
  <si>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</si>
  <si>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</si>
  <si>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</si>
  <si>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</si>
  <si>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</si>
  <si>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</si>
  <si>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</si>
  <si>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</si>
  <si>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</si>
  <si>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</si>
  <si>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</si>
  <si>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</si>
  <si>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</si>
  <si>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</si>
  <si>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</si>
  <si>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</si>
  <si>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</si>
  <si>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</si>
  <si>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</si>
  <si>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</si>
  <si>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</si>
  <si>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</si>
  <si>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</si>
  <si>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</si>
  <si>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</si>
  <si>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</si>
  <si>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</si>
  <si>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</si>
  <si>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</si>
  <si>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</si>
  <si>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</si>
  <si>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</si>
  <si>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</si>
  <si>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</si>
  <si>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</si>
  <si>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</si>
  <si>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</si>
  <si>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</si>
  <si>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</si>
  <si>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</si>
  <si>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</si>
  <si>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</si>
  <si>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</si>
  <si>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</si>
  <si>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</si>
  <si>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</si>
  <si>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</si>
  <si>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</si>
  <si>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</si>
  <si>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</si>
  <si>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</si>
  <si>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</si>
  <si>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</si>
  <si>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</si>
  <si>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</si>
  <si>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</si>
  <si>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</si>
  <si>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</si>
  <si>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</si>
  <si>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</si>
  <si>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</si>
  <si>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</si>
  <si>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</si>
  <si>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</si>
  <si>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</si>
  <si>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</si>
  <si>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</si>
  <si>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</si>
  <si>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</si>
  <si>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</si>
  <si>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</si>
  <si>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</si>
  <si>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</si>
  <si>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</si>
  <si>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</si>
  <si>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</si>
  <si>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</si>
  <si>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</si>
  <si>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</si>
  <si>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</si>
  <si>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</si>
  <si>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</si>
  <si>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</si>
  <si>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</si>
  <si>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</si>
  <si>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</si>
  <si>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</si>
  <si>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</si>
  <si>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</si>
  <si>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</si>
  <si>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</si>
  <si>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</si>
  <si>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</si>
  <si>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</si>
  <si>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</si>
  <si>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</si>
  <si>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</si>
  <si>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</si>
  <si>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</si>
  <si>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</si>
  <si>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</si>
  <si>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</si>
  <si>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</si>
  <si>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</si>
  <si>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</si>
  <si>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</si>
  <si>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</si>
  <si>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</si>
  <si>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</si>
  <si>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</si>
  <si>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</si>
  <si>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</si>
  <si>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</si>
  <si>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</si>
  <si>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</si>
  <si>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</si>
  <si>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</si>
  <si>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</si>
  <si>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</si>
  <si>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</si>
  <si>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</si>
  <si>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</si>
  <si>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</si>
  <si>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</si>
  <si>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</si>
  <si>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</si>
  <si>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</si>
  <si>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</si>
  <si>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</si>
  <si>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</si>
  <si>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</si>
  <si>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</si>
  <si>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</si>
  <si>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</si>
  <si>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</si>
  <si>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</si>
  <si>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</si>
  <si>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</si>
  <si>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</si>
  <si>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</si>
  <si>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</si>
  <si>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</si>
  <si>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</si>
  <si>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</si>
  <si>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</si>
  <si>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</si>
  <si>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</si>
  <si>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</si>
  <si>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</si>
  <si>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</si>
  <si>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</si>
  <si>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</si>
  <si>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</si>
  <si>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</si>
  <si>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</si>
  <si>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</si>
  <si>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</si>
  <si>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</si>
  <si>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</si>
  <si>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</si>
  <si>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</si>
  <si>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</si>
  <si>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</si>
  <si>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</si>
  <si>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</si>
  <si>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</si>
  <si>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</si>
  <si>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</si>
  <si>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</si>
  <si>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</si>
  <si>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</si>
  <si>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</si>
  <si>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</si>
  <si>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</si>
  <si>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</si>
  <si>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</si>
  <si>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</si>
  <si>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</si>
  <si>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</si>
  <si>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</si>
  <si>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</si>
  <si>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</si>
  <si>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</si>
  <si>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</si>
  <si>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</si>
  <si>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</si>
  <si>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</si>
  <si>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</si>
  <si>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</si>
  <si>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</si>
  <si>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</si>
  <si>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</si>
  <si>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</si>
  <si>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</si>
  <si>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</si>
  <si>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</si>
  <si>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</si>
  <si>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</si>
  <si>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</si>
  <si>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</si>
  <si>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</si>
  <si>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</si>
  <si>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</si>
  <si>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</si>
  <si>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</si>
  <si>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</si>
  <si>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</si>
  <si>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</si>
  <si>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</si>
  <si>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</si>
  <si>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</si>
  <si>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</si>
  <si>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</si>
  <si>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</si>
  <si>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</si>
  <si>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</si>
  <si>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</si>
  <si>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</si>
  <si>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</si>
  <si>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</si>
  <si>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</si>
  <si>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</si>
  <si>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</si>
  <si>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</si>
  <si>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</si>
  <si>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</si>
  <si>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</si>
  <si>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</si>
  <si>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</si>
  <si>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</si>
  <si>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</si>
  <si>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</si>
  <si>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</si>
  <si>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</si>
  <si>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</si>
  <si>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</si>
  <si>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</si>
  <si>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</si>
  <si>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</si>
  <si>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</si>
  <si>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</si>
  <si>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</si>
  <si>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</si>
  <si>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</si>
  <si>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</si>
  <si>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</si>
  <si>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</si>
  <si>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</si>
  <si>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</si>
  <si>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</si>
  <si>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</si>
  <si>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</si>
  <si>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</si>
  <si>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</si>
  <si>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</si>
  <si>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</si>
  <si>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</si>
  <si>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</si>
  <si>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</si>
  <si>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</si>
  <si>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</si>
  <si>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</si>
  <si>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</si>
  <si>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</si>
  <si>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</si>
  <si>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</si>
  <si>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</si>
  <si>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</si>
  <si>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</si>
  <si>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</si>
  <si>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</si>
  <si>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</si>
  <si>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</si>
  <si>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</si>
  <si>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</si>
  <si>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</si>
  <si>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</si>
  <si>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</si>
  <si>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</si>
  <si>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</si>
  <si>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</si>
  <si>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</si>
  <si>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</si>
  <si>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</si>
  <si>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</si>
  <si>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</si>
  <si>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</si>
  <si>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</si>
  <si>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</si>
  <si>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</si>
  <si>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</si>
  <si>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</si>
  <si>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</si>
  <si>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</si>
  <si>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</si>
  <si>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</si>
  <si>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</si>
  <si>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</si>
  <si>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</si>
  <si>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</si>
  <si>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</si>
  <si>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</si>
  <si>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</si>
  <si>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</si>
  <si>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</si>
  <si>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</si>
  <si>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</si>
  <si>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</si>
  <si>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</si>
  <si>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</si>
  <si>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</si>
  <si>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</si>
  <si>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</si>
  <si>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</si>
  <si>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</si>
  <si>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</si>
  <si>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</si>
  <si>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</si>
  <si>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</si>
  <si>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</si>
  <si>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</si>
  <si>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</si>
  <si>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</si>
  <si>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</si>
  <si>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</si>
  <si>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</si>
  <si>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</si>
  <si>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</si>
  <si>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</si>
  <si>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</si>
  <si>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</si>
  <si>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</si>
  <si>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</si>
  <si>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</si>
  <si>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</si>
  <si>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</si>
  <si>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</si>
  <si>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</si>
  <si>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</si>
  <si>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</si>
  <si>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</si>
  <si>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</si>
  <si>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</si>
  <si>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</si>
  <si>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</si>
  <si>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</si>
  <si>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</si>
  <si>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</si>
  <si>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</si>
  <si>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</si>
  <si>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</si>
  <si>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</si>
  <si>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</si>
  <si>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</si>
  <si>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</si>
  <si>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</si>
  <si>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</si>
  <si>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</si>
  <si>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</si>
  <si>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</si>
  <si>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</si>
  <si>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</si>
  <si>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</si>
  <si>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</si>
  <si>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</si>
  <si>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</si>
  <si>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</si>
  <si>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</si>
  <si>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</si>
  <si>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</si>
  <si>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</si>
  <si>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</si>
  <si>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</si>
  <si>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</si>
  <si>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</si>
  <si>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</si>
  <si>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</si>
  <si>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</si>
  <si>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</si>
  <si>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</si>
  <si>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</si>
  <si>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</si>
  <si>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</si>
  <si>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</si>
  <si>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</si>
  <si>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</si>
  <si>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</si>
  <si>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</si>
  <si>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</si>
  <si>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</si>
  <si>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</si>
  <si>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</si>
  <si>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</si>
  <si>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</si>
  <si>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</si>
  <si>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</si>
  <si>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</si>
  <si>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</si>
  <si>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</si>
  <si>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</si>
  <si>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</si>
  <si>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</si>
  <si>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</si>
  <si>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</si>
  <si>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</si>
  <si>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</si>
  <si>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</si>
  <si>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</si>
  <si>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</si>
  <si>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</si>
  <si>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</si>
  <si>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</si>
  <si>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</si>
  <si>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</si>
  <si>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</si>
  <si>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</si>
  <si>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</si>
  <si>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</si>
  <si>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</si>
  <si>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</si>
  <si>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</si>
  <si>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</si>
  <si>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</si>
  <si>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</si>
  <si>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</si>
  <si>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</si>
  <si>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</si>
  <si>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</si>
  <si>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</si>
  <si>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</si>
  <si>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</si>
  <si>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</si>
  <si>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</si>
  <si>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</si>
  <si>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</si>
  <si>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</si>
  <si>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</si>
  <si>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</si>
  <si>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 xml:space="preserve">Release reserve for contingent liability </t>
  </si>
  <si>
    <t>8/24</t>
  </si>
  <si>
    <t>08/04</t>
  </si>
  <si>
    <t>Sanborn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</si>
</sst>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CA64-7D88-48E0-B50A-EF688153B6F0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3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476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600757.62+13401.63</f>
        <v>614159.25</v>
      </c>
      <c r="G9" s="18">
        <v>120.14</v>
      </c>
      <c r="H9" s="18">
        <v>153464.06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278844.69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161545.60999999999</v>
      </c>
      <c r="G12" s="18">
        <v>34463.21</v>
      </c>
      <c r="H12" s="18" t="s">
        <v>310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f>14407.75</f>
        <v>14407.75</v>
      </c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802101.12</v>
      </c>
      <c r="G14" s="18">
        <v>208.25</v>
      </c>
      <c r="H14" s="18">
        <v>165713.63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5205.2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1583011.18</v>
      </c>
      <c r="G19" s="41">
        <f>SUM(G9:G18)</f>
        <v>49199.35</v>
      </c>
      <c r="H19" s="41">
        <f>SUM(H9:H18)</f>
        <v>319177.69</v>
      </c>
      <c r="I19" s="41">
        <f>SUM(I9:I18)</f>
        <v>0</v>
      </c>
      <c r="J19" s="41">
        <f>SUM(J9:J18)</f>
        <v>278844.69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34463.21</v>
      </c>
      <c r="G23" s="18"/>
      <c r="H23" s="18">
        <f>159667.96+1877.65</f>
        <v>161545.60999999999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338387.4+9126.22</f>
        <v>347513.62</v>
      </c>
      <c r="G25" s="18">
        <v>1474.3</v>
      </c>
      <c r="H25" s="18">
        <v>1041.07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24581.02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5330.69</v>
      </c>
      <c r="H31" s="18">
        <v>3725.67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406557.85000000003</v>
      </c>
      <c r="G33" s="41">
        <f>SUM(G23:G32)</f>
        <v>6804.99</v>
      </c>
      <c r="H33" s="41">
        <f>SUM(H23:H32)</f>
        <v>166312.35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694376.12</v>
      </c>
      <c r="G37" s="18"/>
      <c r="H37" s="18">
        <v>3550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1000</v>
      </c>
      <c r="G41" s="18">
        <f>47470.36+G185-L354</f>
        <v>42394.359999999986</v>
      </c>
      <c r="H41" s="18">
        <f>147084+H185-L330-H37+0.16</f>
        <v>149315.33999999994</v>
      </c>
      <c r="I41" s="18"/>
      <c r="J41" s="13">
        <f>SUM(I449)</f>
        <v>278844.69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F19-F33-F37-F41</f>
        <v>481077.20999999985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1176453.3299999998</v>
      </c>
      <c r="G43" s="41">
        <f>SUM(G35:G42)</f>
        <v>42394.359999999986</v>
      </c>
      <c r="H43" s="41">
        <f>SUM(H35:H42)</f>
        <v>152865.33999999994</v>
      </c>
      <c r="I43" s="41">
        <f>SUM(I35:I42)</f>
        <v>0</v>
      </c>
      <c r="J43" s="41">
        <f>SUM(J35:J42)</f>
        <v>278844.69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1583011.18</v>
      </c>
      <c r="G44" s="41">
        <f>G43+G33</f>
        <v>49199.349999999984</v>
      </c>
      <c r="H44" s="41">
        <f>H43+H33</f>
        <v>319177.68999999994</v>
      </c>
      <c r="I44" s="41">
        <f>I43+I33</f>
        <v>0</v>
      </c>
      <c r="J44" s="41">
        <f>J43+J33</f>
        <v>278844.69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9738466+7738681</f>
        <v>17477147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 t="s">
        <v>310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55734.73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17532881.73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11690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2426.4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3119745.19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3133861.59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5338.98</v>
      </c>
      <c r="G88" s="18">
        <v>55.38</v>
      </c>
      <c r="H88" s="18">
        <v>266.45</v>
      </c>
      <c r="I88" s="18"/>
      <c r="J88" s="18">
        <f>900.91+255.44</f>
        <v>1156.3499999999999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406907.35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>
        <v>70445.119999999995</v>
      </c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283.19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43173.82+7076.18</f>
        <v>50250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55588.979999999996</v>
      </c>
      <c r="G103" s="41">
        <f>SUM(G88:G102)</f>
        <v>406962.73</v>
      </c>
      <c r="H103" s="41">
        <f>SUM(H88:H102)</f>
        <v>70994.759999999995</v>
      </c>
      <c r="I103" s="41">
        <f>SUM(I88:I102)</f>
        <v>0</v>
      </c>
      <c r="J103" s="41">
        <f>SUM(J88:J102)</f>
        <v>1156.3499999999999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20722332.300000001</v>
      </c>
      <c r="G104" s="41">
        <f>G52+G103</f>
        <v>406962.73</v>
      </c>
      <c r="H104" s="41">
        <f>H52+H71+H86+H103</f>
        <v>70994.759999999995</v>
      </c>
      <c r="I104" s="41">
        <f>I52+I103</f>
        <v>0</v>
      </c>
      <c r="J104" s="41">
        <f>J52+J103</f>
        <v>1156.3499999999999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3708401-F111</f>
        <v>3578605.97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2519705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129795.03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18615.68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6246721.6800000006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875507.92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21228.53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301413.32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20208.580000000002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7581.14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22200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1240558.3500000001</v>
      </c>
      <c r="G128" s="41">
        <f>SUM(G115:G127)</f>
        <v>7581.14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7487280.0300000012</v>
      </c>
      <c r="G132" s="41">
        <f>G113+SUM(G128:G129)</f>
        <v>7581.14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3345.2</v>
      </c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3345.2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172109.76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78160.08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2115.42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140777.51999999999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407595.45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144912.59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177897.56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144912.59</v>
      </c>
      <c r="G154" s="41">
        <f>SUM(G142:G153)</f>
        <v>140777.51999999999</v>
      </c>
      <c r="H154" s="41">
        <f>SUM(H142:H153)</f>
        <v>837878.27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148257.79</v>
      </c>
      <c r="G161" s="41">
        <f>G139+G154+SUM(G155:G160)</f>
        <v>140777.51999999999</v>
      </c>
      <c r="H161" s="41">
        <f>H139+H154+SUM(H155:H160)</f>
        <v>837878.27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29664.42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29664.42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29664.42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28357870.120000001</v>
      </c>
      <c r="G185" s="47">
        <f>G104+G132+G161+G184</f>
        <v>584985.81000000006</v>
      </c>
      <c r="H185" s="47">
        <f>H104+H132+H161+H184</f>
        <v>908873.03</v>
      </c>
      <c r="I185" s="47">
        <f>I104+I132+I161+I184</f>
        <v>0</v>
      </c>
      <c r="J185" s="47">
        <f>J104+J132+J184</f>
        <v>1156.3499999999999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2732012.38</v>
      </c>
      <c r="G189" s="18">
        <v>1038484.37</v>
      </c>
      <c r="H189" s="18">
        <f>116082.87-52.5-52.5-584.5-647.24+600+600+4975</f>
        <v>120921.12999999999</v>
      </c>
      <c r="I189" s="18">
        <f>150817.01-902.83+795+199.9+200+921.57+58+644+411.78+2115.12+3195+3195+72.5+72.5+1248.74+1248.45-199.9-28-200-199.79+28304.71-4975</f>
        <v>186993.76</v>
      </c>
      <c r="J189" s="18">
        <f>128365.88-3353.12+14193.9+7335.8+133.95</f>
        <v>146676.41</v>
      </c>
      <c r="K189" s="18">
        <f>10356.9-1151.78</f>
        <v>9205.119999999999</v>
      </c>
      <c r="L189" s="19">
        <f>SUM(F189:K189)</f>
        <v>4234293.17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1027453.86</v>
      </c>
      <c r="G190" s="18">
        <v>525659.85</v>
      </c>
      <c r="H190" s="18">
        <v>165929.26</v>
      </c>
      <c r="I190" s="18">
        <v>8534.99</v>
      </c>
      <c r="J190" s="18">
        <v>1669.41</v>
      </c>
      <c r="K190" s="18"/>
      <c r="L190" s="19">
        <f>SUM(F190:K190)</f>
        <v>1729247.3699999999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41228.400000000001</v>
      </c>
      <c r="G192" s="18">
        <v>1009.2</v>
      </c>
      <c r="H192" s="18"/>
      <c r="I192" s="18"/>
      <c r="J192" s="18"/>
      <c r="K192" s="18"/>
      <c r="L192" s="19">
        <f>SUM(F192:K192)</f>
        <v>42237.599999999999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509161.58</v>
      </c>
      <c r="G194" s="18">
        <v>220414.77</v>
      </c>
      <c r="H194" s="18">
        <v>277</v>
      </c>
      <c r="I194" s="18">
        <v>4170.9799999999996</v>
      </c>
      <c r="J194" s="18"/>
      <c r="K194" s="18"/>
      <c r="L194" s="19">
        <f t="shared" ref="L194:L200" si="0">SUM(F194:K194)</f>
        <v>734024.33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99490</v>
      </c>
      <c r="G195" s="18">
        <f>49884.99-1085.03-3204.84</f>
        <v>45595.119999999995</v>
      </c>
      <c r="H195" s="18">
        <f>3957.29-400-318.44</f>
        <v>3238.85</v>
      </c>
      <c r="I195" s="18">
        <f>27594.04-1142.28+2475.32</f>
        <v>28927.08</v>
      </c>
      <c r="J195" s="18"/>
      <c r="K195" s="18">
        <v>1149.9000000000001</v>
      </c>
      <c r="L195" s="19">
        <f t="shared" si="0"/>
        <v>178400.94999999998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147701.69</v>
      </c>
      <c r="G196" s="18">
        <v>57463.68</v>
      </c>
      <c r="H196" s="18">
        <f>31996.72-27.92+5341.24-111.28</f>
        <v>37198.76</v>
      </c>
      <c r="I196" s="18">
        <f>4424.22+792.45-760</f>
        <v>4456.67</v>
      </c>
      <c r="J196" s="18">
        <v>227.98</v>
      </c>
      <c r="K196" s="18">
        <v>9354.0499999999993</v>
      </c>
      <c r="L196" s="19">
        <f t="shared" si="0"/>
        <v>256402.83000000002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433179.1</v>
      </c>
      <c r="G197" s="18">
        <v>208558.6</v>
      </c>
      <c r="H197" s="18">
        <v>8416.59</v>
      </c>
      <c r="I197" s="18">
        <f>2980.9+209.82-18.14</f>
        <v>3172.5800000000004</v>
      </c>
      <c r="J197" s="18">
        <v>3750</v>
      </c>
      <c r="K197" s="18">
        <v>5982</v>
      </c>
      <c r="L197" s="19">
        <f t="shared" si="0"/>
        <v>663058.86999999988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97801.12</v>
      </c>
      <c r="G198" s="18">
        <v>46975.53</v>
      </c>
      <c r="H198" s="18">
        <v>9926.5</v>
      </c>
      <c r="I198" s="18">
        <f>2302.59+5840.6-1942.43</f>
        <v>6200.76</v>
      </c>
      <c r="J198" s="18">
        <v>507.3</v>
      </c>
      <c r="K198" s="18">
        <v>238.43</v>
      </c>
      <c r="L198" s="19">
        <f t="shared" si="0"/>
        <v>161649.63999999998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377134.39</v>
      </c>
      <c r="G199" s="18">
        <v>232882.01</v>
      </c>
      <c r="H199" s="18">
        <f>452632.28-104291-125186.37-13001.36+1480+181862.45+143261.4+68429.4+10736+799.9-1480-5577.93-4827</f>
        <v>604837.77</v>
      </c>
      <c r="I199" s="18">
        <f>329661.61-2005.69-182.05-69.18+594.34+617.13</f>
        <v>328616.16000000003</v>
      </c>
      <c r="J199" s="18">
        <f>30208.1-6701-1936-12632-810.31+8885+6557+4815+6210+6210</f>
        <v>40805.79</v>
      </c>
      <c r="K199" s="18">
        <v>1854.31</v>
      </c>
      <c r="L199" s="19">
        <f t="shared" si="0"/>
        <v>1586130.4300000002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399262.7</v>
      </c>
      <c r="I200" s="18">
        <v>34049.769999999997</v>
      </c>
      <c r="J200" s="18"/>
      <c r="K200" s="18"/>
      <c r="L200" s="19">
        <f t="shared" si="0"/>
        <v>433312.47000000003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90416.8</v>
      </c>
      <c r="G201" s="18">
        <v>156753.54</v>
      </c>
      <c r="H201" s="18"/>
      <c r="I201" s="18"/>
      <c r="J201" s="18"/>
      <c r="K201" s="18"/>
      <c r="L201" s="19">
        <f>SUM(F201:K201)</f>
        <v>247170.34000000003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5555579.3199999994</v>
      </c>
      <c r="G203" s="41">
        <f t="shared" si="1"/>
        <v>2533796.67</v>
      </c>
      <c r="H203" s="41">
        <f t="shared" si="1"/>
        <v>1350008.56</v>
      </c>
      <c r="I203" s="41">
        <f t="shared" si="1"/>
        <v>605122.75</v>
      </c>
      <c r="J203" s="41">
        <f t="shared" si="1"/>
        <v>193636.89</v>
      </c>
      <c r="K203" s="41">
        <f t="shared" si="1"/>
        <v>27783.81</v>
      </c>
      <c r="L203" s="41">
        <f t="shared" si="1"/>
        <v>10265928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1577457.18</v>
      </c>
      <c r="G207" s="18">
        <v>575667.89</v>
      </c>
      <c r="H207" s="18">
        <f>49681.44-52.5-374.72+600</f>
        <v>49854.22</v>
      </c>
      <c r="I207" s="18">
        <f>120082.15-121.16-522.69+172.13+456.75+3195+75+1795-44.27-244.56-985.84</f>
        <v>123857.51</v>
      </c>
      <c r="J207" s="18">
        <f>70241.97-1941.28+2632+3867+352.5+77.55</f>
        <v>75229.740000000005</v>
      </c>
      <c r="K207" s="18">
        <f>6146.1-666.82</f>
        <v>5479.2800000000007</v>
      </c>
      <c r="L207" s="19">
        <f>SUM(F207:K207)</f>
        <v>2407545.8199999998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553896.81999999995</v>
      </c>
      <c r="G208" s="18">
        <v>340890.9</v>
      </c>
      <c r="H208" s="18">
        <v>110137.79</v>
      </c>
      <c r="I208" s="18">
        <f>6679.55+252.01-252.01</f>
        <v>6679.55</v>
      </c>
      <c r="J208" s="18">
        <v>1270.71</v>
      </c>
      <c r="K208" s="18"/>
      <c r="L208" s="19">
        <f>SUM(F208:K208)</f>
        <v>1012875.77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63361.91</v>
      </c>
      <c r="G210" s="18">
        <v>15303.53</v>
      </c>
      <c r="H210" s="18">
        <v>13454</v>
      </c>
      <c r="I210" s="18">
        <v>3650.39</v>
      </c>
      <c r="J210" s="18">
        <v>12299.71</v>
      </c>
      <c r="K210" s="18">
        <v>1080</v>
      </c>
      <c r="L210" s="19">
        <f>SUM(F210:K210)</f>
        <v>109149.54000000001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261154.69</v>
      </c>
      <c r="G212" s="18">
        <v>108652.33</v>
      </c>
      <c r="H212" s="18">
        <v>85675.61</v>
      </c>
      <c r="I212" s="18">
        <v>1276.98</v>
      </c>
      <c r="J212" s="18"/>
      <c r="K212" s="18"/>
      <c r="L212" s="19">
        <f t="shared" ref="L212:L218" si="2">SUM(F212:K212)</f>
        <v>456759.61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61310</v>
      </c>
      <c r="G213" s="18">
        <v>41859.64</v>
      </c>
      <c r="H213" s="18">
        <f>2542.27-184.36</f>
        <v>2357.91</v>
      </c>
      <c r="I213" s="18">
        <f>12991.92-661.32+1433.08</f>
        <v>13763.68</v>
      </c>
      <c r="J213" s="18">
        <v>2291.6799999999998</v>
      </c>
      <c r="K213" s="18">
        <v>5112.55</v>
      </c>
      <c r="L213" s="19">
        <f t="shared" si="2"/>
        <v>126695.46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85511.51</v>
      </c>
      <c r="G214" s="18">
        <v>33268.449999999997</v>
      </c>
      <c r="H214" s="18">
        <f>18524.45-16.16+3092.3-64.43</f>
        <v>21536.16</v>
      </c>
      <c r="I214" s="18">
        <f>2561.37+458.79-440</f>
        <v>2580.16</v>
      </c>
      <c r="J214" s="18">
        <v>131.99</v>
      </c>
      <c r="K214" s="18">
        <v>5415.49</v>
      </c>
      <c r="L214" s="19">
        <f t="shared" si="2"/>
        <v>148443.75999999998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233840.68</v>
      </c>
      <c r="G215" s="18">
        <v>117749.34</v>
      </c>
      <c r="H215" s="18">
        <v>5677.74</v>
      </c>
      <c r="I215" s="18"/>
      <c r="J215" s="18"/>
      <c r="K215" s="18">
        <v>1885</v>
      </c>
      <c r="L215" s="19">
        <f t="shared" si="2"/>
        <v>359152.76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56621.69</v>
      </c>
      <c r="G216" s="18">
        <v>27196.35</v>
      </c>
      <c r="H216" s="18">
        <v>5746.92</v>
      </c>
      <c r="I216" s="18">
        <f>1333.07+3381.4-1124.57</f>
        <v>3589.9000000000005</v>
      </c>
      <c r="J216" s="18">
        <v>293.7</v>
      </c>
      <c r="K216" s="18">
        <v>134.19999999999999</v>
      </c>
      <c r="L216" s="19">
        <f t="shared" si="2"/>
        <v>93582.76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179639.71</v>
      </c>
      <c r="G217" s="18">
        <v>89224.37</v>
      </c>
      <c r="H217" s="18">
        <f>210869.87-113725-7527.1+990+3500+463.1-990</f>
        <v>93580.87</v>
      </c>
      <c r="I217" s="18">
        <f>172928.53-182.05-40.05+636.2+534.78+985.84</f>
        <v>174863.25000000003</v>
      </c>
      <c r="J217" s="18">
        <f>37585.24-3640-28900-469.13+6210</f>
        <v>10786.109999999997</v>
      </c>
      <c r="K217" s="18">
        <v>1007.33</v>
      </c>
      <c r="L217" s="19">
        <f t="shared" si="2"/>
        <v>549101.6399999999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180375.72</v>
      </c>
      <c r="I218" s="18">
        <v>19713.03</v>
      </c>
      <c r="J218" s="18"/>
      <c r="K218" s="18"/>
      <c r="L218" s="19">
        <f t="shared" si="2"/>
        <v>200088.75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47468.82</v>
      </c>
      <c r="G219" s="18">
        <v>82295.62</v>
      </c>
      <c r="H219" s="18"/>
      <c r="I219" s="18"/>
      <c r="J219" s="18"/>
      <c r="K219" s="18"/>
      <c r="L219" s="19">
        <f>SUM(F219:K219)</f>
        <v>129764.44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3120263.01</v>
      </c>
      <c r="G221" s="41">
        <f>SUM(G207:G220)</f>
        <v>1432108.4200000004</v>
      </c>
      <c r="H221" s="41">
        <f>SUM(H207:H220)</f>
        <v>568396.93999999994</v>
      </c>
      <c r="I221" s="41">
        <f>SUM(I207:I220)</f>
        <v>349974.45000000007</v>
      </c>
      <c r="J221" s="41">
        <f>SUM(J207:J220)</f>
        <v>102303.64</v>
      </c>
      <c r="K221" s="41">
        <f t="shared" si="3"/>
        <v>20113.850000000002</v>
      </c>
      <c r="L221" s="41">
        <f t="shared" si="3"/>
        <v>5593160.3099999996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2416182.61</v>
      </c>
      <c r="G225" s="18">
        <v>866180.36</v>
      </c>
      <c r="H225" s="18">
        <f>156314.27-2052.5-681.31+1200</f>
        <v>154780.46</v>
      </c>
      <c r="I225" s="18">
        <f>190616.87-1092.8-8000-950.34-1198.95+3195+2690+75+8+730.7+813.28+2083.22-184.28</f>
        <v>188785.7</v>
      </c>
      <c r="J225" s="18">
        <f>111434.82-3529.6+1200+141</f>
        <v>109246.22</v>
      </c>
      <c r="K225" s="18">
        <f>11902-1212.4</f>
        <v>10689.6</v>
      </c>
      <c r="L225" s="19">
        <f>SUM(F225:K225)</f>
        <v>3745864.95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627964.18999999994</v>
      </c>
      <c r="G226" s="18">
        <v>297368.86</v>
      </c>
      <c r="H226" s="18">
        <v>977303.34</v>
      </c>
      <c r="I226" s="18">
        <v>7578.29</v>
      </c>
      <c r="J226" s="18">
        <v>6162.56</v>
      </c>
      <c r="K226" s="18"/>
      <c r="L226" s="19">
        <f>SUM(F226:K226)</f>
        <v>1916377.24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226264.5</v>
      </c>
      <c r="I227" s="18"/>
      <c r="J227" s="18"/>
      <c r="K227" s="18"/>
      <c r="L227" s="19">
        <f>SUM(F227:K227)</f>
        <v>226264.5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150964.69</v>
      </c>
      <c r="G228" s="18">
        <v>29388.94</v>
      </c>
      <c r="H228" s="18">
        <v>60599.93</v>
      </c>
      <c r="I228" s="18">
        <v>11843.17</v>
      </c>
      <c r="J228" s="18">
        <f>36578.15-5969</f>
        <v>30609.15</v>
      </c>
      <c r="K228" s="18">
        <v>5144</v>
      </c>
      <c r="L228" s="19">
        <f>SUM(F228:K228)</f>
        <v>288549.88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330559.25</v>
      </c>
      <c r="G230" s="18">
        <v>150720.12</v>
      </c>
      <c r="H230" s="18">
        <v>2258</v>
      </c>
      <c r="I230" s="18">
        <v>5143.96</v>
      </c>
      <c r="J230" s="18">
        <v>698.19</v>
      </c>
      <c r="K230" s="18">
        <v>585</v>
      </c>
      <c r="L230" s="19">
        <f t="shared" ref="L230:L236" si="4">SUM(F230:K230)</f>
        <v>489964.52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79179.48</v>
      </c>
      <c r="G231" s="18">
        <f>56058.07-2600.13</f>
        <v>53457.94</v>
      </c>
      <c r="H231" s="18">
        <f>11102.14-335.2</f>
        <v>10766.939999999999</v>
      </c>
      <c r="I231" s="18">
        <f>30957.5-1202.4+2605.6</f>
        <v>32360.699999999997</v>
      </c>
      <c r="J231" s="18">
        <v>752.3</v>
      </c>
      <c r="K231" s="18">
        <v>1202.55</v>
      </c>
      <c r="L231" s="19">
        <f t="shared" si="4"/>
        <v>177719.90999999997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155475.46</v>
      </c>
      <c r="G232" s="18">
        <v>60488.1</v>
      </c>
      <c r="H232" s="18">
        <f>33680.77-29.38+5622.35-117.14</f>
        <v>39156.6</v>
      </c>
      <c r="I232" s="18">
        <f>4657.07+834.16-800</f>
        <v>4691.2299999999996</v>
      </c>
      <c r="J232" s="18">
        <v>239.98</v>
      </c>
      <c r="K232" s="18">
        <v>9846.3799999999992</v>
      </c>
      <c r="L232" s="19">
        <f t="shared" si="4"/>
        <v>269897.75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326127.49</v>
      </c>
      <c r="G233" s="18">
        <v>156566.39000000001</v>
      </c>
      <c r="H233" s="18">
        <v>11967.26</v>
      </c>
      <c r="I233" s="18">
        <v>11854.23</v>
      </c>
      <c r="J233" s="18"/>
      <c r="K233" s="18">
        <v>18369.240000000002</v>
      </c>
      <c r="L233" s="19">
        <f t="shared" si="4"/>
        <v>524884.61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102948.55</v>
      </c>
      <c r="G234" s="18">
        <v>49447.93</v>
      </c>
      <c r="H234" s="18">
        <v>10448.950000000001</v>
      </c>
      <c r="I234" s="18">
        <f>2423.78+6148-2044.66</f>
        <v>6527.1200000000008</v>
      </c>
      <c r="J234" s="18">
        <v>1596.95</v>
      </c>
      <c r="K234" s="18">
        <v>245.45</v>
      </c>
      <c r="L234" s="19">
        <f t="shared" si="4"/>
        <v>171214.95000000004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456062.9</v>
      </c>
      <c r="G235" s="18">
        <v>282898.93</v>
      </c>
      <c r="H235" s="18">
        <f>311603.87-1200-5937.5-107699-13685.64+6430+6320+8000+842-2250</f>
        <v>202423.72999999998</v>
      </c>
      <c r="I235" s="18">
        <f>577878.94-546.05-22228.85-72.83+1182.48-600.5</f>
        <v>555613.18999999994</v>
      </c>
      <c r="J235" s="18">
        <f>75629.2-24537-852.96</f>
        <v>50239.24</v>
      </c>
      <c r="K235" s="18">
        <v>2986.56</v>
      </c>
      <c r="L235" s="19">
        <f t="shared" si="4"/>
        <v>1550224.55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448357.62</v>
      </c>
      <c r="I236" s="18">
        <v>35841.870000000003</v>
      </c>
      <c r="J236" s="18"/>
      <c r="K236" s="18"/>
      <c r="L236" s="19">
        <f t="shared" si="4"/>
        <v>484199.49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88156.38</v>
      </c>
      <c r="G237" s="18">
        <v>152834.70000000001</v>
      </c>
      <c r="H237" s="18"/>
      <c r="I237" s="18"/>
      <c r="J237" s="18"/>
      <c r="K237" s="18"/>
      <c r="L237" s="19">
        <f>SUM(F237:K237)</f>
        <v>240991.08000000002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4733621</v>
      </c>
      <c r="G239" s="41">
        <f t="shared" si="5"/>
        <v>2099352.27</v>
      </c>
      <c r="H239" s="41">
        <f t="shared" si="5"/>
        <v>2144327.33</v>
      </c>
      <c r="I239" s="41">
        <f t="shared" si="5"/>
        <v>860239.46</v>
      </c>
      <c r="J239" s="41">
        <f t="shared" si="5"/>
        <v>199544.59</v>
      </c>
      <c r="K239" s="41">
        <f t="shared" si="5"/>
        <v>49068.78</v>
      </c>
      <c r="L239" s="41">
        <f t="shared" si="5"/>
        <v>10086153.430000002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15096.8</v>
      </c>
      <c r="G245" s="18">
        <v>1329.74</v>
      </c>
      <c r="H245" s="18">
        <f>1772.1+368.9-368.9</f>
        <v>1772.1</v>
      </c>
      <c r="I245" s="18">
        <v>878.22</v>
      </c>
      <c r="J245" s="18"/>
      <c r="K245" s="18">
        <v>2500</v>
      </c>
      <c r="L245" s="19">
        <f t="shared" si="6"/>
        <v>21576.86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9881.63+6300+423.87-6300</f>
        <v>10305.5</v>
      </c>
      <c r="I247" s="18"/>
      <c r="J247" s="18"/>
      <c r="K247" s="18"/>
      <c r="L247" s="19">
        <f t="shared" si="6"/>
        <v>10305.5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15096.8</v>
      </c>
      <c r="G248" s="41">
        <f t="shared" si="7"/>
        <v>1329.74</v>
      </c>
      <c r="H248" s="41">
        <f t="shared" si="7"/>
        <v>12077.6</v>
      </c>
      <c r="I248" s="41">
        <f t="shared" si="7"/>
        <v>878.22</v>
      </c>
      <c r="J248" s="41">
        <f t="shared" si="7"/>
        <v>0</v>
      </c>
      <c r="K248" s="41">
        <f t="shared" si="7"/>
        <v>2500</v>
      </c>
      <c r="L248" s="41">
        <f>SUM(F248:K248)</f>
        <v>31882.36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13424560.129999999</v>
      </c>
      <c r="G249" s="41">
        <f t="shared" si="8"/>
        <v>6066587.1000000006</v>
      </c>
      <c r="H249" s="41">
        <f t="shared" si="8"/>
        <v>4074810.43</v>
      </c>
      <c r="I249" s="41">
        <f t="shared" si="8"/>
        <v>1816214.8800000001</v>
      </c>
      <c r="J249" s="41">
        <f t="shared" si="8"/>
        <v>495485.12</v>
      </c>
      <c r="K249" s="41">
        <f t="shared" si="8"/>
        <v>99466.44</v>
      </c>
      <c r="L249" s="41">
        <f t="shared" si="8"/>
        <v>25977124.100000001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1747252.48</v>
      </c>
      <c r="L252" s="19">
        <f>SUM(F252:K252)</f>
        <v>1747252.48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596085.02</v>
      </c>
      <c r="L253" s="19">
        <f>SUM(F253:K253)</f>
        <v>596085.02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29664.42</v>
      </c>
      <c r="L255" s="19">
        <f>SUM(F255:K255)</f>
        <v>29664.42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2373001.92</v>
      </c>
      <c r="L262" s="41">
        <f t="shared" si="9"/>
        <v>2373001.92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13424560.129999999</v>
      </c>
      <c r="G263" s="42">
        <f t="shared" si="11"/>
        <v>6066587.1000000006</v>
      </c>
      <c r="H263" s="42">
        <f t="shared" si="11"/>
        <v>4074810.43</v>
      </c>
      <c r="I263" s="42">
        <f t="shared" si="11"/>
        <v>1816214.8800000001</v>
      </c>
      <c r="J263" s="42">
        <f t="shared" si="11"/>
        <v>495485.12</v>
      </c>
      <c r="K263" s="42">
        <f t="shared" si="11"/>
        <v>2472468.36</v>
      </c>
      <c r="L263" s="42">
        <f t="shared" si="11"/>
        <v>28350126.020000003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69722.31-25327.8</f>
        <v>44394.509999999995</v>
      </c>
      <c r="G268" s="18">
        <v>6776.34</v>
      </c>
      <c r="H268" s="18">
        <f>41057.45-1349+25327.8</f>
        <v>65036.25</v>
      </c>
      <c r="I268" s="18">
        <f>16647.35</f>
        <v>16647.349999999999</v>
      </c>
      <c r="J268" s="18">
        <v>945.44</v>
      </c>
      <c r="K268" s="18"/>
      <c r="L268" s="19">
        <f>SUM(F268:K268)</f>
        <v>133799.88999999998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128259.31</v>
      </c>
      <c r="G269" s="18">
        <v>20090.169999999998</v>
      </c>
      <c r="H269" s="18">
        <v>54069.84</v>
      </c>
      <c r="I269" s="18">
        <v>18169.89</v>
      </c>
      <c r="J269" s="18"/>
      <c r="K269" s="18"/>
      <c r="L269" s="19">
        <f>SUM(F269:K269)</f>
        <v>220589.20999999996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66360.320000000007</v>
      </c>
      <c r="G273" s="18">
        <v>10042.129999999999</v>
      </c>
      <c r="H273" s="18"/>
      <c r="I273" s="18"/>
      <c r="J273" s="18"/>
      <c r="K273" s="18"/>
      <c r="L273" s="19">
        <f t="shared" ref="L273:L279" si="12">SUM(F273:K273)</f>
        <v>76402.450000000012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402.5</v>
      </c>
      <c r="G274" s="18"/>
      <c r="H274" s="18">
        <v>7712.25</v>
      </c>
      <c r="I274" s="18">
        <v>533.80999999999995</v>
      </c>
      <c r="J274" s="18"/>
      <c r="K274" s="18"/>
      <c r="L274" s="19">
        <f t="shared" si="12"/>
        <v>8648.56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239416.64</v>
      </c>
      <c r="G282" s="42">
        <f t="shared" si="13"/>
        <v>36908.639999999999</v>
      </c>
      <c r="H282" s="42">
        <f t="shared" si="13"/>
        <v>126818.34</v>
      </c>
      <c r="I282" s="42">
        <f t="shared" si="13"/>
        <v>35351.049999999996</v>
      </c>
      <c r="J282" s="42">
        <f t="shared" si="13"/>
        <v>945.44</v>
      </c>
      <c r="K282" s="42">
        <f t="shared" si="13"/>
        <v>0</v>
      </c>
      <c r="L282" s="41">
        <f t="shared" si="13"/>
        <v>439440.11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37105.39-14287.46</f>
        <v>22817.93</v>
      </c>
      <c r="G287" s="18">
        <v>3677.95</v>
      </c>
      <c r="H287" s="18">
        <f>19543.09-781+14287.46</f>
        <v>33049.550000000003</v>
      </c>
      <c r="I287" s="18">
        <v>3728.7</v>
      </c>
      <c r="J287" s="18">
        <v>547.36</v>
      </c>
      <c r="K287" s="18"/>
      <c r="L287" s="19">
        <f>SUM(F287:K287)</f>
        <v>63821.490000000005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21976.45</v>
      </c>
      <c r="G288" s="18">
        <v>3434.33</v>
      </c>
      <c r="H288" s="18">
        <v>15949.67</v>
      </c>
      <c r="I288" s="18">
        <v>10519.41</v>
      </c>
      <c r="J288" s="18"/>
      <c r="K288" s="18"/>
      <c r="L288" s="19">
        <f>SUM(F288:K288)</f>
        <v>51879.86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33489.56</v>
      </c>
      <c r="G292" s="18">
        <v>5093.75</v>
      </c>
      <c r="H292" s="18"/>
      <c r="I292" s="18"/>
      <c r="J292" s="18"/>
      <c r="K292" s="18"/>
      <c r="L292" s="19">
        <f t="shared" ref="L292:L298" si="14">SUM(F292:K292)</f>
        <v>38583.31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>
        <v>3136.3</v>
      </c>
      <c r="I293" s="18">
        <v>76.03</v>
      </c>
      <c r="J293" s="18"/>
      <c r="K293" s="18"/>
      <c r="L293" s="19">
        <f t="shared" si="14"/>
        <v>3212.3300000000004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78283.94</v>
      </c>
      <c r="G301" s="42">
        <f t="shared" si="15"/>
        <v>12206.029999999999</v>
      </c>
      <c r="H301" s="42">
        <f t="shared" si="15"/>
        <v>52135.520000000004</v>
      </c>
      <c r="I301" s="42">
        <f t="shared" si="15"/>
        <v>14324.140000000001</v>
      </c>
      <c r="J301" s="42">
        <f t="shared" si="15"/>
        <v>547.36</v>
      </c>
      <c r="K301" s="42">
        <f t="shared" si="15"/>
        <v>0</v>
      </c>
      <c r="L301" s="41">
        <f t="shared" si="15"/>
        <v>157496.99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70427.13-25327.74</f>
        <v>45099.39</v>
      </c>
      <c r="G306" s="18">
        <v>6965.63</v>
      </c>
      <c r="H306" s="18">
        <f>33851.09-1420+25327.74</f>
        <v>57758.83</v>
      </c>
      <c r="I306" s="18">
        <v>7136.71</v>
      </c>
      <c r="J306" s="18">
        <v>995.2</v>
      </c>
      <c r="K306" s="18"/>
      <c r="L306" s="19">
        <f>SUM(F306:K306)</f>
        <v>117955.76000000001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39957.17</v>
      </c>
      <c r="G307" s="18">
        <v>6244.23</v>
      </c>
      <c r="H307" s="18">
        <v>46879.4</v>
      </c>
      <c r="I307" s="18">
        <v>19126.2</v>
      </c>
      <c r="J307" s="18"/>
      <c r="K307" s="18"/>
      <c r="L307" s="19">
        <f>SUM(F307:K307)</f>
        <v>112206.99999999999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60890.080000000002</v>
      </c>
      <c r="G311" s="18">
        <v>9261.33</v>
      </c>
      <c r="H311" s="18"/>
      <c r="I311" s="18"/>
      <c r="J311" s="18"/>
      <c r="K311" s="18"/>
      <c r="L311" s="19">
        <f t="shared" ref="L311:L317" si="16">SUM(F311:K311)</f>
        <v>70151.41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v>5702.36</v>
      </c>
      <c r="I312" s="18">
        <v>138.22</v>
      </c>
      <c r="J312" s="18"/>
      <c r="K312" s="18"/>
      <c r="L312" s="19">
        <f t="shared" si="16"/>
        <v>5840.58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145946.64000000001</v>
      </c>
      <c r="G320" s="42">
        <f t="shared" si="17"/>
        <v>22471.190000000002</v>
      </c>
      <c r="H320" s="42">
        <f t="shared" si="17"/>
        <v>110340.59000000001</v>
      </c>
      <c r="I320" s="42">
        <f t="shared" si="17"/>
        <v>26401.13</v>
      </c>
      <c r="J320" s="42">
        <f t="shared" si="17"/>
        <v>995.2</v>
      </c>
      <c r="K320" s="42">
        <f t="shared" si="17"/>
        <v>0</v>
      </c>
      <c r="L320" s="41">
        <f t="shared" si="17"/>
        <v>306154.75000000006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463647.22000000003</v>
      </c>
      <c r="G330" s="41">
        <f t="shared" si="20"/>
        <v>71585.86</v>
      </c>
      <c r="H330" s="41">
        <f t="shared" si="20"/>
        <v>289294.45</v>
      </c>
      <c r="I330" s="41">
        <f t="shared" si="20"/>
        <v>76076.319999999992</v>
      </c>
      <c r="J330" s="41">
        <f t="shared" si="20"/>
        <v>2488</v>
      </c>
      <c r="K330" s="41">
        <f t="shared" si="20"/>
        <v>0</v>
      </c>
      <c r="L330" s="41">
        <f t="shared" si="20"/>
        <v>903091.85000000009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463647.22000000003</v>
      </c>
      <c r="G344" s="41">
        <f>G330</f>
        <v>71585.86</v>
      </c>
      <c r="H344" s="41">
        <f>H330</f>
        <v>289294.45</v>
      </c>
      <c r="I344" s="41">
        <f>I330</f>
        <v>76076.319999999992</v>
      </c>
      <c r="J344" s="41">
        <f>J330</f>
        <v>2488</v>
      </c>
      <c r="K344" s="47">
        <f>K330+K343</f>
        <v>0</v>
      </c>
      <c r="L344" s="41">
        <f>L330+L343</f>
        <v>903091.85000000009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f>220204.89</f>
        <v>220204.89</v>
      </c>
      <c r="I350" s="18">
        <v>2028.04</v>
      </c>
      <c r="J350" s="18">
        <f>2042.3</f>
        <v>2042.3</v>
      </c>
      <c r="K350" s="18">
        <v>49.78</v>
      </c>
      <c r="L350" s="13">
        <f>SUM(F350:K350)</f>
        <v>224325.01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>
        <f>127487.03</f>
        <v>127487.03</v>
      </c>
      <c r="I351" s="18">
        <v>1174.1400000000001</v>
      </c>
      <c r="J351" s="18">
        <f>1072.85</f>
        <v>1072.8499999999999</v>
      </c>
      <c r="K351" s="18">
        <v>28.82</v>
      </c>
      <c r="L351" s="19">
        <f>SUM(F351:K351)</f>
        <v>129762.84000000001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f>231794.62</f>
        <v>231794.62</v>
      </c>
      <c r="I352" s="18">
        <v>2134.7800000000002</v>
      </c>
      <c r="J352" s="18">
        <f>1992.16</f>
        <v>1992.16</v>
      </c>
      <c r="K352" s="18">
        <v>52.4</v>
      </c>
      <c r="L352" s="19">
        <f>SUM(F352:K352)</f>
        <v>235973.96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579486.54</v>
      </c>
      <c r="I354" s="47">
        <f t="shared" si="22"/>
        <v>5336.9600000000009</v>
      </c>
      <c r="J354" s="47">
        <f t="shared" si="22"/>
        <v>5107.3099999999995</v>
      </c>
      <c r="K354" s="47">
        <f t="shared" si="22"/>
        <v>131</v>
      </c>
      <c r="L354" s="47">
        <f t="shared" si="22"/>
        <v>590061.81000000006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I350</f>
        <v>2028.04</v>
      </c>
      <c r="G360" s="63">
        <f>I351</f>
        <v>1174.1400000000001</v>
      </c>
      <c r="H360" s="63">
        <f>I352</f>
        <v>2134.7800000000002</v>
      </c>
      <c r="I360" s="56">
        <f>SUM(F360:H360)</f>
        <v>5336.9600000000009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2028.04</v>
      </c>
      <c r="G361" s="47">
        <f>SUM(G359:G360)</f>
        <v>1174.1400000000001</v>
      </c>
      <c r="H361" s="47">
        <f>SUM(H359:H360)</f>
        <v>2134.7800000000002</v>
      </c>
      <c r="I361" s="47">
        <f>SUM(I359:I360)</f>
        <v>5336.9600000000009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>
        <v>0</v>
      </c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255.44</v>
      </c>
      <c r="I388" s="18"/>
      <c r="J388" s="24" t="s">
        <v>312</v>
      </c>
      <c r="K388" s="24" t="s">
        <v>312</v>
      </c>
      <c r="L388" s="56">
        <f t="shared" si="26"/>
        <v>255.44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900.91</v>
      </c>
      <c r="I389" s="18"/>
      <c r="J389" s="24" t="s">
        <v>312</v>
      </c>
      <c r="K389" s="24" t="s">
        <v>312</v>
      </c>
      <c r="L389" s="56">
        <f t="shared" si="26"/>
        <v>900.91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1156.3499999999999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1156.3499999999999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1156.3499999999999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1156.3499999999999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f>277688.34+L400</f>
        <v>278844.69</v>
      </c>
      <c r="H432" s="18"/>
      <c r="I432" s="56">
        <f t="shared" si="33"/>
        <v>278844.69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278844.69</v>
      </c>
      <c r="H438" s="13">
        <f>SUM(H431:H437)</f>
        <v>0</v>
      </c>
      <c r="I438" s="13">
        <f>SUM(I431:I437)</f>
        <v>278844.69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G438</f>
        <v>278844.69</v>
      </c>
      <c r="H449" s="18"/>
      <c r="I449" s="56">
        <f>SUM(F449:H449)</f>
        <v>278844.69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278844.69</v>
      </c>
      <c r="H450" s="83">
        <f>SUM(H446:H449)</f>
        <v>0</v>
      </c>
      <c r="I450" s="83">
        <f>SUM(I446:I449)</f>
        <v>278844.69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278844.69</v>
      </c>
      <c r="H451" s="42">
        <f>H444+H450</f>
        <v>0</v>
      </c>
      <c r="I451" s="42">
        <f>I444+I450</f>
        <v>278844.69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f>498976.98+584732.25</f>
        <v>1083709.23</v>
      </c>
      <c r="G455" s="18">
        <v>47470.36</v>
      </c>
      <c r="H455" s="18">
        <f>147084.16</f>
        <v>147084.16</v>
      </c>
      <c r="I455" s="18"/>
      <c r="J455" s="18">
        <f>277688.34</f>
        <v>277688.34000000003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28357870.120000001</v>
      </c>
      <c r="G458" s="18">
        <f>G185</f>
        <v>584985.81000000006</v>
      </c>
      <c r="H458" s="18">
        <f>H185</f>
        <v>908873.03</v>
      </c>
      <c r="I458" s="18"/>
      <c r="J458" s="18">
        <f>L400</f>
        <v>1156.3499999999999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85000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28442870.120000001</v>
      </c>
      <c r="G460" s="53">
        <f>SUM(G458:G459)</f>
        <v>584985.81000000006</v>
      </c>
      <c r="H460" s="53">
        <f>SUM(H458:H459)</f>
        <v>908873.03</v>
      </c>
      <c r="I460" s="53">
        <f>SUM(I458:I459)</f>
        <v>0</v>
      </c>
      <c r="J460" s="53">
        <f>SUM(J458:J459)</f>
        <v>1156.3499999999999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28350126.020000003</v>
      </c>
      <c r="G462" s="18">
        <f>L354</f>
        <v>590061.81000000006</v>
      </c>
      <c r="H462" s="18">
        <f>L344</f>
        <v>903091.85000000009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28350126.020000003</v>
      </c>
      <c r="G464" s="53">
        <f>SUM(G462:G463)</f>
        <v>590061.81000000006</v>
      </c>
      <c r="H464" s="53">
        <f>SUM(H462:H463)</f>
        <v>903091.85000000009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1176453.3299999982</v>
      </c>
      <c r="G466" s="53">
        <f>(G455+G460)- G464</f>
        <v>42394.359999999986</v>
      </c>
      <c r="H466" s="53">
        <f>(H455+H460)- H464</f>
        <v>152865.33999999985</v>
      </c>
      <c r="I466" s="53">
        <f>(I455+I460)- I464</f>
        <v>0</v>
      </c>
      <c r="J466" s="53">
        <f>(J455+J460)- J464</f>
        <v>278844.69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894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 t="s">
        <v>310</v>
      </c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29770200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4.54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24820000</v>
      </c>
      <c r="G485" s="18"/>
      <c r="H485" s="18"/>
      <c r="I485" s="18"/>
      <c r="J485" s="18"/>
      <c r="K485" s="53">
        <f>SUM(F485:J485)</f>
        <v>24820000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1140000</v>
      </c>
      <c r="G487" s="18"/>
      <c r="H487" s="18"/>
      <c r="I487" s="18"/>
      <c r="J487" s="18"/>
      <c r="K487" s="53">
        <f t="shared" si="34"/>
        <v>1140000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23680000</v>
      </c>
      <c r="G488" s="205"/>
      <c r="H488" s="205"/>
      <c r="I488" s="205"/>
      <c r="J488" s="205"/>
      <c r="K488" s="206">
        <f t="shared" si="34"/>
        <v>23680000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17951237.67-818678.42-725921.75-712343.75-712343.75-693543.75-693543.75-668918.75-668918.75-643043.75-643043.75-615918.75-615918.75-587418.76</f>
        <v>9151681.2400000002</v>
      </c>
      <c r="G489" s="18"/>
      <c r="H489" s="18"/>
      <c r="I489" s="18"/>
      <c r="J489" s="18"/>
      <c r="K489" s="53">
        <f t="shared" si="34"/>
        <v>9151681.2400000002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32831681.240000002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32831681.240000002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1200000</v>
      </c>
      <c r="G491" s="205"/>
      <c r="H491" s="205"/>
      <c r="I491" s="205"/>
      <c r="J491" s="205"/>
      <c r="K491" s="206">
        <f t="shared" si="34"/>
        <v>1200000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587418.75+557418.75-28318</f>
        <v>1116519.5</v>
      </c>
      <c r="G492" s="18"/>
      <c r="H492" s="18"/>
      <c r="I492" s="18"/>
      <c r="J492" s="18"/>
      <c r="K492" s="53">
        <f t="shared" si="34"/>
        <v>1116519.5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2316519.5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2316519.5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238872</v>
      </c>
      <c r="G497" s="144"/>
      <c r="H497" s="144">
        <f>F497-I497</f>
        <v>9475</v>
      </c>
      <c r="I497" s="144">
        <v>229397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>
        <v>1101127</v>
      </c>
      <c r="G501" s="24" t="s">
        <v>312</v>
      </c>
      <c r="H501" s="18">
        <v>1101127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>
        <v>286911</v>
      </c>
      <c r="G502" s="24" t="s">
        <v>312</v>
      </c>
      <c r="H502" s="18">
        <v>260285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f>30815370+1086793</f>
        <v>31902163</v>
      </c>
      <c r="G503" s="24" t="s">
        <v>312</v>
      </c>
      <c r="H503" s="18">
        <v>31374122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f>65970+423414+49973</f>
        <v>539357</v>
      </c>
      <c r="G504" s="24" t="s">
        <v>312</v>
      </c>
      <c r="H504" s="18">
        <v>524035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>
        <v>34580</v>
      </c>
      <c r="G505" s="24" t="s">
        <v>312</v>
      </c>
      <c r="H505" s="18">
        <v>57164</v>
      </c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>
        <v>33864138</v>
      </c>
      <c r="H506" s="24" t="s">
        <v>312</v>
      </c>
      <c r="I506" s="18">
        <v>33316733</v>
      </c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33864138</v>
      </c>
      <c r="G507" s="42">
        <f>SUM(G501:G506)</f>
        <v>33864138</v>
      </c>
      <c r="H507" s="42">
        <f>SUM(H501:H506)</f>
        <v>33316733</v>
      </c>
      <c r="I507" s="42">
        <f>SUM(I501:I506)</f>
        <v>33316733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129903.07+113514+91158.19+142353.06+12684+1800+10040+2520+45606+75286+123860.29+32856.81+60819+41244.04+4997.65+90300+2206.66+3051.52+37959.31</f>
        <v>1022159.6000000003</v>
      </c>
      <c r="G511" s="18">
        <f>104871.95+110046.74+335.95+287.13+18538.92+18900.95+8368.39+12954.49+10241.62+9660.84+901.44+1116.08+965.51+988.55+150+92067.12+25423.24+257.22+123.95+12292.64+8258.21+10011.01+3170.79+3564.59+6221.78+719.74+458.38+644.07+410.85+9068.96+1116.12+7807.88+381.37+4877.6+304.76+21.05+388.04+18.97-1000+6907.87+7250.28+713.64+294.79+5932.02</f>
        <v>506035.50000000006</v>
      </c>
      <c r="H511" s="18">
        <f>18130+2190.73+10400+57791.59+1665.9+7965+1100+42315.25+263.08+3737.41+22000+27549.43+297.54</f>
        <v>195405.92999999996</v>
      </c>
      <c r="I511" s="18">
        <f>99.74+1668.18+407.22+834.58+1678.66+2784.64+18169.89</f>
        <v>25642.91</v>
      </c>
      <c r="J511" s="18">
        <f>311.34+716.09+641.98</f>
        <v>1669.41</v>
      </c>
      <c r="K511" s="18"/>
      <c r="L511" s="88">
        <f>SUM(F511:K511)</f>
        <v>1750913.35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192504+35245.51+6320+18130+152047.5+90381.48+210+1277.54+1766.67+21976.44</f>
        <v>519859.13999999996</v>
      </c>
      <c r="G512" s="18">
        <f>102904.57+294.09+19138.65+3402.67+15230.96+751.45+957.32+50+125965.74+291.74+17076.6+8278.95+12474.73+633.28+921.23+16.07+0.8+413.16+170.67+3434.33</f>
        <v>312407.00999999995</v>
      </c>
      <c r="H512" s="18">
        <f>12402.59+4145+82896.58+86.83+15949.67+172.26</f>
        <v>115652.93</v>
      </c>
      <c r="I512" s="18">
        <f>789.83+532.74+1244.7+2500.12+1612.16+10519.41</f>
        <v>17198.96</v>
      </c>
      <c r="J512" s="18">
        <f>899.03+371.67</f>
        <v>1270.7</v>
      </c>
      <c r="K512" s="18"/>
      <c r="L512" s="88">
        <f>SUM(F512:K512)</f>
        <v>966388.73999999976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258852+17983.33+12509.42+22700+105345+10867.18+82853+82276.04+1732.16+2322.8+3212.13+39957.17</f>
        <v>640610.2300000001</v>
      </c>
      <c r="G513" s="18">
        <f>96044.47+336.25+22961.48+1647.31+20896.38+1001.61+1184.25+25+30516.67+131.38+8855.15+1023.12+8479.67+258.57+441.72+69097.88+198.32+12320.69+8684.18+6741.06+536.93+627.59+132.46+7.33+2.41+8.12+6.59+751.19+310.29+6244.23</f>
        <v>299472.30000000005</v>
      </c>
      <c r="H513" s="18">
        <f>52980.91+13345.5+100875.12+99665.52+588067.52+186.99+3685.5+4720.25+17880+28999.4+313.2</f>
        <v>910719.91</v>
      </c>
      <c r="I513" s="18">
        <f>1856.5+291.78+1040.31+1381.94+2931.2+19126.2</f>
        <v>26627.93</v>
      </c>
      <c r="J513" s="18">
        <f>5296.8+189.99+675.78</f>
        <v>6162.57</v>
      </c>
      <c r="K513" s="18"/>
      <c r="L513" s="88">
        <f>SUM(F513:K513)</f>
        <v>1883592.9400000002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2182628.9700000002</v>
      </c>
      <c r="G514" s="108">
        <f t="shared" ref="G514:L514" si="35">SUM(G511:G513)</f>
        <v>1117914.81</v>
      </c>
      <c r="H514" s="108">
        <f t="shared" si="35"/>
        <v>1221778.77</v>
      </c>
      <c r="I514" s="108">
        <f t="shared" si="35"/>
        <v>69469.799999999988</v>
      </c>
      <c r="J514" s="108">
        <f t="shared" si="35"/>
        <v>9102.68</v>
      </c>
      <c r="K514" s="108">
        <f t="shared" si="35"/>
        <v>0</v>
      </c>
      <c r="L514" s="89">
        <f t="shared" si="35"/>
        <v>4600895.03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89947.26+45606+160+99717.02+22307.5+600+24192.88+35368.3</f>
        <v>317898.96000000002</v>
      </c>
      <c r="G516" s="18">
        <f>25093+7159.2+101.79+50.16+12.24+6324.59+3488.68+7247.54+3657.68+1.13+168.89+153.96+0.6+341.67+173.4+600+30608+11636.24+125.07+49.06+6901.39+1706.42+8305.95+1825.17+158.86+76.96+381.04+84.76+125.67+74.73+3739.28+5293.51</f>
        <v>125666.63999999998</v>
      </c>
      <c r="H516" s="18" t="s">
        <v>310</v>
      </c>
      <c r="I516" s="18" t="s">
        <v>310</v>
      </c>
      <c r="J516" s="18"/>
      <c r="K516" s="18"/>
      <c r="L516" s="88">
        <f>SUM(F516:K516)</f>
        <v>443565.6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35906.08+14006.41+20476.39</f>
        <v>70388.88</v>
      </c>
      <c r="G517" s="18">
        <f>9297.4+19.49+2731.49+3274.34+93.09+136.47+72.76+43.26+2164.85+3064.67</f>
        <v>20897.82</v>
      </c>
      <c r="H517" s="18">
        <v>84450.62</v>
      </c>
      <c r="I517" s="18" t="s">
        <v>310</v>
      </c>
      <c r="J517" s="18"/>
      <c r="K517" s="18"/>
      <c r="L517" s="88">
        <f>SUM(F517:K517)</f>
        <v>175737.32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12661.74+25466.19+37229.79</f>
        <v>75357.72</v>
      </c>
      <c r="G518" s="18">
        <f>16502+62.75+859.32+1031.49+14.44+48.18+78.66+132.29+3936.08+5572.12</f>
        <v>28237.329999999998</v>
      </c>
      <c r="H518" s="18"/>
      <c r="I518" s="18" t="s">
        <v>310</v>
      </c>
      <c r="J518" s="18"/>
      <c r="K518" s="18"/>
      <c r="L518" s="88">
        <f>SUM(F518:K518)</f>
        <v>103595.05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463645.56000000006</v>
      </c>
      <c r="G519" s="89">
        <f t="shared" ref="G519:L519" si="36">SUM(G516:G518)</f>
        <v>174801.78999999998</v>
      </c>
      <c r="H519" s="89">
        <f t="shared" si="36"/>
        <v>84450.62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722897.97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159459.65*0.38</f>
        <v>60594.667000000001</v>
      </c>
      <c r="G521" s="18">
        <f>86706.7*0.38</f>
        <v>32948.546000000002</v>
      </c>
      <c r="H521" s="18">
        <f>3387.02*0.38</f>
        <v>1287.0676000000001</v>
      </c>
      <c r="I521" s="18">
        <f>5100.82*0.38</f>
        <v>1938.3116</v>
      </c>
      <c r="J521" s="18"/>
      <c r="K521" s="18">
        <f>1752*0.38</f>
        <v>665.76</v>
      </c>
      <c r="L521" s="88">
        <f>SUM(F521:K521)</f>
        <v>97434.352199999994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159459.65*0.22</f>
        <v>35081.123</v>
      </c>
      <c r="G522" s="18">
        <f>86706.7*0.22</f>
        <v>19075.473999999998</v>
      </c>
      <c r="H522" s="18">
        <f>3387.02*0.22</f>
        <v>745.14440000000002</v>
      </c>
      <c r="I522" s="18">
        <f>5100.82*0.22</f>
        <v>1122.1804</v>
      </c>
      <c r="J522" s="18"/>
      <c r="K522" s="18">
        <f>1752*0.22</f>
        <v>385.44</v>
      </c>
      <c r="L522" s="88">
        <f>SUM(F522:K522)</f>
        <v>56409.361799999991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159459.65-F521-F522</f>
        <v>63783.859999999993</v>
      </c>
      <c r="G523" s="18">
        <f>86706.7-G521-G522</f>
        <v>34682.679999999993</v>
      </c>
      <c r="H523" s="18">
        <f>3387.02-H521-H522</f>
        <v>1354.808</v>
      </c>
      <c r="I523" s="18">
        <f>5100.82-I521-I522</f>
        <v>2040.3279999999997</v>
      </c>
      <c r="J523" s="18"/>
      <c r="K523" s="18">
        <f>1752-K521-K522</f>
        <v>700.8</v>
      </c>
      <c r="L523" s="88">
        <f>SUM(F523:K523)</f>
        <v>102562.47599999998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159459.65</v>
      </c>
      <c r="G524" s="89">
        <f t="shared" ref="G524:L524" si="37">SUM(G521:G523)</f>
        <v>86706.7</v>
      </c>
      <c r="H524" s="89">
        <f t="shared" si="37"/>
        <v>3387.02</v>
      </c>
      <c r="I524" s="89">
        <f t="shared" si="37"/>
        <v>5100.82</v>
      </c>
      <c r="J524" s="89">
        <f t="shared" si="37"/>
        <v>0</v>
      </c>
      <c r="K524" s="89">
        <f t="shared" si="37"/>
        <v>1752</v>
      </c>
      <c r="L524" s="89">
        <f t="shared" si="37"/>
        <v>256406.18999999994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f>11340.61*0.38</f>
        <v>4309.4318000000003</v>
      </c>
      <c r="I526" s="18"/>
      <c r="J526" s="18"/>
      <c r="K526" s="18"/>
      <c r="L526" s="88">
        <f>SUM(F526:K526)</f>
        <v>4309.4318000000003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f>11340.61*0.22</f>
        <v>2494.9342000000001</v>
      </c>
      <c r="I527" s="18"/>
      <c r="J527" s="18"/>
      <c r="K527" s="18"/>
      <c r="L527" s="88">
        <f>SUM(F527:K527)</f>
        <v>2494.9342000000001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f>11340.61-H526-H527</f>
        <v>4536.2440000000006</v>
      </c>
      <c r="I528" s="18"/>
      <c r="J528" s="18"/>
      <c r="K528" s="18"/>
      <c r="L528" s="88">
        <f>SUM(F528:K528)</f>
        <v>4536.2440000000006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11340.61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11340.61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167369.6</f>
        <v>167369.60000000001</v>
      </c>
      <c r="I531" s="18"/>
      <c r="J531" s="18"/>
      <c r="K531" s="18"/>
      <c r="L531" s="88">
        <f>SUM(F531:K531)</f>
        <v>167369.60000000001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21958.84</v>
      </c>
      <c r="I532" s="18"/>
      <c r="J532" s="18"/>
      <c r="K532" s="18"/>
      <c r="L532" s="88">
        <f>SUM(F532:K532)</f>
        <v>21958.84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147835.66</v>
      </c>
      <c r="I533" s="18"/>
      <c r="J533" s="18"/>
      <c r="K533" s="18"/>
      <c r="L533" s="88">
        <f>SUM(F533:K533)</f>
        <v>147835.66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337164.1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337164.1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2805734.18</v>
      </c>
      <c r="G535" s="89">
        <f t="shared" ref="G535:L535" si="40">G514+G519+G524+G529+G534</f>
        <v>1379423.3</v>
      </c>
      <c r="H535" s="89">
        <f t="shared" si="40"/>
        <v>1658121.12</v>
      </c>
      <c r="I535" s="89">
        <f t="shared" si="40"/>
        <v>74570.62</v>
      </c>
      <c r="J535" s="89">
        <f t="shared" si="40"/>
        <v>9102.68</v>
      </c>
      <c r="K535" s="89">
        <f t="shared" si="40"/>
        <v>1752</v>
      </c>
      <c r="L535" s="89">
        <f t="shared" si="40"/>
        <v>5928703.8999999994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1750913.35</v>
      </c>
      <c r="G539" s="87">
        <f>L516</f>
        <v>443565.6</v>
      </c>
      <c r="H539" s="87">
        <f>L521</f>
        <v>97434.352199999994</v>
      </c>
      <c r="I539" s="87">
        <f>L526</f>
        <v>4309.4318000000003</v>
      </c>
      <c r="J539" s="87">
        <f>L531</f>
        <v>167369.60000000001</v>
      </c>
      <c r="K539" s="87">
        <f>SUM(F539:J539)</f>
        <v>2463592.3340000003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966388.73999999976</v>
      </c>
      <c r="G540" s="87">
        <f>L517</f>
        <v>175737.32</v>
      </c>
      <c r="H540" s="87">
        <f>L522</f>
        <v>56409.361799999991</v>
      </c>
      <c r="I540" s="87">
        <f>L527</f>
        <v>2494.9342000000001</v>
      </c>
      <c r="J540" s="87">
        <f>L532</f>
        <v>21958.84</v>
      </c>
      <c r="K540" s="87">
        <f>SUM(F540:J540)</f>
        <v>1222989.196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1883592.9400000002</v>
      </c>
      <c r="G541" s="87">
        <f>L518</f>
        <v>103595.05</v>
      </c>
      <c r="H541" s="87">
        <f>L523</f>
        <v>102562.47599999998</v>
      </c>
      <c r="I541" s="87">
        <f>L528</f>
        <v>4536.2440000000006</v>
      </c>
      <c r="J541" s="87">
        <f>L533</f>
        <v>147835.66</v>
      </c>
      <c r="K541" s="87">
        <f>SUM(F541:J541)</f>
        <v>2242122.37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4600895.03</v>
      </c>
      <c r="G542" s="89">
        <f t="shared" si="41"/>
        <v>722897.97</v>
      </c>
      <c r="H542" s="89">
        <f t="shared" si="41"/>
        <v>256406.18999999994</v>
      </c>
      <c r="I542" s="89">
        <f t="shared" si="41"/>
        <v>11340.61</v>
      </c>
      <c r="J542" s="89">
        <f t="shared" si="41"/>
        <v>337164.1</v>
      </c>
      <c r="K542" s="89">
        <f t="shared" si="41"/>
        <v>5928703.9000000004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>
        <f>5295+5295+61</f>
        <v>10651</v>
      </c>
      <c r="I552" s="18">
        <f>200+94</f>
        <v>294</v>
      </c>
      <c r="J552" s="18"/>
      <c r="K552" s="18"/>
      <c r="L552" s="88">
        <f>SUM(F552:K552)</f>
        <v>10945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>
        <f>9157+200</f>
        <v>9357</v>
      </c>
      <c r="I553" s="18"/>
      <c r="J553" s="18"/>
      <c r="K553" s="18"/>
      <c r="L553" s="88">
        <f>SUM(F553:K553)</f>
        <v>9357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>
        <f>197+11655</f>
        <v>11852</v>
      </c>
      <c r="I554" s="18">
        <v>77</v>
      </c>
      <c r="J554" s="18"/>
      <c r="K554" s="18"/>
      <c r="L554" s="88">
        <f>SUM(F554:K554)</f>
        <v>11929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31860</v>
      </c>
      <c r="I555" s="89">
        <f t="shared" si="43"/>
        <v>371</v>
      </c>
      <c r="J555" s="89">
        <f t="shared" si="43"/>
        <v>0</v>
      </c>
      <c r="K555" s="89">
        <f t="shared" si="43"/>
        <v>0</v>
      </c>
      <c r="L555" s="89">
        <f t="shared" si="43"/>
        <v>32231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31860</v>
      </c>
      <c r="I561" s="89">
        <f t="shared" si="45"/>
        <v>371</v>
      </c>
      <c r="J561" s="89">
        <f t="shared" si="45"/>
        <v>0</v>
      </c>
      <c r="K561" s="89">
        <f t="shared" si="45"/>
        <v>0</v>
      </c>
      <c r="L561" s="89">
        <f t="shared" si="45"/>
        <v>32231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 t="s">
        <v>310</v>
      </c>
      <c r="G568" s="18" t="s">
        <v>310</v>
      </c>
      <c r="H568" s="18" t="s">
        <v>310</v>
      </c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v>11366.16</v>
      </c>
      <c r="H569" s="18">
        <f>100875.12</f>
        <v>100875.12</v>
      </c>
      <c r="I569" s="87">
        <f t="shared" si="46"/>
        <v>112241.28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57791.59</v>
      </c>
      <c r="G570" s="18"/>
      <c r="H570" s="18">
        <v>106338.97</v>
      </c>
      <c r="I570" s="87">
        <f t="shared" si="46"/>
        <v>164130.56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15390.68</v>
      </c>
      <c r="G572" s="18">
        <v>71530.42</v>
      </c>
      <c r="H572" s="18">
        <v>680783.26</v>
      </c>
      <c r="I572" s="87">
        <f t="shared" si="46"/>
        <v>767704.36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226264.5</v>
      </c>
      <c r="I574" s="87">
        <f t="shared" si="46"/>
        <v>226264.5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699849.67*0.38</f>
        <v>265942.87460000004</v>
      </c>
      <c r="I581" s="18">
        <f>699849.67*0.22</f>
        <v>153966.92740000002</v>
      </c>
      <c r="J581" s="18">
        <f>699849.67-H581-I581-J583</f>
        <v>257670.26800000001</v>
      </c>
      <c r="K581" s="104">
        <f t="shared" ref="K581:K587" si="47">SUM(H581:J581)</f>
        <v>677580.07000000007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167369.6</f>
        <v>167369.60000000001</v>
      </c>
      <c r="I582" s="18">
        <v>21958.84</v>
      </c>
      <c r="J582" s="18">
        <v>147835.66</v>
      </c>
      <c r="K582" s="104">
        <f t="shared" si="47"/>
        <v>337164.1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22269.599999999999</v>
      </c>
      <c r="K583" s="104">
        <f t="shared" si="47"/>
        <v>22269.599999999999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11194.16</v>
      </c>
      <c r="J584" s="18">
        <v>47528.57</v>
      </c>
      <c r="K584" s="104">
        <f t="shared" si="47"/>
        <v>58722.729999999996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>
        <v>12968.82</v>
      </c>
      <c r="J585" s="18">
        <v>8895.39</v>
      </c>
      <c r="K585" s="104">
        <f t="shared" si="47"/>
        <v>21864.21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433312.47460000007</v>
      </c>
      <c r="I588" s="108">
        <f>SUM(I581:I587)</f>
        <v>200088.74740000002</v>
      </c>
      <c r="J588" s="108">
        <f>SUM(J581:J587)</f>
        <v>484199.48800000001</v>
      </c>
      <c r="K588" s="108">
        <f>SUM(K581:K587)</f>
        <v>1117600.71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716.09+7656.95+5479.5+22923.99+39290.69+89606.9-4765-1936-1936-12632+8885+6557+4815+6210+6210+14193.9+7335.8-3895.53</f>
        <v>194716.28999999998</v>
      </c>
      <c r="I594" s="18">
        <f>72784.67+51877.68-3640-28900+2632+3867+6210-2255.31</f>
        <v>102576.04000000001</v>
      </c>
      <c r="J594" s="18">
        <f>139764.3+94323.05-5969-400-24137+1200-4100.56</f>
        <v>200680.78999999998</v>
      </c>
      <c r="K594" s="104">
        <f>SUM(H594:J594)</f>
        <v>497973.11999999994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194716.28999999998</v>
      </c>
      <c r="I595" s="108">
        <f>SUM(I592:I594)</f>
        <v>102576.04000000001</v>
      </c>
      <c r="J595" s="108">
        <f>SUM(J592:J594)</f>
        <v>200680.78999999998</v>
      </c>
      <c r="K595" s="108">
        <f>SUM(K592:K594)</f>
        <v>497973.11999999994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26059.64</f>
        <v>26059.64</v>
      </c>
      <c r="G601" s="18">
        <f>10770*0.38</f>
        <v>4092.6</v>
      </c>
      <c r="H601" s="18">
        <f>13725+2158.4</f>
        <v>15883.4</v>
      </c>
      <c r="I601" s="18" t="s">
        <v>310</v>
      </c>
      <c r="J601" s="18"/>
      <c r="K601" s="18"/>
      <c r="L601" s="88">
        <f>SUM(F601:K601)</f>
        <v>46035.64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15087.16</v>
      </c>
      <c r="G602" s="18">
        <f>10770*0.22</f>
        <v>2369.4</v>
      </c>
      <c r="H602" s="18">
        <f>5680*0.22</f>
        <v>1249.5999999999999</v>
      </c>
      <c r="I602" s="18" t="s">
        <v>310</v>
      </c>
      <c r="J602" s="18"/>
      <c r="K602" s="18"/>
      <c r="L602" s="88">
        <f>SUM(F602:K602)</f>
        <v>18706.16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68578-F601-F602</f>
        <v>27431.200000000001</v>
      </c>
      <c r="G603" s="18">
        <f>10770-G601-G602</f>
        <v>4308</v>
      </c>
      <c r="H603" s="18">
        <f>6673+92716+2452</f>
        <v>101841</v>
      </c>
      <c r="I603" s="18"/>
      <c r="J603" s="18"/>
      <c r="K603" s="18"/>
      <c r="L603" s="88">
        <f>SUM(F603:K603)</f>
        <v>133580.20000000001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68578</v>
      </c>
      <c r="G604" s="108">
        <f t="shared" si="48"/>
        <v>10770</v>
      </c>
      <c r="H604" s="108">
        <f t="shared" si="48"/>
        <v>118974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198322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1583011.18</v>
      </c>
      <c r="H607" s="109">
        <f>SUM(F44)</f>
        <v>1583011.18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49199.35</v>
      </c>
      <c r="H608" s="109">
        <f>SUM(G44)</f>
        <v>49199.349999999984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319177.69</v>
      </c>
      <c r="H609" s="109">
        <f>SUM(H44)</f>
        <v>319177.68999999994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278844.69</v>
      </c>
      <c r="H611" s="109">
        <f>SUM(J44)</f>
        <v>278844.69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1176453.3299999998</v>
      </c>
      <c r="H612" s="109">
        <f>F466</f>
        <v>1176453.3299999982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42394.359999999986</v>
      </c>
      <c r="H613" s="109">
        <f>G466</f>
        <v>42394.359999999986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152865.33999999994</v>
      </c>
      <c r="H614" s="109">
        <f>H466</f>
        <v>152865.33999999985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278844.69</v>
      </c>
      <c r="H616" s="109">
        <f>J466</f>
        <v>278844.69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28357870.120000001</v>
      </c>
      <c r="H617" s="104">
        <f>SUM(F458)</f>
        <v>28357870.120000001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584985.81000000006</v>
      </c>
      <c r="H618" s="104">
        <f>SUM(G458)</f>
        <v>584985.81000000006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908873.03</v>
      </c>
      <c r="H619" s="104">
        <f>SUM(H458)</f>
        <v>908873.03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1156.3499999999999</v>
      </c>
      <c r="H621" s="104">
        <f>SUM(J458)</f>
        <v>1156.3499999999999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28350126.020000003</v>
      </c>
      <c r="H622" s="104">
        <f>SUM(F462)</f>
        <v>28350126.020000003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903091.85000000009</v>
      </c>
      <c r="H623" s="104">
        <f>SUM(H462)</f>
        <v>903091.85000000009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5336.9600000000009</v>
      </c>
      <c r="H624" s="104">
        <f>I361</f>
        <v>5336.9600000000009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590061.81000000006</v>
      </c>
      <c r="H625" s="104">
        <f>SUM(G462)</f>
        <v>590061.81000000006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1156.3499999999999</v>
      </c>
      <c r="H627" s="164">
        <f>SUM(J458)</f>
        <v>1156.3499999999999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278844.69</v>
      </c>
      <c r="H630" s="104">
        <f>SUM(G451)</f>
        <v>278844.69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278844.69</v>
      </c>
      <c r="H632" s="104">
        <f>SUM(I451)</f>
        <v>278844.69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1156.3499999999999</v>
      </c>
      <c r="H634" s="104">
        <f>H400</f>
        <v>1156.3499999999999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1156.3499999999999</v>
      </c>
      <c r="H636" s="104">
        <f>L400</f>
        <v>1156.3499999999999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1117600.71</v>
      </c>
      <c r="H637" s="104">
        <f>L200+L218+L236</f>
        <v>1117600.71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497973.11999999994</v>
      </c>
      <c r="H638" s="104">
        <f>(J249+J330)-(J247+J328)</f>
        <v>497973.12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433312.47000000003</v>
      </c>
      <c r="H639" s="104">
        <f>H588</f>
        <v>433312.47460000007</v>
      </c>
      <c r="I639" s="140" t="s">
        <v>412</v>
      </c>
      <c r="J639" s="109">
        <f t="shared" si="49"/>
        <v>-4.6000000438652933E-3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200088.75</v>
      </c>
      <c r="H640" s="104">
        <f>I588</f>
        <v>200088.74740000002</v>
      </c>
      <c r="I640" s="140" t="s">
        <v>413</v>
      </c>
      <c r="J640" s="109">
        <f t="shared" si="49"/>
        <v>2.5999999779742211E-3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484199.49</v>
      </c>
      <c r="H641" s="104">
        <f>J588</f>
        <v>484199.48800000001</v>
      </c>
      <c r="I641" s="140" t="s">
        <v>414</v>
      </c>
      <c r="J641" s="109">
        <f t="shared" si="49"/>
        <v>1.9999999785795808E-3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29664.42</v>
      </c>
      <c r="H642" s="104">
        <f>K255+K337</f>
        <v>29664.42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10929693.119999999</v>
      </c>
      <c r="G650" s="19">
        <f>(L221+L301+L351)</f>
        <v>5880420.1399999997</v>
      </c>
      <c r="H650" s="19">
        <f>(L239+L320+L352)</f>
        <v>10628282.140000002</v>
      </c>
      <c r="I650" s="19">
        <f>SUM(F650:H650)</f>
        <v>27438395.399999999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154694.80283400053</v>
      </c>
      <c r="G651" s="19">
        <f>(L351/IF(SUM(L350:L352)=0,1,SUM(L350:L352))*(SUM(G89:G102)))</f>
        <v>89484.614082843284</v>
      </c>
      <c r="H651" s="19">
        <f>(L352/IF(SUM(L350:L352)=0,1,SUM(L350:L352))*(SUM(G89:G102)))</f>
        <v>162727.93308315612</v>
      </c>
      <c r="I651" s="19">
        <f>SUM(F651:H651)</f>
        <v>406907.34999999992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433312.47000000003</v>
      </c>
      <c r="G652" s="19">
        <f>(L218+L298)-(J218+J298)</f>
        <v>200088.75</v>
      </c>
      <c r="H652" s="19">
        <f>(L236+L317)-(J236+J317)</f>
        <v>484199.49</v>
      </c>
      <c r="I652" s="19">
        <f>SUM(F652:H652)</f>
        <v>1117600.71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313934.19999999995</v>
      </c>
      <c r="G653" s="200">
        <f>SUM(G565:G577)+SUM(I592:I594)+L602</f>
        <v>204178.78</v>
      </c>
      <c r="H653" s="200">
        <f>SUM(H565:H577)+SUM(J592:J594)+L603</f>
        <v>1448522.84</v>
      </c>
      <c r="I653" s="19">
        <f>SUM(F653:H653)</f>
        <v>1966635.82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10027751.647165999</v>
      </c>
      <c r="G654" s="19">
        <f>G650-SUM(G651:G653)</f>
        <v>5386667.9959171563</v>
      </c>
      <c r="H654" s="19">
        <f>H650-SUM(H651:H653)</f>
        <v>8532831.8769168463</v>
      </c>
      <c r="I654" s="19">
        <f>I650-SUM(I651:I653)</f>
        <v>23947251.52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f>378.93+318.25</f>
        <v>697.18000000000006</v>
      </c>
      <c r="G655" s="249">
        <f>371.91</f>
        <v>371.91</v>
      </c>
      <c r="H655" s="249">
        <v>715.35</v>
      </c>
      <c r="I655" s="19">
        <f>SUM(F655:H655)</f>
        <v>1784.44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14383.3</v>
      </c>
      <c r="G657" s="19">
        <f>ROUND(G654/G655,2)</f>
        <v>14483.79</v>
      </c>
      <c r="H657" s="19">
        <f>ROUND(H654/H655,2)</f>
        <v>11928.19</v>
      </c>
      <c r="I657" s="19">
        <f>ROUND(I654/I655,2)</f>
        <v>13420.04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-44.4</v>
      </c>
      <c r="I660" s="19">
        <f>SUM(F660:H660)</f>
        <v>-44.4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14383.3</v>
      </c>
      <c r="G662" s="19">
        <f>ROUND((G654+G659)/(G655+G660),2)</f>
        <v>14483.79</v>
      </c>
      <c r="H662" s="19">
        <f>ROUND((H654+H659)/(H655+H660),2)</f>
        <v>12717.54</v>
      </c>
      <c r="I662" s="19">
        <f>ROUND((I654+I659)/(I655+I660),2)</f>
        <v>13762.47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B811-2470-4A3A-86DD-AF901E46A09A}">
  <sheetPr>
    <tabColor indexed="20"/>
  </sheetPr>
  <dimension ref="A1:C52"/>
  <sheetViews>
    <sheetView workbookViewId="0">
      <selection activeCell="E37" sqref="E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Sanborn Regional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6837963.9999999991</v>
      </c>
      <c r="C9" s="230">
        <f>'DOE25'!G189+'DOE25'!G207+'DOE25'!G225+'DOE25'!G268+'DOE25'!G287+'DOE25'!G306</f>
        <v>2497752.54</v>
      </c>
    </row>
    <row r="10" spans="1:3" x14ac:dyDescent="0.2">
      <c r="A10" t="s">
        <v>810</v>
      </c>
      <c r="B10" s="241">
        <f>27561+27561+27570+1251452+1125634+1396367+2149640+38956+48543+9000+1200+1080+6740+22815+8500+17045+17745+43200+2415+45233+37583+39737+45145+700+47774+9300+1782+2500+760+600</f>
        <v>6454138</v>
      </c>
      <c r="C10" s="241">
        <v>2357549.6424097172</v>
      </c>
    </row>
    <row r="11" spans="1:3" x14ac:dyDescent="0.2">
      <c r="A11" t="s">
        <v>811</v>
      </c>
      <c r="B11" s="241">
        <f>48896+27516+16765+18813+18248</f>
        <v>130238</v>
      </c>
      <c r="C11" s="241">
        <v>47572.975713899636</v>
      </c>
    </row>
    <row r="12" spans="1:3" x14ac:dyDescent="0.2">
      <c r="A12" t="s">
        <v>812</v>
      </c>
      <c r="B12" s="241">
        <f>79203+2400+42245+108801+14319+700+720+900+1800+2050+450</f>
        <v>253588</v>
      </c>
      <c r="C12" s="241">
        <v>92629.921876383087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6837964</v>
      </c>
      <c r="C13" s="232">
        <f>SUM(C10:C12)</f>
        <v>2497752.54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2399507.8000000003</v>
      </c>
      <c r="C18" s="230">
        <f>'DOE25'!G190+'DOE25'!G208+'DOE25'!G226+'DOE25'!G269+'DOE25'!G288+'DOE25'!G307</f>
        <v>1193688.3399999999</v>
      </c>
    </row>
    <row r="19" spans="1:3" x14ac:dyDescent="0.2">
      <c r="A19" t="s">
        <v>810</v>
      </c>
      <c r="B19" s="241">
        <f>129903+113514+192504+258852+5807+12684+1800+6320+12509+68578+105345+334+45606+75286+152048+82853+6196+56443+49665+40993+1200+60819+1500+4998+210+1732+90300</f>
        <v>1577999</v>
      </c>
      <c r="C19" s="241">
        <v>785010.57876605343</v>
      </c>
    </row>
    <row r="20" spans="1:3" x14ac:dyDescent="0.2">
      <c r="A20" t="s">
        <v>811</v>
      </c>
      <c r="B20" s="241">
        <f>721615.8+99893</f>
        <v>821508.8</v>
      </c>
      <c r="C20" s="241">
        <v>408677.76123394631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2399507.7999999998</v>
      </c>
      <c r="C22" s="232">
        <f>SUM(C19:C21)</f>
        <v>1193688.3399999999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255555</v>
      </c>
      <c r="C36" s="236">
        <f>'DOE25'!G192+'DOE25'!G210+'DOE25'!G228+'DOE25'!G271+'DOE25'!G290+'DOE25'!G309</f>
        <v>45701.67</v>
      </c>
    </row>
    <row r="37" spans="1:3" x14ac:dyDescent="0.2">
      <c r="A37" t="s">
        <v>810</v>
      </c>
      <c r="B37" s="241">
        <f>6352+5558+13715+21401+350+34428+101300</f>
        <v>183104</v>
      </c>
      <c r="C37" s="241">
        <v>32745.039555790336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f>71221+1200+30</f>
        <v>72451</v>
      </c>
      <c r="C39" s="241">
        <v>12956.630444209661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255555</v>
      </c>
      <c r="C40" s="232">
        <f>SUM(C37:C39)</f>
        <v>45701.67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EB2C-6B14-475A-BFD6-0F6AC6C2149A}">
  <sheetPr>
    <tabColor indexed="11"/>
  </sheetPr>
  <dimension ref="A1:I51"/>
  <sheetViews>
    <sheetView workbookViewId="0">
      <pane ySplit="4" topLeftCell="A11" activePane="bottomLeft" state="frozen"/>
      <selection pane="bottomLeft" activeCell="D39" sqref="D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Sanborn Regional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15712405.84</v>
      </c>
      <c r="D5" s="20">
        <f>SUM('DOE25'!L189:L192)+SUM('DOE25'!L207:L210)+SUM('DOE25'!L225:L228)-F5-G5</f>
        <v>15297643.93</v>
      </c>
      <c r="E5" s="244"/>
      <c r="F5" s="256">
        <f>SUM('DOE25'!J189:J192)+SUM('DOE25'!J207:J210)+SUM('DOE25'!J225:J228)</f>
        <v>383163.91000000003</v>
      </c>
      <c r="G5" s="53">
        <f>SUM('DOE25'!K189:K192)+SUM('DOE25'!K207:K210)+SUM('DOE25'!K225:K228)</f>
        <v>31598</v>
      </c>
      <c r="H5" s="260"/>
    </row>
    <row r="6" spans="1:9" x14ac:dyDescent="0.2">
      <c r="A6" s="32">
        <v>2100</v>
      </c>
      <c r="B6" t="s">
        <v>832</v>
      </c>
      <c r="C6" s="246">
        <f t="shared" si="0"/>
        <v>1680748.46</v>
      </c>
      <c r="D6" s="20">
        <f>'DOE25'!L194+'DOE25'!L212+'DOE25'!L230-F6-G6</f>
        <v>1679465.27</v>
      </c>
      <c r="E6" s="244"/>
      <c r="F6" s="256">
        <f>'DOE25'!J194+'DOE25'!J212+'DOE25'!J230</f>
        <v>698.19</v>
      </c>
      <c r="G6" s="53">
        <f>'DOE25'!K194+'DOE25'!K212+'DOE25'!K230</f>
        <v>585</v>
      </c>
      <c r="H6" s="260"/>
    </row>
    <row r="7" spans="1:9" x14ac:dyDescent="0.2">
      <c r="A7" s="32">
        <v>2200</v>
      </c>
      <c r="B7" t="s">
        <v>865</v>
      </c>
      <c r="C7" s="246">
        <f t="shared" si="0"/>
        <v>482816.31999999995</v>
      </c>
      <c r="D7" s="20">
        <f>'DOE25'!L195+'DOE25'!L213+'DOE25'!L231-F7-G7</f>
        <v>472307.33999999997</v>
      </c>
      <c r="E7" s="244"/>
      <c r="F7" s="256">
        <f>'DOE25'!J195+'DOE25'!J213+'DOE25'!J231</f>
        <v>3043.9799999999996</v>
      </c>
      <c r="G7" s="53">
        <f>'DOE25'!K195+'DOE25'!K213+'DOE25'!K231</f>
        <v>7465.0000000000009</v>
      </c>
      <c r="H7" s="260"/>
    </row>
    <row r="8" spans="1:9" x14ac:dyDescent="0.2">
      <c r="A8" s="32">
        <v>2300</v>
      </c>
      <c r="B8" t="s">
        <v>833</v>
      </c>
      <c r="C8" s="246">
        <f t="shared" si="0"/>
        <v>342426.07</v>
      </c>
      <c r="D8" s="244"/>
      <c r="E8" s="20">
        <f>'DOE25'!L196+'DOE25'!L214+'DOE25'!L232-F8-G8-D9-D11</f>
        <v>317210.2</v>
      </c>
      <c r="F8" s="256">
        <f>'DOE25'!J196+'DOE25'!J214+'DOE25'!J232</f>
        <v>599.95000000000005</v>
      </c>
      <c r="G8" s="53">
        <f>'DOE25'!K196+'DOE25'!K214+'DOE25'!K232</f>
        <v>24615.919999999998</v>
      </c>
      <c r="H8" s="260"/>
    </row>
    <row r="9" spans="1:9" x14ac:dyDescent="0.2">
      <c r="A9" s="32">
        <v>2310</v>
      </c>
      <c r="B9" t="s">
        <v>849</v>
      </c>
      <c r="C9" s="246">
        <f t="shared" si="0"/>
        <v>27836.46</v>
      </c>
      <c r="D9" s="245">
        <v>27836.46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19500</v>
      </c>
      <c r="D10" s="244"/>
      <c r="E10" s="245">
        <v>19500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304481.81</v>
      </c>
      <c r="D11" s="245">
        <v>304481.81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1547096.2399999998</v>
      </c>
      <c r="D12" s="20">
        <f>'DOE25'!L197+'DOE25'!L215+'DOE25'!L233-F12-G12</f>
        <v>1517109.9999999998</v>
      </c>
      <c r="E12" s="244"/>
      <c r="F12" s="256">
        <f>'DOE25'!J197+'DOE25'!J215+'DOE25'!J233</f>
        <v>3750</v>
      </c>
      <c r="G12" s="53">
        <f>'DOE25'!K197+'DOE25'!K215+'DOE25'!K233</f>
        <v>26236.240000000002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426447.35</v>
      </c>
      <c r="D13" s="244"/>
      <c r="E13" s="20">
        <f>'DOE25'!L198+'DOE25'!L216+'DOE25'!L234-F13-G13</f>
        <v>423431.31999999995</v>
      </c>
      <c r="F13" s="256">
        <f>'DOE25'!J198+'DOE25'!J216+'DOE25'!J234</f>
        <v>2397.9499999999998</v>
      </c>
      <c r="G13" s="53">
        <f>'DOE25'!K198+'DOE25'!K216+'DOE25'!K234</f>
        <v>618.07999999999993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3685456.62</v>
      </c>
      <c r="D14" s="20">
        <f>'DOE25'!L199+'DOE25'!L217+'DOE25'!L235-F14-G14</f>
        <v>3577777.28</v>
      </c>
      <c r="E14" s="244"/>
      <c r="F14" s="256">
        <f>'DOE25'!J199+'DOE25'!J217+'DOE25'!J235</f>
        <v>101831.13999999998</v>
      </c>
      <c r="G14" s="53">
        <f>'DOE25'!K199+'DOE25'!K217+'DOE25'!K235</f>
        <v>5848.2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1117600.71</v>
      </c>
      <c r="D15" s="20">
        <f>'DOE25'!L200+'DOE25'!L218+'DOE25'!L236-F15-G15</f>
        <v>1117600.71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617925.8600000001</v>
      </c>
      <c r="D16" s="244"/>
      <c r="E16" s="20">
        <f>'DOE25'!L201+'DOE25'!L219+'DOE25'!L237-F16-G16</f>
        <v>617925.8600000001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21576.86</v>
      </c>
      <c r="D19" s="20">
        <f>'DOE25'!L245-F19-G19</f>
        <v>19076.86</v>
      </c>
      <c r="E19" s="244"/>
      <c r="F19" s="256">
        <f>'DOE25'!J245</f>
        <v>0</v>
      </c>
      <c r="G19" s="53">
        <f>'DOE25'!K245</f>
        <v>2500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10305.5</v>
      </c>
      <c r="D22" s="244"/>
      <c r="E22" s="244"/>
      <c r="F22" s="256">
        <f>'DOE25'!L247+'DOE25'!L328</f>
        <v>10305.5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2343337.5</v>
      </c>
      <c r="D25" s="244"/>
      <c r="E25" s="244"/>
      <c r="F25" s="259"/>
      <c r="G25" s="257"/>
      <c r="H25" s="258">
        <f>'DOE25'!L252+'DOE25'!L253+'DOE25'!L333+'DOE25'!L334</f>
        <v>2343337.5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590061.81000000006</v>
      </c>
      <c r="D29" s="20">
        <f>'DOE25'!L350+'DOE25'!L351+'DOE25'!L352-'DOE25'!I359-F29-G29</f>
        <v>584823.5</v>
      </c>
      <c r="E29" s="244"/>
      <c r="F29" s="256">
        <f>'DOE25'!J350+'DOE25'!J351+'DOE25'!J352</f>
        <v>5107.3099999999995</v>
      </c>
      <c r="G29" s="53">
        <f>'DOE25'!K350+'DOE25'!K351+'DOE25'!K352</f>
        <v>131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903091.85000000009</v>
      </c>
      <c r="D31" s="20">
        <f>'DOE25'!L282+'DOE25'!L301+'DOE25'!L320+'DOE25'!L325+'DOE25'!L326+'DOE25'!L327-F31-G31</f>
        <v>900603.85000000009</v>
      </c>
      <c r="E31" s="244"/>
      <c r="F31" s="256">
        <f>'DOE25'!J282+'DOE25'!J301+'DOE25'!J320+'DOE25'!J325+'DOE25'!J326+'DOE25'!J327</f>
        <v>2488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25498727.010000002</v>
      </c>
      <c r="E33" s="247">
        <f>SUM(E5:E31)</f>
        <v>1378067.3800000001</v>
      </c>
      <c r="F33" s="247">
        <f>SUM(F5:F31)</f>
        <v>513385.93</v>
      </c>
      <c r="G33" s="247">
        <f>SUM(G5:G31)</f>
        <v>99597.440000000002</v>
      </c>
      <c r="H33" s="247">
        <f>SUM(H5:H31)</f>
        <v>2343337.5</v>
      </c>
    </row>
    <row r="35" spans="2:8" ht="12" thickBot="1" x14ac:dyDescent="0.25">
      <c r="B35" s="254" t="s">
        <v>878</v>
      </c>
      <c r="D35" s="255">
        <f>E33</f>
        <v>1378067.3800000001</v>
      </c>
      <c r="E35" s="250"/>
    </row>
    <row r="36" spans="2:8" ht="12" thickTop="1" x14ac:dyDescent="0.2">
      <c r="B36" t="s">
        <v>846</v>
      </c>
      <c r="D36" s="20">
        <f>D33</f>
        <v>25498727.010000002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2F02-121E-40B7-9E58-19624DA1974E}">
  <sheetPr transitionEvaluation="1" codeName="Sheet2">
    <tabColor indexed="10"/>
  </sheetPr>
  <dimension ref="A1:I156"/>
  <sheetViews>
    <sheetView zoomScale="75" workbookViewId="0">
      <pane ySplit="2" topLeftCell="A81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Sanborn Regional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614159.25</v>
      </c>
      <c r="D9" s="95">
        <f>'DOE25'!G9</f>
        <v>120.14</v>
      </c>
      <c r="E9" s="95">
        <f>'DOE25'!H9</f>
        <v>153464.06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278844.69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161545.60999999999</v>
      </c>
      <c r="D12" s="95">
        <f>'DOE25'!G12</f>
        <v>34463.21</v>
      </c>
      <c r="E12" s="95" t="str">
        <f>'DOE25'!H12</f>
        <v xml:space="preserve"> 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14407.75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802101.12</v>
      </c>
      <c r="D14" s="95">
        <f>'DOE25'!G14</f>
        <v>208.25</v>
      </c>
      <c r="E14" s="95">
        <f>'DOE25'!H14</f>
        <v>165713.63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5205.2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1583011.18</v>
      </c>
      <c r="D19" s="41">
        <f>SUM(D9:D18)</f>
        <v>49199.35</v>
      </c>
      <c r="E19" s="41">
        <f>SUM(E9:E18)</f>
        <v>319177.69</v>
      </c>
      <c r="F19" s="41">
        <f>SUM(F9:F18)</f>
        <v>0</v>
      </c>
      <c r="G19" s="41">
        <f>SUM(G9:G18)</f>
        <v>278844.69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34463.21</v>
      </c>
      <c r="D22" s="95">
        <f>'DOE25'!G23</f>
        <v>0</v>
      </c>
      <c r="E22" s="95">
        <f>'DOE25'!H23</f>
        <v>161545.60999999999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347513.62</v>
      </c>
      <c r="D24" s="95">
        <f>'DOE25'!G25</f>
        <v>1474.3</v>
      </c>
      <c r="E24" s="95">
        <f>'DOE25'!H25</f>
        <v>1041.07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24581.02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5330.69</v>
      </c>
      <c r="E30" s="95">
        <f>'DOE25'!H31</f>
        <v>3725.67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406557.85000000003</v>
      </c>
      <c r="D32" s="41">
        <f>SUM(D22:D31)</f>
        <v>6804.99</v>
      </c>
      <c r="E32" s="41">
        <f>SUM(E22:E31)</f>
        <v>166312.35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694376.12</v>
      </c>
      <c r="D36" s="95">
        <f>'DOE25'!G37</f>
        <v>0</v>
      </c>
      <c r="E36" s="95">
        <f>'DOE25'!H37</f>
        <v>3550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1000</v>
      </c>
      <c r="D40" s="95">
        <f>'DOE25'!G41</f>
        <v>42394.359999999986</v>
      </c>
      <c r="E40" s="95">
        <f>'DOE25'!H41</f>
        <v>149315.33999999994</v>
      </c>
      <c r="F40" s="95">
        <f>'DOE25'!I41</f>
        <v>0</v>
      </c>
      <c r="G40" s="95">
        <f>'DOE25'!J41</f>
        <v>278844.69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481077.20999999985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1176453.3299999998</v>
      </c>
      <c r="D42" s="41">
        <f>SUM(D34:D41)</f>
        <v>42394.359999999986</v>
      </c>
      <c r="E42" s="41">
        <f>SUM(E34:E41)</f>
        <v>152865.33999999994</v>
      </c>
      <c r="F42" s="41">
        <f>SUM(F34:F41)</f>
        <v>0</v>
      </c>
      <c r="G42" s="41">
        <f>SUM(G34:G41)</f>
        <v>278844.69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1583011.18</v>
      </c>
      <c r="D43" s="41">
        <f>D42+D32</f>
        <v>49199.349999999984</v>
      </c>
      <c r="E43" s="41">
        <f>E42+E32</f>
        <v>319177.68999999994</v>
      </c>
      <c r="F43" s="41">
        <f>F42+F32</f>
        <v>0</v>
      </c>
      <c r="G43" s="41">
        <f>G42+G32</f>
        <v>278844.69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17532881.73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3133861.59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5338.98</v>
      </c>
      <c r="D51" s="95">
        <f>'DOE25'!G88</f>
        <v>55.38</v>
      </c>
      <c r="E51" s="95">
        <f>'DOE25'!H88</f>
        <v>266.45</v>
      </c>
      <c r="F51" s="95">
        <f>'DOE25'!I88</f>
        <v>0</v>
      </c>
      <c r="G51" s="95">
        <f>'DOE25'!J88</f>
        <v>1156.3499999999999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406907.35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50250</v>
      </c>
      <c r="D53" s="95">
        <f>SUM('DOE25'!G90:G102)</f>
        <v>0</v>
      </c>
      <c r="E53" s="95">
        <f>SUM('DOE25'!H90:H102)</f>
        <v>70728.31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3189450.57</v>
      </c>
      <c r="D54" s="130">
        <f>SUM(D49:D53)</f>
        <v>406962.73</v>
      </c>
      <c r="E54" s="130">
        <f>SUM(E49:E53)</f>
        <v>70994.759999999995</v>
      </c>
      <c r="F54" s="130">
        <f>SUM(F49:F53)</f>
        <v>0</v>
      </c>
      <c r="G54" s="130">
        <f>SUM(G49:G53)</f>
        <v>1156.3499999999999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20722332.300000001</v>
      </c>
      <c r="D55" s="22">
        <f>D48+D54</f>
        <v>406962.73</v>
      </c>
      <c r="E55" s="22">
        <f>E48+E54</f>
        <v>70994.759999999995</v>
      </c>
      <c r="F55" s="22">
        <f>F48+F54</f>
        <v>0</v>
      </c>
      <c r="G55" s="22">
        <f>G48+G54</f>
        <v>1156.3499999999999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3578605.97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2519705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129795.03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18615.68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6246721.6800000006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875507.92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21228.53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301413.32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20208.580000000002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22200</v>
      </c>
      <c r="D69" s="95">
        <f>SUM('DOE25'!G123:G127)</f>
        <v>7581.14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1240558.3500000001</v>
      </c>
      <c r="D70" s="130">
        <f>SUM(D64:D69)</f>
        <v>7581.14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7487280.0300000012</v>
      </c>
      <c r="D73" s="130">
        <f>SUM(D71:D72)+D70+D62</f>
        <v>7581.14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3345.2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144912.59</v>
      </c>
      <c r="D80" s="95">
        <f>SUM('DOE25'!G145:G153)</f>
        <v>140777.51999999999</v>
      </c>
      <c r="E80" s="95">
        <f>SUM('DOE25'!H145:H153)</f>
        <v>837878.27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148257.79</v>
      </c>
      <c r="D83" s="131">
        <f>SUM(D77:D82)</f>
        <v>140777.51999999999</v>
      </c>
      <c r="E83" s="131">
        <f>SUM(E77:E82)</f>
        <v>837878.27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29664.42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29664.42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28357870.120000001</v>
      </c>
      <c r="D96" s="86">
        <f>D55+D73+D83+D95</f>
        <v>584985.81000000006</v>
      </c>
      <c r="E96" s="86">
        <f>E55+E73+E83+E95</f>
        <v>908873.03</v>
      </c>
      <c r="F96" s="86">
        <f>F55+F73+F83+F95</f>
        <v>0</v>
      </c>
      <c r="G96" s="86">
        <f>G55+G73+G95</f>
        <v>1156.3499999999999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10387703.940000001</v>
      </c>
      <c r="D101" s="24" t="s">
        <v>312</v>
      </c>
      <c r="E101" s="95">
        <f>('DOE25'!L268)+('DOE25'!L287)+('DOE25'!L306)</f>
        <v>315577.14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4658500.38</v>
      </c>
      <c r="D102" s="24" t="s">
        <v>312</v>
      </c>
      <c r="E102" s="95">
        <f>('DOE25'!L269)+('DOE25'!L288)+('DOE25'!L307)</f>
        <v>384676.06999999995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226264.5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439937.02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21576.86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15733982.699999999</v>
      </c>
      <c r="D107" s="86">
        <f>SUM(D101:D106)</f>
        <v>0</v>
      </c>
      <c r="E107" s="86">
        <f>SUM(E101:E106)</f>
        <v>700253.21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1680748.46</v>
      </c>
      <c r="D110" s="24" t="s">
        <v>312</v>
      </c>
      <c r="E110" s="95">
        <f>+('DOE25'!L273)+('DOE25'!L292)+('DOE25'!L311)</f>
        <v>185137.17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482816.31999999995</v>
      </c>
      <c r="D111" s="24" t="s">
        <v>312</v>
      </c>
      <c r="E111" s="95">
        <f>+('DOE25'!L274)+('DOE25'!L293)+('DOE25'!L312)</f>
        <v>17701.47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674744.34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1547096.2399999998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426447.35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3685456.62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1117600.71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617925.8600000001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590061.81000000006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10232835.899999999</v>
      </c>
      <c r="D120" s="86">
        <f>SUM(D110:D119)</f>
        <v>590061.81000000006</v>
      </c>
      <c r="E120" s="86">
        <f>SUM(E110:E119)</f>
        <v>202838.64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10305.5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1747252.48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596085.02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29664.42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1156.3499999999999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-1156.3499999999999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2383307.42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28350126.019999996</v>
      </c>
      <c r="D137" s="86">
        <f>(D107+D120+D136)</f>
        <v>590061.81000000006</v>
      </c>
      <c r="E137" s="86">
        <f>(E107+E120+E136)</f>
        <v>903091.85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08/04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8/24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29770200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4.54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24820000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24820000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1140000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1140000</v>
      </c>
    </row>
    <row r="151" spans="1:7" x14ac:dyDescent="0.2">
      <c r="A151" s="22" t="s">
        <v>35</v>
      </c>
      <c r="B151" s="137">
        <f>'DOE25'!F488</f>
        <v>23680000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23680000</v>
      </c>
    </row>
    <row r="152" spans="1:7" x14ac:dyDescent="0.2">
      <c r="A152" s="22" t="s">
        <v>36</v>
      </c>
      <c r="B152" s="137">
        <f>'DOE25'!F489</f>
        <v>9151681.2400000002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9151681.2400000002</v>
      </c>
    </row>
    <row r="153" spans="1:7" x14ac:dyDescent="0.2">
      <c r="A153" s="22" t="s">
        <v>37</v>
      </c>
      <c r="B153" s="137">
        <f>'DOE25'!F490</f>
        <v>32831681.240000002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32831681.240000002</v>
      </c>
    </row>
    <row r="154" spans="1:7" x14ac:dyDescent="0.2">
      <c r="A154" s="22" t="s">
        <v>38</v>
      </c>
      <c r="B154" s="137">
        <f>'DOE25'!F491</f>
        <v>1200000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1200000</v>
      </c>
    </row>
    <row r="155" spans="1:7" x14ac:dyDescent="0.2">
      <c r="A155" s="22" t="s">
        <v>39</v>
      </c>
      <c r="B155" s="137">
        <f>'DOE25'!F492</f>
        <v>1116519.5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1116519.5</v>
      </c>
    </row>
    <row r="156" spans="1:7" x14ac:dyDescent="0.2">
      <c r="A156" s="22" t="s">
        <v>269</v>
      </c>
      <c r="B156" s="137">
        <f>'DOE25'!F493</f>
        <v>2316519.5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2316519.5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25B4-116A-4FF7-A3EC-E4D16F4786AA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Sanborn Regional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14383</v>
      </c>
    </row>
    <row r="5" spans="1:4" x14ac:dyDescent="0.2">
      <c r="B5" t="s">
        <v>735</v>
      </c>
      <c r="C5" s="179">
        <f>IF('DOE25'!G655+'DOE25'!G660=0,0,ROUND('DOE25'!G662,0))</f>
        <v>14484</v>
      </c>
    </row>
    <row r="6" spans="1:4" x14ac:dyDescent="0.2">
      <c r="B6" t="s">
        <v>62</v>
      </c>
      <c r="C6" s="179">
        <f>IF('DOE25'!H655+'DOE25'!H660=0,0,ROUND('DOE25'!H662,0))</f>
        <v>12718</v>
      </c>
    </row>
    <row r="7" spans="1:4" x14ac:dyDescent="0.2">
      <c r="B7" t="s">
        <v>736</v>
      </c>
      <c r="C7" s="179">
        <f>IF('DOE25'!I655+'DOE25'!I660=0,0,ROUND('DOE25'!I662,0))</f>
        <v>13762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10703281</v>
      </c>
      <c r="D10" s="182">
        <f>ROUND((C10/$C$28)*100,1)</f>
        <v>38.700000000000003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5043176</v>
      </c>
      <c r="D11" s="182">
        <f>ROUND((C11/$C$28)*100,1)</f>
        <v>18.2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226265</v>
      </c>
      <c r="D12" s="182">
        <f>ROUND((C12/$C$28)*100,1)</f>
        <v>0.8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439937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1865886</v>
      </c>
      <c r="D15" s="182">
        <f t="shared" ref="D15:D27" si="0">ROUND((C15/$C$28)*100,1)</f>
        <v>6.7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500518</v>
      </c>
      <c r="D16" s="182">
        <f t="shared" si="0"/>
        <v>1.8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1292670</v>
      </c>
      <c r="D17" s="182">
        <f t="shared" si="0"/>
        <v>4.7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1547096</v>
      </c>
      <c r="D18" s="182">
        <f t="shared" si="0"/>
        <v>5.6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426447</v>
      </c>
      <c r="D19" s="182">
        <f t="shared" si="0"/>
        <v>1.5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3685457</v>
      </c>
      <c r="D20" s="182">
        <f t="shared" si="0"/>
        <v>13.3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1117601</v>
      </c>
      <c r="D21" s="182">
        <f t="shared" si="0"/>
        <v>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21577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596085</v>
      </c>
      <c r="D25" s="182">
        <f t="shared" si="0"/>
        <v>2.2000000000000002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183154.65000000002</v>
      </c>
      <c r="D27" s="182">
        <f t="shared" si="0"/>
        <v>0.7</v>
      </c>
    </row>
    <row r="28" spans="1:4" x14ac:dyDescent="0.2">
      <c r="B28" s="187" t="s">
        <v>754</v>
      </c>
      <c r="C28" s="180">
        <f>SUM(C10:C27)</f>
        <v>27649150.649999999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10306</v>
      </c>
    </row>
    <row r="30" spans="1:4" x14ac:dyDescent="0.2">
      <c r="B30" s="187" t="s">
        <v>760</v>
      </c>
      <c r="C30" s="180">
        <f>SUM(C28:C29)</f>
        <v>27659456.649999999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1747252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17532882</v>
      </c>
      <c r="D35" s="182">
        <f t="shared" ref="D35:D40" si="1">ROUND((C35/$C$41)*100,1)</f>
        <v>59.6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3261656.7900000028</v>
      </c>
      <c r="D36" s="182">
        <f t="shared" si="1"/>
        <v>11.1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6228106</v>
      </c>
      <c r="D37" s="182">
        <f t="shared" si="1"/>
        <v>21.2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1266755</v>
      </c>
      <c r="D38" s="182">
        <f t="shared" si="1"/>
        <v>4.3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1126914</v>
      </c>
      <c r="D39" s="182">
        <f t="shared" si="1"/>
        <v>3.8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29416313.790000003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6D8D-EEAC-4D79-B004-CE80508E3178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Sanborn Regional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2011-09-22T13:52:24Z</cp:lastPrinted>
  <dcterms:created xsi:type="dcterms:W3CDTF">1997-12-04T19:04:30Z</dcterms:created>
  <dcterms:modified xsi:type="dcterms:W3CDTF">2025-01-10T20:34:09Z</dcterms:modified>
</cp:coreProperties>
</file>