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11BBCE6-6D32-421F-9CC3-A541BAF3529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239CF43F-A372-45CF-9A3A-AC900296262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9" i="1"/>
  <c r="F41" i="1"/>
  <c r="F37" i="1"/>
  <c r="C19" i="12"/>
  <c r="C22" i="12" s="1"/>
  <c r="C21" i="12"/>
  <c r="C20" i="12"/>
  <c r="B10" i="12"/>
  <c r="C11" i="12"/>
  <c r="C10" i="12"/>
  <c r="C12" i="12"/>
  <c r="C13" i="12" s="1"/>
  <c r="G512" i="1"/>
  <c r="G514" i="1" s="1"/>
  <c r="G535" i="1" s="1"/>
  <c r="G511" i="1"/>
  <c r="C39" i="12"/>
  <c r="G215" i="1"/>
  <c r="G197" i="1"/>
  <c r="G213" i="1"/>
  <c r="G195" i="1"/>
  <c r="I512" i="1"/>
  <c r="I511" i="1"/>
  <c r="F517" i="1"/>
  <c r="F516" i="1"/>
  <c r="H532" i="1"/>
  <c r="L532" i="1" s="1"/>
  <c r="J540" i="1" s="1"/>
  <c r="H531" i="1"/>
  <c r="L531" i="1" s="1"/>
  <c r="H512" i="1"/>
  <c r="H511" i="1"/>
  <c r="F512" i="1"/>
  <c r="F511" i="1"/>
  <c r="F522" i="1"/>
  <c r="F521" i="1"/>
  <c r="L521" i="1" s="1"/>
  <c r="B37" i="12"/>
  <c r="B40" i="12" s="1"/>
  <c r="B39" i="12"/>
  <c r="B20" i="12"/>
  <c r="B19" i="12"/>
  <c r="B21" i="12"/>
  <c r="B22" i="12" s="1"/>
  <c r="B11" i="12"/>
  <c r="B13" i="12" s="1"/>
  <c r="B12" i="12"/>
  <c r="B38" i="12"/>
  <c r="H594" i="1"/>
  <c r="I594" i="1"/>
  <c r="F102" i="1"/>
  <c r="J268" i="1"/>
  <c r="J288" i="1"/>
  <c r="J269" i="1"/>
  <c r="K275" i="1"/>
  <c r="I268" i="1"/>
  <c r="L268" i="1" s="1"/>
  <c r="I288" i="1"/>
  <c r="L288" i="1" s="1"/>
  <c r="E102" i="2" s="1"/>
  <c r="I269" i="1"/>
  <c r="H268" i="1"/>
  <c r="H288" i="1"/>
  <c r="H269" i="1"/>
  <c r="H287" i="1"/>
  <c r="H292" i="1"/>
  <c r="H273" i="1"/>
  <c r="G268" i="1"/>
  <c r="G288" i="1"/>
  <c r="G269" i="1"/>
  <c r="G287" i="1"/>
  <c r="C9" i="12" s="1"/>
  <c r="G292" i="1"/>
  <c r="L292" i="1" s="1"/>
  <c r="E110" i="2" s="1"/>
  <c r="G273" i="1"/>
  <c r="F268" i="1"/>
  <c r="F288" i="1"/>
  <c r="F269" i="1"/>
  <c r="F287" i="1"/>
  <c r="L287" i="1" s="1"/>
  <c r="F292" i="1"/>
  <c r="F273" i="1"/>
  <c r="G572" i="1"/>
  <c r="I593" i="1"/>
  <c r="H593" i="1"/>
  <c r="I586" i="1"/>
  <c r="K586" i="1" s="1"/>
  <c r="I582" i="1"/>
  <c r="I588" i="1" s="1"/>
  <c r="H640" i="1" s="1"/>
  <c r="I581" i="1"/>
  <c r="H586" i="1"/>
  <c r="H582" i="1"/>
  <c r="H581" i="1"/>
  <c r="H247" i="1"/>
  <c r="L247" i="1" s="1"/>
  <c r="K214" i="1"/>
  <c r="K196" i="1"/>
  <c r="G8" i="13" s="1"/>
  <c r="J217" i="1"/>
  <c r="J213" i="1"/>
  <c r="J199" i="1"/>
  <c r="J195" i="1"/>
  <c r="F7" i="13" s="1"/>
  <c r="J208" i="1"/>
  <c r="F5" i="13" s="1"/>
  <c r="J190" i="1"/>
  <c r="I217" i="1"/>
  <c r="I199" i="1"/>
  <c r="I213" i="1"/>
  <c r="I195" i="1"/>
  <c r="I208" i="1"/>
  <c r="I190" i="1"/>
  <c r="H217" i="1"/>
  <c r="H199" i="1"/>
  <c r="H208" i="1"/>
  <c r="H190" i="1"/>
  <c r="H203" i="1" s="1"/>
  <c r="H218" i="1"/>
  <c r="L218" i="1" s="1"/>
  <c r="H200" i="1"/>
  <c r="H214" i="1"/>
  <c r="H196" i="1"/>
  <c r="H213" i="1"/>
  <c r="H195" i="1"/>
  <c r="F213" i="1"/>
  <c r="F217" i="1"/>
  <c r="L217" i="1" s="1"/>
  <c r="F199" i="1"/>
  <c r="F214" i="1"/>
  <c r="F196" i="1"/>
  <c r="F195" i="1"/>
  <c r="F203" i="1" s="1"/>
  <c r="F212" i="1"/>
  <c r="L212" i="1" s="1"/>
  <c r="F194" i="1"/>
  <c r="F210" i="1"/>
  <c r="F192" i="1"/>
  <c r="F208" i="1"/>
  <c r="L208" i="1" s="1"/>
  <c r="F190" i="1"/>
  <c r="J88" i="1"/>
  <c r="G432" i="1"/>
  <c r="G360" i="1"/>
  <c r="F360" i="1"/>
  <c r="G359" i="1"/>
  <c r="F359" i="1"/>
  <c r="I359" i="1" s="1"/>
  <c r="I361" i="1" s="1"/>
  <c r="H624" i="1" s="1"/>
  <c r="I351" i="1"/>
  <c r="I354" i="1" s="1"/>
  <c r="G624" i="1" s="1"/>
  <c r="I350" i="1"/>
  <c r="K351" i="1"/>
  <c r="J351" i="1"/>
  <c r="K350" i="1"/>
  <c r="G29" i="13" s="1"/>
  <c r="J350" i="1"/>
  <c r="F29" i="13" s="1"/>
  <c r="H351" i="1"/>
  <c r="L351" i="1" s="1"/>
  <c r="H350" i="1"/>
  <c r="G351" i="1"/>
  <c r="G350" i="1"/>
  <c r="F351" i="1"/>
  <c r="F350" i="1"/>
  <c r="L350" i="1" s="1"/>
  <c r="G41" i="1"/>
  <c r="D40" i="2" s="1"/>
  <c r="C37" i="10"/>
  <c r="C60" i="2"/>
  <c r="B2" i="13"/>
  <c r="F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G5" i="13"/>
  <c r="L189" i="1"/>
  <c r="L191" i="1"/>
  <c r="C12" i="10" s="1"/>
  <c r="L192" i="1"/>
  <c r="L207" i="1"/>
  <c r="L209" i="1"/>
  <c r="L210" i="1"/>
  <c r="L225" i="1"/>
  <c r="L226" i="1"/>
  <c r="L227" i="1"/>
  <c r="L228" i="1"/>
  <c r="F6" i="13"/>
  <c r="G6" i="13"/>
  <c r="L194" i="1"/>
  <c r="L230" i="1"/>
  <c r="G7" i="13"/>
  <c r="L213" i="1"/>
  <c r="L231" i="1"/>
  <c r="F12" i="13"/>
  <c r="G12" i="13"/>
  <c r="L197" i="1"/>
  <c r="L215" i="1"/>
  <c r="C113" i="2" s="1"/>
  <c r="L233" i="1"/>
  <c r="L239" i="1" s="1"/>
  <c r="F14" i="13"/>
  <c r="G14" i="13"/>
  <c r="L199" i="1"/>
  <c r="L235" i="1"/>
  <c r="F15" i="13"/>
  <c r="G15" i="13"/>
  <c r="L200" i="1"/>
  <c r="L236" i="1"/>
  <c r="F17" i="13"/>
  <c r="G17" i="13"/>
  <c r="L243" i="1"/>
  <c r="D17" i="13" s="1"/>
  <c r="C17" i="13" s="1"/>
  <c r="F18" i="13"/>
  <c r="G18" i="13"/>
  <c r="L244" i="1"/>
  <c r="D18" i="13"/>
  <c r="C18" i="13" s="1"/>
  <c r="F19" i="13"/>
  <c r="G19" i="13"/>
  <c r="L245" i="1"/>
  <c r="C24" i="10" s="1"/>
  <c r="D19" i="13"/>
  <c r="C19" i="13" s="1"/>
  <c r="L352" i="1"/>
  <c r="J282" i="1"/>
  <c r="J301" i="1"/>
  <c r="J320" i="1"/>
  <c r="K282" i="1"/>
  <c r="K330" i="1" s="1"/>
  <c r="K344" i="1" s="1"/>
  <c r="K301" i="1"/>
  <c r="K320" i="1"/>
  <c r="L269" i="1"/>
  <c r="L270" i="1"/>
  <c r="L271" i="1"/>
  <c r="L273" i="1"/>
  <c r="L274" i="1"/>
  <c r="L275" i="1"/>
  <c r="E112" i="2" s="1"/>
  <c r="L276" i="1"/>
  <c r="L277" i="1"/>
  <c r="L278" i="1"/>
  <c r="E115" i="2" s="1"/>
  <c r="L279" i="1"/>
  <c r="F652" i="1" s="1"/>
  <c r="L280" i="1"/>
  <c r="L289" i="1"/>
  <c r="E103" i="2" s="1"/>
  <c r="L290" i="1"/>
  <c r="L293" i="1"/>
  <c r="L294" i="1"/>
  <c r="L295" i="1"/>
  <c r="L296" i="1"/>
  <c r="E114" i="2" s="1"/>
  <c r="L297" i="1"/>
  <c r="L298" i="1"/>
  <c r="L299" i="1"/>
  <c r="L306" i="1"/>
  <c r="L307" i="1"/>
  <c r="L308" i="1"/>
  <c r="L320" i="1" s="1"/>
  <c r="L309" i="1"/>
  <c r="L311" i="1"/>
  <c r="L312" i="1"/>
  <c r="L313" i="1"/>
  <c r="L314" i="1"/>
  <c r="E113" i="2" s="1"/>
  <c r="L315" i="1"/>
  <c r="L316" i="1"/>
  <c r="L317" i="1"/>
  <c r="L318" i="1"/>
  <c r="L325" i="1"/>
  <c r="L326" i="1"/>
  <c r="E106" i="2"/>
  <c r="L327" i="1"/>
  <c r="L252" i="1"/>
  <c r="L253" i="1"/>
  <c r="L333" i="1"/>
  <c r="L343" i="1" s="1"/>
  <c r="L334" i="1"/>
  <c r="L328" i="1"/>
  <c r="C11" i="13"/>
  <c r="C10" i="13"/>
  <c r="C9" i="13"/>
  <c r="L353" i="1"/>
  <c r="B4" i="12"/>
  <c r="B36" i="12"/>
  <c r="A40" i="12" s="1"/>
  <c r="C36" i="12"/>
  <c r="C40" i="12"/>
  <c r="B27" i="12"/>
  <c r="C27" i="12"/>
  <c r="B31" i="12"/>
  <c r="C31" i="12"/>
  <c r="B9" i="12"/>
  <c r="B18" i="12"/>
  <c r="A22" i="12" s="1"/>
  <c r="C18" i="12"/>
  <c r="B1" i="12"/>
  <c r="L379" i="1"/>
  <c r="L380" i="1"/>
  <c r="L381" i="1"/>
  <c r="L382" i="1"/>
  <c r="L383" i="1"/>
  <c r="L384" i="1"/>
  <c r="L387" i="1"/>
  <c r="L393" i="1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4" i="2" s="1"/>
  <c r="G53" i="2"/>
  <c r="F2" i="11"/>
  <c r="L603" i="1"/>
  <c r="H653" i="1"/>
  <c r="L602" i="1"/>
  <c r="G653" i="1"/>
  <c r="L601" i="1"/>
  <c r="C40" i="10"/>
  <c r="F52" i="1"/>
  <c r="C35" i="10" s="1"/>
  <c r="G52" i="1"/>
  <c r="G104" i="1" s="1"/>
  <c r="H52" i="1"/>
  <c r="I52" i="1"/>
  <c r="F71" i="1"/>
  <c r="F86" i="1"/>
  <c r="F103" i="1"/>
  <c r="G103" i="1"/>
  <c r="H71" i="1"/>
  <c r="E49" i="2" s="1"/>
  <c r="E54" i="2" s="1"/>
  <c r="E55" i="2" s="1"/>
  <c r="H86" i="1"/>
  <c r="H103" i="1"/>
  <c r="I103" i="1"/>
  <c r="J103" i="1"/>
  <c r="J104" i="1"/>
  <c r="F113" i="1"/>
  <c r="F128" i="1"/>
  <c r="F132" i="1"/>
  <c r="G113" i="1"/>
  <c r="G128" i="1"/>
  <c r="H113" i="1"/>
  <c r="H128" i="1"/>
  <c r="H132" i="1"/>
  <c r="I113" i="1"/>
  <c r="I128" i="1"/>
  <c r="I132" i="1"/>
  <c r="J113" i="1"/>
  <c r="J132" i="1" s="1"/>
  <c r="J128" i="1"/>
  <c r="F139" i="1"/>
  <c r="C77" i="2"/>
  <c r="C83" i="2" s="1"/>
  <c r="C79" i="2"/>
  <c r="C80" i="2"/>
  <c r="C81" i="2"/>
  <c r="C82" i="2"/>
  <c r="F154" i="1"/>
  <c r="F161" i="1"/>
  <c r="G139" i="1"/>
  <c r="G161" i="1" s="1"/>
  <c r="G154" i="1"/>
  <c r="H139" i="1"/>
  <c r="H154" i="1"/>
  <c r="H161" i="1"/>
  <c r="I139" i="1"/>
  <c r="I161" i="1" s="1"/>
  <c r="I154" i="1"/>
  <c r="C13" i="10"/>
  <c r="C18" i="10"/>
  <c r="L242" i="1"/>
  <c r="L324" i="1"/>
  <c r="C23" i="10"/>
  <c r="L246" i="1"/>
  <c r="C25" i="10"/>
  <c r="L260" i="1"/>
  <c r="L261" i="1"/>
  <c r="L341" i="1"/>
  <c r="E134" i="2" s="1"/>
  <c r="L342" i="1"/>
  <c r="E135" i="2" s="1"/>
  <c r="C26" i="10"/>
  <c r="I655" i="1"/>
  <c r="I660" i="1"/>
  <c r="H652" i="1"/>
  <c r="I659" i="1"/>
  <c r="C6" i="10"/>
  <c r="C42" i="10"/>
  <c r="L366" i="1"/>
  <c r="L367" i="1"/>
  <c r="L368" i="1"/>
  <c r="L369" i="1"/>
  <c r="L370" i="1"/>
  <c r="L371" i="1"/>
  <c r="L372" i="1"/>
  <c r="F122" i="2" s="1"/>
  <c r="F136" i="2" s="1"/>
  <c r="B2" i="10"/>
  <c r="L336" i="1"/>
  <c r="E126" i="2" s="1"/>
  <c r="L337" i="1"/>
  <c r="E127" i="2" s="1"/>
  <c r="L338" i="1"/>
  <c r="E129" i="2" s="1"/>
  <c r="L339" i="1"/>
  <c r="K343" i="1"/>
  <c r="L511" i="1"/>
  <c r="F539" i="1"/>
  <c r="L513" i="1"/>
  <c r="F541" i="1"/>
  <c r="L516" i="1"/>
  <c r="L519" i="1" s="1"/>
  <c r="L517" i="1"/>
  <c r="G540" i="1"/>
  <c r="L518" i="1"/>
  <c r="G541" i="1" s="1"/>
  <c r="K541" i="1" s="1"/>
  <c r="L522" i="1"/>
  <c r="L523" i="1"/>
  <c r="H541" i="1"/>
  <c r="L526" i="1"/>
  <c r="I539" i="1"/>
  <c r="I542" i="1" s="1"/>
  <c r="L527" i="1"/>
  <c r="I540" i="1"/>
  <c r="L528" i="1"/>
  <c r="L529" i="1" s="1"/>
  <c r="I541" i="1"/>
  <c r="L533" i="1"/>
  <c r="J541" i="1"/>
  <c r="E124" i="2"/>
  <c r="K262" i="1"/>
  <c r="J262" i="1"/>
  <c r="I262" i="1"/>
  <c r="H262" i="1"/>
  <c r="L262" i="1" s="1"/>
  <c r="G262" i="1"/>
  <c r="F262" i="1"/>
  <c r="C124" i="2"/>
  <c r="A1" i="2"/>
  <c r="A2" i="2"/>
  <c r="C9" i="2"/>
  <c r="D9" i="2"/>
  <c r="D19" i="2" s="1"/>
  <c r="E9" i="2"/>
  <c r="E19" i="2" s="1"/>
  <c r="F9" i="2"/>
  <c r="I431" i="1"/>
  <c r="I438" i="1" s="1"/>
  <c r="G632" i="1" s="1"/>
  <c r="J9" i="1"/>
  <c r="G9" i="2"/>
  <c r="C10" i="2"/>
  <c r="D10" i="2"/>
  <c r="E10" i="2"/>
  <c r="F10" i="2"/>
  <c r="I432" i="1"/>
  <c r="J10" i="1"/>
  <c r="C11" i="2"/>
  <c r="C12" i="2"/>
  <c r="C19" i="2" s="1"/>
  <c r="D12" i="2"/>
  <c r="E12" i="2"/>
  <c r="F12" i="2"/>
  <c r="F19" i="2" s="1"/>
  <c r="F13" i="2"/>
  <c r="F14" i="2"/>
  <c r="F15" i="2"/>
  <c r="F16" i="2"/>
  <c r="F17" i="2"/>
  <c r="F18" i="2"/>
  <c r="I433" i="1"/>
  <c r="J12" i="1"/>
  <c r="G12" i="2" s="1"/>
  <c r="C13" i="2"/>
  <c r="D13" i="2"/>
  <c r="E13" i="2"/>
  <c r="I434" i="1"/>
  <c r="J13" i="1" s="1"/>
  <c r="G13" i="2" s="1"/>
  <c r="C14" i="2"/>
  <c r="D14" i="2"/>
  <c r="E14" i="2"/>
  <c r="I435" i="1"/>
  <c r="J14" i="1"/>
  <c r="G14" i="2" s="1"/>
  <c r="C16" i="2"/>
  <c r="D16" i="2"/>
  <c r="E16" i="2"/>
  <c r="C17" i="2"/>
  <c r="D17" i="2"/>
  <c r="E17" i="2"/>
  <c r="I436" i="1"/>
  <c r="J17" i="1"/>
  <c r="G17" i="2"/>
  <c r="C18" i="2"/>
  <c r="D18" i="2"/>
  <c r="E18" i="2"/>
  <c r="I437" i="1"/>
  <c r="J18" i="1"/>
  <c r="G18" i="2"/>
  <c r="C22" i="2"/>
  <c r="C23" i="2"/>
  <c r="C24" i="2"/>
  <c r="C25" i="2"/>
  <c r="C26" i="2"/>
  <c r="C27" i="2"/>
  <c r="C28" i="2"/>
  <c r="C29" i="2"/>
  <c r="C30" i="2"/>
  <c r="C31" i="2"/>
  <c r="C32" i="2"/>
  <c r="D22" i="2"/>
  <c r="E22" i="2"/>
  <c r="F22" i="2"/>
  <c r="I440" i="1"/>
  <c r="J23" i="1"/>
  <c r="G22" i="2"/>
  <c r="D23" i="2"/>
  <c r="D32" i="2" s="1"/>
  <c r="E23" i="2"/>
  <c r="E32" i="2" s="1"/>
  <c r="E24" i="2"/>
  <c r="E25" i="2"/>
  <c r="E28" i="2"/>
  <c r="E29" i="2"/>
  <c r="E30" i="2"/>
  <c r="E31" i="2"/>
  <c r="E34" i="2"/>
  <c r="E42" i="2" s="1"/>
  <c r="E43" i="2" s="1"/>
  <c r="E35" i="2"/>
  <c r="E36" i="2"/>
  <c r="E37" i="2"/>
  <c r="E38" i="2"/>
  <c r="E40" i="2"/>
  <c r="E41" i="2"/>
  <c r="F23" i="2"/>
  <c r="F32" i="2" s="1"/>
  <c r="I441" i="1"/>
  <c r="J24" i="1"/>
  <c r="G23" i="2" s="1"/>
  <c r="D24" i="2"/>
  <c r="F24" i="2"/>
  <c r="I442" i="1"/>
  <c r="J25" i="1"/>
  <c r="G24" i="2" s="1"/>
  <c r="D25" i="2"/>
  <c r="F25" i="2"/>
  <c r="F26" i="2"/>
  <c r="F27" i="2"/>
  <c r="D28" i="2"/>
  <c r="F28" i="2"/>
  <c r="D29" i="2"/>
  <c r="F29" i="2"/>
  <c r="D30" i="2"/>
  <c r="F30" i="2"/>
  <c r="D31" i="2"/>
  <c r="F31" i="2"/>
  <c r="I443" i="1"/>
  <c r="J32" i="1" s="1"/>
  <c r="G31" i="2" s="1"/>
  <c r="C34" i="2"/>
  <c r="D34" i="2"/>
  <c r="F34" i="2"/>
  <c r="C35" i="2"/>
  <c r="C42" i="2" s="1"/>
  <c r="C43" i="2" s="1"/>
  <c r="D35" i="2"/>
  <c r="D42" i="2" s="1"/>
  <c r="D43" i="2" s="1"/>
  <c r="F35" i="2"/>
  <c r="C36" i="2"/>
  <c r="D36" i="2"/>
  <c r="F36" i="2"/>
  <c r="I446" i="1"/>
  <c r="I450" i="1" s="1"/>
  <c r="J37" i="1"/>
  <c r="G36" i="2" s="1"/>
  <c r="G42" i="2" s="1"/>
  <c r="C37" i="2"/>
  <c r="D37" i="2"/>
  <c r="F37" i="2"/>
  <c r="I447" i="1"/>
  <c r="J38" i="1"/>
  <c r="G37" i="2"/>
  <c r="C38" i="2"/>
  <c r="D38" i="2"/>
  <c r="F38" i="2"/>
  <c r="I448" i="1"/>
  <c r="J40" i="1"/>
  <c r="G39" i="2"/>
  <c r="C40" i="2"/>
  <c r="D41" i="2"/>
  <c r="F40" i="2"/>
  <c r="I449" i="1"/>
  <c r="J41" i="1"/>
  <c r="C41" i="2"/>
  <c r="F41" i="2"/>
  <c r="F42" i="2"/>
  <c r="C48" i="2"/>
  <c r="D48" i="2"/>
  <c r="E48" i="2"/>
  <c r="F48" i="2"/>
  <c r="E50" i="2"/>
  <c r="E51" i="2"/>
  <c r="E53" i="2"/>
  <c r="C50" i="2"/>
  <c r="C51" i="2"/>
  <c r="D51" i="2"/>
  <c r="D54" i="2" s="1"/>
  <c r="F51" i="2"/>
  <c r="F54" i="2" s="1"/>
  <c r="F55" i="2" s="1"/>
  <c r="F96" i="2" s="1"/>
  <c r="F53" i="2"/>
  <c r="D52" i="2"/>
  <c r="D53" i="2"/>
  <c r="C53" i="2"/>
  <c r="C58" i="2"/>
  <c r="C59" i="2"/>
  <c r="C61" i="2"/>
  <c r="D61" i="2"/>
  <c r="D62" i="2"/>
  <c r="E61" i="2"/>
  <c r="E62" i="2" s="1"/>
  <c r="F61" i="2"/>
  <c r="G61" i="2"/>
  <c r="G62" i="2"/>
  <c r="G69" i="2"/>
  <c r="G70" i="2"/>
  <c r="G73" i="2"/>
  <c r="F62" i="2"/>
  <c r="C64" i="2"/>
  <c r="F64" i="2"/>
  <c r="F70" i="2" s="1"/>
  <c r="F73" i="2" s="1"/>
  <c r="C65" i="2"/>
  <c r="F65" i="2"/>
  <c r="C66" i="2"/>
  <c r="C67" i="2"/>
  <c r="C68" i="2"/>
  <c r="E68" i="2"/>
  <c r="E70" i="2" s="1"/>
  <c r="F68" i="2"/>
  <c r="C69" i="2"/>
  <c r="D69" i="2"/>
  <c r="D70" i="2" s="1"/>
  <c r="D73" i="2" s="1"/>
  <c r="E69" i="2"/>
  <c r="F69" i="2"/>
  <c r="C70" i="2"/>
  <c r="C71" i="2"/>
  <c r="D71" i="2"/>
  <c r="E71" i="2"/>
  <c r="C72" i="2"/>
  <c r="E72" i="2"/>
  <c r="E77" i="2"/>
  <c r="F77" i="2"/>
  <c r="F83" i="2" s="1"/>
  <c r="F79" i="2"/>
  <c r="F80" i="2"/>
  <c r="F81" i="2"/>
  <c r="F85" i="2"/>
  <c r="F95" i="2" s="1"/>
  <c r="F86" i="2"/>
  <c r="F88" i="2"/>
  <c r="F89" i="2"/>
  <c r="F91" i="2"/>
  <c r="F92" i="2"/>
  <c r="F93" i="2"/>
  <c r="F94" i="2"/>
  <c r="E79" i="2"/>
  <c r="D80" i="2"/>
  <c r="E80" i="2"/>
  <c r="D81" i="2"/>
  <c r="E81" i="2"/>
  <c r="E83" i="2" s="1"/>
  <c r="C85" i="2"/>
  <c r="C86" i="2"/>
  <c r="D88" i="2"/>
  <c r="D95" i="2" s="1"/>
  <c r="E88" i="2"/>
  <c r="E95" i="2" s="1"/>
  <c r="E89" i="2"/>
  <c r="E90" i="2"/>
  <c r="E91" i="2"/>
  <c r="E92" i="2"/>
  <c r="E93" i="2"/>
  <c r="E94" i="2"/>
  <c r="G88" i="2"/>
  <c r="G95" i="2" s="1"/>
  <c r="C89" i="2"/>
  <c r="D89" i="2"/>
  <c r="D90" i="2"/>
  <c r="D91" i="2"/>
  <c r="D92" i="2"/>
  <c r="D93" i="2"/>
  <c r="D94" i="2"/>
  <c r="G89" i="2"/>
  <c r="C90" i="2"/>
  <c r="G90" i="2"/>
  <c r="C91" i="2"/>
  <c r="C92" i="2"/>
  <c r="C93" i="2"/>
  <c r="C94" i="2"/>
  <c r="C95" i="2"/>
  <c r="C101" i="2"/>
  <c r="C104" i="2"/>
  <c r="E104" i="2"/>
  <c r="C105" i="2"/>
  <c r="E105" i="2"/>
  <c r="D107" i="2"/>
  <c r="F107" i="2"/>
  <c r="F137" i="2" s="1"/>
  <c r="G107" i="2"/>
  <c r="G137" i="2" s="1"/>
  <c r="E111" i="2"/>
  <c r="E117" i="2"/>
  <c r="F120" i="2"/>
  <c r="G120" i="2"/>
  <c r="E122" i="2"/>
  <c r="D126" i="2"/>
  <c r="D136" i="2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K490" i="1" s="1"/>
  <c r="B153" i="2"/>
  <c r="G153" i="2" s="1"/>
  <c r="G490" i="1"/>
  <c r="C153" i="2" s="1"/>
  <c r="H490" i="1"/>
  <c r="D153" i="2"/>
  <c r="I490" i="1"/>
  <c r="E153" i="2" s="1"/>
  <c r="J490" i="1"/>
  <c r="F153" i="2" s="1"/>
  <c r="B154" i="2"/>
  <c r="C154" i="2"/>
  <c r="D154" i="2"/>
  <c r="E154" i="2"/>
  <c r="F154" i="2"/>
  <c r="G154" i="2" s="1"/>
  <c r="B155" i="2"/>
  <c r="C155" i="2"/>
  <c r="D155" i="2"/>
  <c r="E155" i="2"/>
  <c r="F155" i="2"/>
  <c r="F493" i="1"/>
  <c r="B156" i="2" s="1"/>
  <c r="G493" i="1"/>
  <c r="C156" i="2" s="1"/>
  <c r="H493" i="1"/>
  <c r="D156" i="2" s="1"/>
  <c r="I493" i="1"/>
  <c r="E156" i="2" s="1"/>
  <c r="J493" i="1"/>
  <c r="F156" i="2" s="1"/>
  <c r="F19" i="1"/>
  <c r="G19" i="1"/>
  <c r="G608" i="1" s="1"/>
  <c r="H19" i="1"/>
  <c r="G609" i="1" s="1"/>
  <c r="J609" i="1" s="1"/>
  <c r="I19" i="1"/>
  <c r="G610" i="1"/>
  <c r="F33" i="1"/>
  <c r="F44" i="1" s="1"/>
  <c r="H607" i="1" s="1"/>
  <c r="J607" i="1" s="1"/>
  <c r="G33" i="1"/>
  <c r="H33" i="1"/>
  <c r="H44" i="1"/>
  <c r="H609" i="1"/>
  <c r="I33" i="1"/>
  <c r="I44" i="1" s="1"/>
  <c r="H610" i="1" s="1"/>
  <c r="F43" i="1"/>
  <c r="H43" i="1"/>
  <c r="I43" i="1"/>
  <c r="F169" i="1"/>
  <c r="I169" i="1"/>
  <c r="F175" i="1"/>
  <c r="F184" i="1" s="1"/>
  <c r="G175" i="1"/>
  <c r="G184" i="1" s="1"/>
  <c r="H175" i="1"/>
  <c r="I175" i="1"/>
  <c r="J175" i="1"/>
  <c r="F180" i="1"/>
  <c r="G180" i="1"/>
  <c r="H180" i="1"/>
  <c r="I180" i="1"/>
  <c r="H184" i="1"/>
  <c r="J184" i="1"/>
  <c r="G203" i="1"/>
  <c r="I203" i="1"/>
  <c r="K203" i="1"/>
  <c r="G221" i="1"/>
  <c r="G249" i="1" s="1"/>
  <c r="G263" i="1" s="1"/>
  <c r="I221" i="1"/>
  <c r="K221" i="1"/>
  <c r="K249" i="1" s="1"/>
  <c r="K263" i="1" s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H282" i="1"/>
  <c r="F301" i="1"/>
  <c r="H301" i="1"/>
  <c r="H330" i="1" s="1"/>
  <c r="H344" i="1" s="1"/>
  <c r="F320" i="1"/>
  <c r="G320" i="1"/>
  <c r="H320" i="1"/>
  <c r="I320" i="1"/>
  <c r="F329" i="1"/>
  <c r="G329" i="1"/>
  <c r="H329" i="1"/>
  <c r="I329" i="1"/>
  <c r="J329" i="1"/>
  <c r="J330" i="1"/>
  <c r="J344" i="1" s="1"/>
  <c r="K329" i="1"/>
  <c r="L329" i="1"/>
  <c r="G354" i="1"/>
  <c r="H354" i="1"/>
  <c r="J354" i="1"/>
  <c r="K354" i="1"/>
  <c r="I360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H399" i="1"/>
  <c r="I399" i="1"/>
  <c r="G400" i="1"/>
  <c r="H635" i="1" s="1"/>
  <c r="J635" i="1" s="1"/>
  <c r="H400" i="1"/>
  <c r="H634" i="1" s="1"/>
  <c r="J634" i="1" s="1"/>
  <c r="I400" i="1"/>
  <c r="L405" i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F438" i="1"/>
  <c r="G438" i="1"/>
  <c r="G630" i="1" s="1"/>
  <c r="H438" i="1"/>
  <c r="G631" i="1" s="1"/>
  <c r="J631" i="1" s="1"/>
  <c r="F444" i="1"/>
  <c r="G444" i="1"/>
  <c r="G451" i="1" s="1"/>
  <c r="H630" i="1" s="1"/>
  <c r="H444" i="1"/>
  <c r="H451" i="1" s="1"/>
  <c r="H631" i="1" s="1"/>
  <c r="I444" i="1"/>
  <c r="F450" i="1"/>
  <c r="G450" i="1"/>
  <c r="H450" i="1"/>
  <c r="F451" i="1"/>
  <c r="F460" i="1"/>
  <c r="F466" i="1" s="1"/>
  <c r="H612" i="1" s="1"/>
  <c r="G460" i="1"/>
  <c r="H460" i="1"/>
  <c r="H466" i="1" s="1"/>
  <c r="H614" i="1" s="1"/>
  <c r="J614" i="1" s="1"/>
  <c r="I460" i="1"/>
  <c r="I466" i="1" s="1"/>
  <c r="H615" i="1" s="1"/>
  <c r="J615" i="1" s="1"/>
  <c r="J460" i="1"/>
  <c r="F464" i="1"/>
  <c r="G464" i="1"/>
  <c r="H464" i="1"/>
  <c r="I464" i="1"/>
  <c r="J464" i="1"/>
  <c r="J466" i="1" s="1"/>
  <c r="H616" i="1" s="1"/>
  <c r="G466" i="1"/>
  <c r="H613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H514" i="1"/>
  <c r="I514" i="1"/>
  <c r="J514" i="1"/>
  <c r="K514" i="1"/>
  <c r="F519" i="1"/>
  <c r="F535" i="1" s="1"/>
  <c r="G519" i="1"/>
  <c r="H519" i="1"/>
  <c r="I519" i="1"/>
  <c r="I535" i="1" s="1"/>
  <c r="J519" i="1"/>
  <c r="K519" i="1"/>
  <c r="F524" i="1"/>
  <c r="G524" i="1"/>
  <c r="H524" i="1"/>
  <c r="I524" i="1"/>
  <c r="J524" i="1"/>
  <c r="J535" i="1" s="1"/>
  <c r="K524" i="1"/>
  <c r="F529" i="1"/>
  <c r="G529" i="1"/>
  <c r="H529" i="1"/>
  <c r="I529" i="1"/>
  <c r="J529" i="1"/>
  <c r="K529" i="1"/>
  <c r="F534" i="1"/>
  <c r="G534" i="1"/>
  <c r="I534" i="1"/>
  <c r="J534" i="1"/>
  <c r="K534" i="1"/>
  <c r="K535" i="1" s="1"/>
  <c r="L547" i="1"/>
  <c r="L548" i="1"/>
  <c r="L549" i="1"/>
  <c r="F550" i="1"/>
  <c r="G550" i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K561" i="1" s="1"/>
  <c r="L557" i="1"/>
  <c r="L558" i="1"/>
  <c r="L560" i="1" s="1"/>
  <c r="L559" i="1"/>
  <c r="F560" i="1"/>
  <c r="F561" i="1" s="1"/>
  <c r="G560" i="1"/>
  <c r="H560" i="1"/>
  <c r="I560" i="1"/>
  <c r="J560" i="1"/>
  <c r="K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7" i="1"/>
  <c r="H588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12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H629" i="1"/>
  <c r="G633" i="1"/>
  <c r="J633" i="1" s="1"/>
  <c r="G634" i="1"/>
  <c r="G635" i="1"/>
  <c r="G639" i="1"/>
  <c r="H639" i="1"/>
  <c r="J639" i="1"/>
  <c r="G641" i="1"/>
  <c r="J641" i="1" s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561" i="1"/>
  <c r="I184" i="1"/>
  <c r="G155" i="2"/>
  <c r="H540" i="1"/>
  <c r="H104" i="1"/>
  <c r="H185" i="1" s="1"/>
  <c r="G619" i="1" s="1"/>
  <c r="J619" i="1" s="1"/>
  <c r="F104" i="1"/>
  <c r="C49" i="2"/>
  <c r="C54" i="2" s="1"/>
  <c r="F653" i="1"/>
  <c r="I653" i="1"/>
  <c r="L604" i="1"/>
  <c r="F330" i="1"/>
  <c r="F344" i="1" s="1"/>
  <c r="C62" i="2"/>
  <c r="C73" i="2"/>
  <c r="L374" i="1"/>
  <c r="G626" i="1" s="1"/>
  <c r="J626" i="1" s="1"/>
  <c r="L399" i="1"/>
  <c r="C132" i="2" s="1"/>
  <c r="L385" i="1"/>
  <c r="A31" i="12"/>
  <c r="E16" i="13"/>
  <c r="C16" i="13"/>
  <c r="C117" i="2"/>
  <c r="C123" i="2"/>
  <c r="I104" i="1"/>
  <c r="F31" i="13"/>
  <c r="C130" i="2"/>
  <c r="I249" i="1"/>
  <c r="I263" i="1" s="1"/>
  <c r="G40" i="2"/>
  <c r="G10" i="2"/>
  <c r="G132" i="1"/>
  <c r="C38" i="10" s="1"/>
  <c r="A13" i="12" l="1"/>
  <c r="J624" i="1"/>
  <c r="D15" i="13"/>
  <c r="C15" i="13" s="1"/>
  <c r="C116" i="2"/>
  <c r="C21" i="10"/>
  <c r="H637" i="1"/>
  <c r="G652" i="1"/>
  <c r="I652" i="1" s="1"/>
  <c r="G640" i="1"/>
  <c r="J640" i="1" s="1"/>
  <c r="J630" i="1"/>
  <c r="G55" i="2"/>
  <c r="G96" i="2" s="1"/>
  <c r="L400" i="1"/>
  <c r="C131" i="2"/>
  <c r="C133" i="2" s="1"/>
  <c r="J539" i="1"/>
  <c r="J542" i="1" s="1"/>
  <c r="L534" i="1"/>
  <c r="D119" i="2"/>
  <c r="D120" i="2" s="1"/>
  <c r="L354" i="1"/>
  <c r="H651" i="1"/>
  <c r="F651" i="1"/>
  <c r="I651" i="1" s="1"/>
  <c r="D29" i="13"/>
  <c r="C29" i="13" s="1"/>
  <c r="G156" i="2"/>
  <c r="J185" i="1"/>
  <c r="G185" i="1"/>
  <c r="G618" i="1" s="1"/>
  <c r="J618" i="1" s="1"/>
  <c r="L561" i="1"/>
  <c r="G19" i="2"/>
  <c r="I185" i="1"/>
  <c r="G620" i="1" s="1"/>
  <c r="J620" i="1" s="1"/>
  <c r="C36" i="10"/>
  <c r="L282" i="1"/>
  <c r="C10" i="10"/>
  <c r="E101" i="2"/>
  <c r="E107" i="2" s="1"/>
  <c r="J33" i="1"/>
  <c r="J19" i="1"/>
  <c r="G611" i="1" s="1"/>
  <c r="D6" i="13"/>
  <c r="C6" i="13" s="1"/>
  <c r="C115" i="2"/>
  <c r="D14" i="13"/>
  <c r="C14" i="13" s="1"/>
  <c r="C20" i="10"/>
  <c r="H539" i="1"/>
  <c r="H542" i="1" s="1"/>
  <c r="L524" i="1"/>
  <c r="J610" i="1"/>
  <c r="C39" i="10"/>
  <c r="G651" i="1"/>
  <c r="F22" i="13"/>
  <c r="C22" i="13" s="1"/>
  <c r="C122" i="2"/>
  <c r="C136" i="2" s="1"/>
  <c r="C29" i="10"/>
  <c r="L301" i="1"/>
  <c r="F185" i="1"/>
  <c r="G617" i="1" s="1"/>
  <c r="J617" i="1" s="1"/>
  <c r="D55" i="2"/>
  <c r="E96" i="2"/>
  <c r="H650" i="1"/>
  <c r="L221" i="1"/>
  <c r="I451" i="1"/>
  <c r="H632" i="1" s="1"/>
  <c r="J632" i="1" s="1"/>
  <c r="D137" i="2"/>
  <c r="C55" i="2"/>
  <c r="C96" i="2" s="1"/>
  <c r="H249" i="1"/>
  <c r="H263" i="1" s="1"/>
  <c r="J612" i="1"/>
  <c r="E73" i="2"/>
  <c r="F43" i="2"/>
  <c r="G32" i="2"/>
  <c r="G43" i="2" s="1"/>
  <c r="K582" i="1"/>
  <c r="K588" i="1" s="1"/>
  <c r="G637" i="1" s="1"/>
  <c r="J637" i="1" s="1"/>
  <c r="I301" i="1"/>
  <c r="J221" i="1"/>
  <c r="D12" i="13"/>
  <c r="C12" i="13" s="1"/>
  <c r="G301" i="1"/>
  <c r="G330" i="1" s="1"/>
  <c r="G344" i="1" s="1"/>
  <c r="C110" i="2"/>
  <c r="C19" i="10"/>
  <c r="C15" i="10"/>
  <c r="H221" i="1"/>
  <c r="C106" i="2"/>
  <c r="G539" i="1"/>
  <c r="F361" i="1"/>
  <c r="H25" i="13"/>
  <c r="L190" i="1"/>
  <c r="D5" i="13" s="1"/>
  <c r="K493" i="1"/>
  <c r="I282" i="1"/>
  <c r="E116" i="2"/>
  <c r="E120" i="2" s="1"/>
  <c r="D77" i="2"/>
  <c r="D83" i="2" s="1"/>
  <c r="H534" i="1"/>
  <c r="H535" i="1" s="1"/>
  <c r="F221" i="1"/>
  <c r="F249" i="1" s="1"/>
  <c r="F263" i="1" s="1"/>
  <c r="L196" i="1"/>
  <c r="G31" i="13"/>
  <c r="G33" i="13" s="1"/>
  <c r="J203" i="1"/>
  <c r="J249" i="1" s="1"/>
  <c r="C114" i="2"/>
  <c r="L512" i="1"/>
  <c r="L195" i="1"/>
  <c r="E123" i="2"/>
  <c r="E136" i="2" s="1"/>
  <c r="C32" i="10"/>
  <c r="F354" i="1"/>
  <c r="C103" i="2"/>
  <c r="G43" i="1"/>
  <c r="J43" i="1"/>
  <c r="C5" i="13" l="1"/>
  <c r="L330" i="1"/>
  <c r="L344" i="1" s="1"/>
  <c r="G623" i="1" s="1"/>
  <c r="J623" i="1" s="1"/>
  <c r="D31" i="13"/>
  <c r="C31" i="13" s="1"/>
  <c r="D96" i="2"/>
  <c r="F33" i="13"/>
  <c r="I330" i="1"/>
  <c r="I344" i="1" s="1"/>
  <c r="D36" i="10"/>
  <c r="G625" i="1"/>
  <c r="J625" i="1" s="1"/>
  <c r="C27" i="10"/>
  <c r="C41" i="10"/>
  <c r="H33" i="13"/>
  <c r="C25" i="13"/>
  <c r="F540" i="1"/>
  <c r="L514" i="1"/>
  <c r="L535" i="1" s="1"/>
  <c r="J263" i="1"/>
  <c r="H638" i="1"/>
  <c r="J638" i="1" s="1"/>
  <c r="G542" i="1"/>
  <c r="K539" i="1"/>
  <c r="J611" i="1"/>
  <c r="G627" i="1"/>
  <c r="J627" i="1" s="1"/>
  <c r="H636" i="1"/>
  <c r="C112" i="2"/>
  <c r="C17" i="10"/>
  <c r="E8" i="13"/>
  <c r="G650" i="1"/>
  <c r="G654" i="1" s="1"/>
  <c r="D39" i="10"/>
  <c r="G621" i="1"/>
  <c r="J621" i="1" s="1"/>
  <c r="G636" i="1"/>
  <c r="J636" i="1" s="1"/>
  <c r="D7" i="13"/>
  <c r="C7" i="13" s="1"/>
  <c r="C16" i="10"/>
  <c r="C111" i="2"/>
  <c r="C120" i="2" s="1"/>
  <c r="G616" i="1"/>
  <c r="J616" i="1" s="1"/>
  <c r="J44" i="1"/>
  <c r="H611" i="1" s="1"/>
  <c r="H654" i="1"/>
  <c r="E137" i="2"/>
  <c r="C102" i="2"/>
  <c r="C107" i="2" s="1"/>
  <c r="L203" i="1"/>
  <c r="C11" i="10"/>
  <c r="G44" i="1"/>
  <c r="H608" i="1" s="1"/>
  <c r="J608" i="1" s="1"/>
  <c r="G613" i="1"/>
  <c r="C28" i="10"/>
  <c r="C30" i="10" l="1"/>
  <c r="D25" i="10"/>
  <c r="D23" i="10"/>
  <c r="D22" i="10"/>
  <c r="D26" i="10"/>
  <c r="D24" i="10"/>
  <c r="D13" i="10"/>
  <c r="D18" i="10"/>
  <c r="D12" i="10"/>
  <c r="D10" i="10"/>
  <c r="D16" i="10"/>
  <c r="D21" i="10"/>
  <c r="D27" i="10"/>
  <c r="D19" i="10"/>
  <c r="J613" i="1"/>
  <c r="F650" i="1"/>
  <c r="L249" i="1"/>
  <c r="L263" i="1" s="1"/>
  <c r="G622" i="1" s="1"/>
  <c r="J622" i="1" s="1"/>
  <c r="G662" i="1"/>
  <c r="C5" i="10" s="1"/>
  <c r="G657" i="1"/>
  <c r="E33" i="13"/>
  <c r="D35" i="13" s="1"/>
  <c r="C8" i="13"/>
  <c r="K540" i="1"/>
  <c r="K542" i="1" s="1"/>
  <c r="F542" i="1"/>
  <c r="C137" i="2"/>
  <c r="H657" i="1"/>
  <c r="H662" i="1"/>
  <c r="D17" i="10"/>
  <c r="D20" i="10"/>
  <c r="D11" i="10"/>
  <c r="D15" i="10"/>
  <c r="D33" i="13"/>
  <c r="D36" i="13" s="1"/>
  <c r="D37" i="10"/>
  <c r="D40" i="10"/>
  <c r="D35" i="10"/>
  <c r="D41" i="10" s="1"/>
  <c r="D38" i="10"/>
  <c r="D28" i="10" l="1"/>
  <c r="H646" i="1"/>
  <c r="F654" i="1"/>
  <c r="I650" i="1"/>
  <c r="I654" i="1" s="1"/>
  <c r="I662" i="1" l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F234878-9C99-4581-9E38-B453093266B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ACAA8A8-72EF-48EE-B80C-22A72B0D7DC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CF3A011-0FBD-4FB6-8E1C-4560DB766ABD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65DB681-A866-4578-ACD4-07318D9F9AA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D7F4AF48-6A57-439F-B5CC-5C5C67D059A1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51E5554-89EA-441A-9F29-72568473270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D2A8BD5-BDDA-4737-928A-FB17F9E645DD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DA291931-3248-4F6A-8677-09F6823CCEBD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C976D320-60BB-4182-8E41-7BDA42C6B892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D12B5574-9F89-4B9A-AA31-8AD2AB8ABE7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8C5F5FA4-049A-4337-ACFC-13B15001CE7B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DF72826-FACD-4882-B814-A011F598161F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<sst xmlns="http://schemas.openxmlformats.org/spreadsheetml/2006/main" count="3860" uniqueCount="897">
  <si>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</si>
  <si>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</si>
  <si>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</si>
  <si>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</si>
  <si>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</si>
  <si>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</si>
  <si>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</si>
  <si>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</si>
  <si>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</si>
  <si>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</si>
  <si>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</si>
  <si>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</si>
  <si>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</si>
  <si>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</si>
  <si>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</si>
  <si>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</si>
  <si>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</si>
  <si>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</si>
  <si>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</si>
  <si>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</si>
  <si>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</si>
  <si>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</si>
  <si>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</si>
  <si>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</si>
  <si>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</si>
  <si>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</si>
  <si>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</si>
  <si>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</si>
  <si>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</si>
  <si>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</si>
  <si>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</si>
  <si>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</si>
  <si>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</si>
  <si>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</si>
  <si>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</si>
  <si>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</si>
  <si>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</si>
  <si>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</si>
  <si>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</si>
  <si>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</si>
  <si>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</si>
  <si>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</si>
  <si>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</si>
  <si>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</si>
  <si>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</si>
  <si>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</si>
  <si>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</si>
  <si>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</si>
  <si>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</si>
  <si>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</si>
  <si>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</si>
  <si>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</si>
  <si>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</si>
  <si>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</si>
  <si>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</si>
  <si>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</si>
  <si>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</si>
  <si>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</si>
  <si>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</si>
  <si>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</si>
  <si>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</si>
  <si>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</si>
  <si>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</si>
  <si>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</si>
  <si>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</si>
  <si>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</si>
  <si>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</si>
  <si>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</si>
  <si>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</si>
  <si>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</si>
  <si>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</si>
  <si>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</si>
  <si>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</si>
  <si>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</si>
  <si>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</si>
  <si>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</si>
  <si>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</si>
  <si>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</si>
  <si>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</si>
  <si>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</si>
  <si>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</si>
  <si>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</si>
  <si>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</si>
  <si>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</si>
  <si>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</si>
  <si>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</si>
  <si>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</si>
  <si>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</si>
  <si>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</si>
  <si>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</si>
  <si>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</si>
  <si>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</si>
  <si>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</si>
  <si>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</si>
  <si>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</si>
  <si>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</si>
  <si>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</si>
  <si>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</si>
  <si>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</si>
  <si>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</si>
  <si>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</si>
  <si>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</si>
  <si>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</si>
  <si>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</si>
  <si>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</si>
  <si>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</si>
  <si>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</si>
  <si>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</si>
  <si>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</si>
  <si>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</si>
  <si>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</si>
  <si>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</si>
  <si>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</si>
  <si>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</si>
  <si>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</si>
  <si>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</si>
  <si>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</si>
  <si>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</si>
  <si>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</si>
  <si>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</si>
  <si>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</si>
  <si>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</si>
  <si>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</si>
  <si>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</si>
  <si>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</si>
  <si>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</si>
  <si>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</si>
  <si>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</si>
  <si>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</si>
  <si>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</si>
  <si>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</si>
  <si>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</si>
  <si>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</si>
  <si>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</si>
  <si>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</si>
  <si>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</si>
  <si>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</si>
  <si>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</si>
  <si>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</si>
  <si>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</si>
  <si>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</si>
  <si>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</si>
  <si>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</si>
  <si>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</si>
  <si>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</si>
  <si>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</si>
  <si>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</si>
  <si>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</si>
  <si>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</si>
  <si>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</si>
  <si>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</si>
  <si>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</si>
  <si>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</si>
  <si>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</si>
  <si>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</si>
  <si>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</si>
  <si>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</si>
  <si>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</si>
  <si>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</si>
  <si>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</si>
  <si>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</si>
  <si>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</si>
  <si>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</si>
  <si>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</si>
  <si>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</si>
  <si>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</si>
  <si>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</si>
  <si>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</si>
  <si>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</si>
  <si>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</si>
  <si>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</si>
  <si>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</si>
  <si>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</si>
  <si>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</si>
  <si>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</si>
  <si>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</si>
  <si>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</si>
  <si>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</si>
  <si>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</si>
  <si>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</si>
  <si>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</si>
  <si>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</si>
  <si>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</si>
  <si>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</si>
  <si>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</si>
  <si>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</si>
  <si>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</si>
  <si>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</si>
  <si>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</si>
  <si>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</si>
  <si>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</si>
  <si>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</si>
  <si>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</si>
  <si>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</si>
  <si>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</si>
  <si>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</si>
  <si>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</si>
  <si>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</si>
  <si>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</si>
  <si>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</si>
  <si>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</si>
  <si>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</si>
  <si>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</si>
  <si>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</si>
  <si>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</si>
  <si>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</si>
  <si>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</si>
  <si>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</si>
  <si>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</si>
  <si>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</si>
  <si>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</si>
  <si>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</si>
  <si>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</si>
  <si>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</si>
  <si>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</si>
  <si>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</si>
  <si>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</si>
  <si>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</si>
  <si>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</si>
  <si>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</si>
  <si>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</si>
  <si>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</si>
  <si>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</si>
  <si>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</si>
  <si>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</si>
  <si>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</si>
  <si>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</si>
  <si>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</si>
  <si>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</si>
  <si>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</si>
  <si>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</si>
  <si>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</si>
  <si>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</si>
  <si>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</si>
  <si>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</si>
  <si>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</si>
  <si>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</si>
  <si>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</si>
  <si>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</si>
  <si>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</si>
  <si>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</si>
  <si>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</si>
  <si>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</si>
  <si>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</si>
  <si>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</si>
  <si>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</si>
  <si>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</si>
  <si>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</si>
  <si>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</si>
  <si>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</si>
  <si>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</si>
  <si>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</si>
  <si>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</si>
  <si>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</si>
  <si>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</si>
  <si>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</si>
  <si>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</si>
  <si>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</si>
  <si>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</si>
  <si>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</si>
  <si>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</si>
  <si>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</si>
  <si>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</si>
  <si>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</si>
  <si>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</si>
  <si>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</si>
  <si>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</si>
  <si>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</si>
  <si>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</si>
  <si>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</si>
  <si>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</si>
  <si>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</si>
  <si>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</si>
  <si>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</si>
  <si>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</si>
  <si>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</si>
  <si>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</si>
  <si>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</si>
  <si>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</si>
  <si>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</si>
  <si>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</si>
  <si>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</si>
  <si>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</si>
  <si>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</si>
  <si>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</si>
  <si>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</si>
  <si>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</si>
  <si>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</si>
  <si>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</si>
  <si>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</si>
  <si>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</si>
  <si>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</si>
  <si>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</si>
  <si>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</si>
  <si>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</si>
  <si>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</si>
  <si>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</si>
  <si>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</si>
  <si>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</si>
  <si>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</si>
  <si>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</si>
  <si>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</si>
  <si>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</si>
  <si>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</si>
  <si>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</si>
  <si>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</si>
  <si>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</si>
  <si>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</si>
  <si>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</si>
  <si>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</si>
  <si>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</si>
  <si>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</si>
  <si>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</si>
  <si>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</si>
  <si>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</si>
  <si>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</si>
  <si>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</si>
  <si>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</si>
  <si>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</si>
  <si>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</si>
  <si>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</si>
  <si>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</si>
  <si>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</si>
  <si>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</si>
  <si>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</si>
  <si>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</si>
  <si>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</si>
  <si>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</si>
  <si>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</si>
  <si>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</si>
  <si>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</si>
  <si>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</si>
  <si>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</si>
  <si>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</si>
  <si>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</si>
  <si>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</si>
  <si>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</si>
  <si>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</si>
  <si>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</si>
  <si>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</si>
  <si>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</si>
  <si>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</si>
  <si>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</si>
  <si>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</si>
  <si>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</si>
  <si>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</si>
  <si>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</si>
  <si>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</si>
  <si>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</si>
  <si>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</si>
  <si>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</si>
  <si>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</si>
  <si>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</si>
  <si>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</si>
  <si>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</si>
  <si>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</si>
  <si>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</si>
  <si>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</si>
  <si>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</si>
  <si>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</si>
  <si>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</si>
  <si>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</si>
  <si>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</si>
  <si>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</si>
  <si>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</si>
  <si>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</si>
  <si>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</si>
  <si>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</si>
  <si>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</si>
  <si>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</si>
  <si>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</si>
  <si>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</si>
  <si>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</si>
  <si>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</si>
  <si>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</si>
  <si>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</si>
  <si>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</si>
  <si>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</si>
  <si>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</si>
  <si>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</si>
  <si>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</si>
  <si>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</si>
  <si>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</si>
  <si>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</si>
  <si>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</si>
  <si>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</si>
  <si>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</si>
  <si>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</si>
  <si>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</si>
  <si>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</si>
  <si>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</si>
  <si>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</si>
  <si>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</si>
  <si>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</si>
  <si>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</si>
  <si>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</si>
  <si>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</si>
  <si>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</si>
  <si>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</si>
  <si>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</si>
  <si>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</si>
  <si>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</si>
  <si>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</si>
  <si>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</si>
  <si>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</si>
  <si>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</si>
  <si>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</si>
  <si>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</si>
  <si>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</si>
  <si>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</si>
  <si>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</si>
  <si>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</si>
  <si>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</si>
  <si>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</si>
  <si>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</si>
  <si>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</si>
  <si>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</si>
  <si>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</si>
  <si>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</si>
  <si>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</si>
  <si>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</si>
  <si>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</si>
  <si>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</si>
  <si>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</si>
  <si>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</si>
  <si>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</si>
  <si>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</si>
  <si>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</si>
  <si>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</si>
  <si>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</si>
  <si>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</si>
  <si>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</si>
  <si>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</si>
  <si>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</si>
  <si>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</si>
  <si>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</si>
  <si>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</si>
  <si>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</si>
  <si>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</si>
  <si>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</si>
  <si>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</si>
  <si>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</si>
  <si>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</si>
  <si>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</si>
  <si>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</si>
  <si>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</si>
  <si>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</si>
  <si>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</si>
  <si>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</si>
  <si>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</si>
  <si>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</si>
  <si>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</si>
  <si>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</si>
  <si>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</si>
  <si>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</si>
  <si>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</si>
  <si>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</si>
  <si>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</si>
  <si>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</si>
  <si>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</si>
  <si>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</si>
  <si>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</si>
  <si>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</si>
  <si>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</si>
  <si>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</si>
  <si>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</si>
  <si>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</si>
  <si>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</si>
  <si>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</si>
  <si>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</si>
  <si>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</si>
  <si>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</si>
  <si>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</si>
  <si>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</si>
  <si>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</si>
  <si>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</si>
  <si>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</si>
  <si>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</si>
  <si>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</si>
  <si>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</si>
  <si>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</si>
  <si>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</si>
  <si>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</si>
  <si>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</si>
  <si>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</si>
  <si>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</si>
  <si>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</si>
  <si>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</si>
  <si>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</si>
  <si>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</si>
  <si>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</si>
  <si>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</si>
  <si>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</si>
  <si>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</si>
  <si>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</si>
  <si>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</si>
  <si>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</si>
  <si>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</si>
  <si>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</si>
  <si>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</si>
  <si>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</si>
  <si>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</si>
  <si>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</si>
  <si>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</si>
  <si>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</si>
  <si>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</si>
  <si>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</si>
  <si>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</si>
  <si>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</si>
  <si>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</si>
  <si>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</si>
  <si>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</si>
  <si>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</si>
  <si>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</si>
  <si>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</si>
  <si>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</si>
  <si>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</si>
  <si>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</si>
  <si>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</si>
  <si>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</si>
  <si>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</si>
  <si>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</si>
  <si>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</si>
  <si>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</si>
  <si>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</si>
  <si>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</si>
  <si>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</si>
  <si>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</si>
  <si>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</si>
  <si>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</si>
  <si>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</si>
  <si>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</si>
  <si>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</si>
  <si>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</si>
  <si>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</si>
  <si>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</si>
  <si>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</si>
  <si>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</si>
  <si>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</si>
  <si>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</si>
  <si>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</si>
  <si>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</si>
  <si>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</si>
  <si>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</si>
  <si>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</si>
  <si>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</si>
  <si>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</si>
  <si>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</si>
  <si>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</si>
  <si>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</si>
  <si>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</si>
  <si>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</si>
  <si>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</si>
  <si>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</si>
  <si>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</si>
  <si>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</si>
  <si>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</si>
  <si>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</si>
  <si>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</si>
  <si>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</si>
  <si>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</si>
  <si>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</si>
  <si>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</si>
  <si>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</si>
  <si>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</si>
  <si>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</si>
  <si>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</si>
  <si>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</si>
  <si>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</si>
  <si>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</si>
  <si>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</si>
  <si>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</si>
  <si>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</si>
  <si>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</si>
  <si>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</si>
  <si>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</si>
  <si>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</si>
  <si>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</si>
  <si>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</si>
  <si>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</si>
  <si>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</si>
  <si>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</si>
  <si>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</si>
  <si>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</si>
  <si>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</si>
  <si>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</si>
  <si>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</si>
  <si>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</si>
  <si>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</si>
  <si>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</si>
  <si>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</si>
  <si>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</si>
  <si>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</si>
  <si>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</si>
  <si>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</si>
  <si>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</si>
  <si>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</si>
  <si>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</si>
  <si>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</si>
  <si>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</si>
  <si>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</si>
  <si>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</si>
  <si>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</si>
  <si>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</si>
  <si>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</si>
  <si>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</si>
  <si>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</si>
  <si>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</si>
  <si>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</si>
  <si>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</si>
  <si>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</si>
  <si>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</si>
  <si>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</si>
  <si>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</si>
  <si>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</si>
  <si>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</si>
  <si>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</si>
  <si>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</si>
  <si>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</si>
  <si>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</si>
  <si>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</si>
  <si>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</si>
  <si>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</si>
  <si>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</si>
  <si>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</si>
  <si>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</si>
  <si>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</si>
  <si>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</si>
  <si>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</si>
  <si>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</si>
  <si>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</si>
  <si>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</si>
  <si>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</si>
  <si>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</si>
  <si>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</si>
  <si>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</si>
  <si>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</si>
  <si>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</si>
  <si>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</si>
  <si>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</si>
  <si>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</si>
  <si>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</si>
  <si>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</si>
  <si>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</si>
  <si>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</si>
  <si>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</si>
  <si>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</si>
  <si>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</si>
  <si>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</si>
  <si>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</si>
  <si>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</si>
  <si>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</si>
  <si>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</si>
  <si>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</si>
  <si>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</si>
  <si>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</si>
  <si>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</si>
  <si>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</si>
  <si>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</si>
  <si>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</si>
  <si>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</si>
  <si>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</si>
  <si>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</si>
  <si>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</si>
  <si>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</si>
  <si>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</si>
  <si>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</si>
  <si>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</si>
  <si>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</si>
  <si>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</si>
  <si>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</si>
  <si>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</si>
  <si>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</si>
  <si>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</si>
  <si>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</si>
  <si>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</si>
  <si>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</si>
  <si>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</si>
  <si>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</si>
  <si>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</si>
  <si>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</si>
  <si>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</si>
  <si>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</si>
  <si>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</si>
  <si>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</si>
  <si>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</si>
  <si>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</si>
  <si>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</si>
  <si>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</si>
  <si>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</si>
  <si>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</si>
  <si>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</si>
  <si>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</si>
  <si>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</si>
  <si>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</si>
  <si>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</si>
  <si>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</si>
  <si>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</si>
  <si>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</si>
  <si>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</si>
  <si>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</si>
  <si>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</si>
  <si>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</si>
  <si>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</si>
  <si>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</si>
  <si>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</si>
  <si>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</si>
  <si>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</si>
  <si>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</si>
  <si>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</si>
  <si>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</si>
  <si>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</si>
  <si>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</si>
  <si>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</si>
  <si>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</si>
  <si>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</si>
  <si>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</si>
  <si>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</si>
  <si>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</si>
  <si>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</si>
  <si>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</si>
  <si>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</si>
  <si>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</si>
  <si>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</si>
  <si>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</si>
  <si>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</si>
  <si>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</si>
  <si>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</si>
  <si>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</si>
  <si>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</si>
  <si>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</si>
  <si>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</si>
  <si>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</si>
  <si>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</si>
  <si>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</si>
  <si>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</si>
  <si>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</si>
  <si>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</si>
  <si>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</si>
  <si>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</si>
  <si>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</si>
  <si>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</si>
  <si>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</si>
  <si>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</si>
  <si>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</si>
  <si>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</si>
  <si>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</si>
  <si>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</si>
  <si>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</si>
  <si>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</si>
  <si>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</si>
  <si>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</si>
  <si>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</si>
  <si>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</si>
  <si>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</si>
  <si>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</si>
  <si>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</si>
  <si>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</si>
  <si>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</si>
  <si>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</si>
  <si>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</si>
  <si>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</si>
  <si>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</si>
  <si>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</si>
  <si>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</si>
  <si>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</si>
  <si>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</si>
  <si>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</si>
  <si>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</si>
  <si>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</si>
  <si>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</si>
  <si>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</si>
  <si>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</si>
  <si>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</si>
  <si>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</si>
  <si>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</si>
  <si>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</si>
  <si>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</si>
  <si>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</si>
  <si>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</si>
  <si>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</si>
  <si>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</si>
  <si>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</si>
  <si>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</si>
  <si>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</si>
  <si>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</si>
  <si>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</si>
  <si>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</si>
  <si>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</si>
  <si>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</si>
  <si>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</si>
  <si>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</si>
  <si>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</si>
  <si>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</si>
  <si>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</si>
  <si>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</si>
  <si>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</si>
  <si>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</si>
  <si>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</si>
  <si>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</si>
  <si>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</si>
  <si>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</si>
  <si>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</si>
  <si>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</si>
  <si>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</si>
  <si>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</si>
  <si>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</si>
  <si>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</si>
  <si>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</si>
  <si>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</si>
  <si>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</si>
  <si>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</si>
  <si>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</si>
  <si>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</si>
  <si>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</si>
  <si>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</si>
  <si>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</si>
  <si>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</si>
  <si>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</si>
  <si>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</si>
  <si>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</si>
  <si>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</si>
  <si>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</si>
  <si>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</si>
  <si>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</si>
  <si>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</si>
  <si>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</si>
  <si>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</si>
  <si>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</si>
  <si>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</si>
  <si>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</si>
  <si>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</si>
  <si>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</si>
  <si>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</si>
  <si>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</si>
  <si>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</si>
  <si>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</si>
  <si>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</si>
  <si>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</si>
  <si>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</si>
  <si>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</si>
  <si>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</si>
  <si>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</si>
  <si>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</si>
  <si>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</si>
  <si>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</si>
  <si>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</si>
  <si>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</si>
  <si>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</si>
  <si>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</si>
  <si>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</si>
  <si>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</si>
  <si>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</si>
  <si>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</si>
  <si>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</si>
  <si>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</si>
  <si>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</si>
  <si>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</si>
  <si>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</si>
  <si>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</si>
  <si>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</si>
  <si>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</si>
  <si>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</si>
  <si>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</si>
  <si>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</si>
  <si>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</si>
  <si>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</si>
  <si>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</si>
  <si>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</si>
  <si>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</si>
  <si>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</si>
  <si>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</si>
  <si>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</si>
  <si>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</si>
  <si>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</si>
  <si>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</si>
  <si>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</si>
  <si>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</si>
  <si>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</si>
  <si>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</si>
  <si>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</si>
  <si>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</si>
  <si>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</si>
  <si>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</si>
  <si>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</si>
  <si>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</si>
  <si>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</si>
  <si>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</si>
  <si>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</si>
  <si>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</si>
  <si>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</si>
  <si>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</si>
  <si>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</si>
  <si>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</si>
  <si>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QZAB BOND WAS ONLY FUNDED FOR $1,780,093</t>
  </si>
  <si>
    <t>VOTERS APPROVED "NOT MORE THAN" $1,824,648</t>
  </si>
  <si>
    <t>Seabrook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</si>
</sst>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" fontId="37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72B6-A013-4073-A35E-EA9EB59D98F2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G656" sqref="G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485</v>
      </c>
      <c r="C2" s="21">
        <v>485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475816.89</f>
        <v>475816.89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454.31</v>
      </c>
      <c r="G10" s="18"/>
      <c r="H10" s="18"/>
      <c r="I10" s="18"/>
      <c r="J10" s="67">
        <f>SUM(I432)</f>
        <v>105881.27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88091</v>
      </c>
      <c r="G12" s="18">
        <v>33316.379999999997</v>
      </c>
      <c r="H12" s="18">
        <v>26899.19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10515.84</v>
      </c>
      <c r="G13" s="18">
        <v>42753.85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122.7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2000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577000.73999999987</v>
      </c>
      <c r="G19" s="41">
        <f>SUM(G9:G18)</f>
        <v>76070.23</v>
      </c>
      <c r="H19" s="41">
        <f>SUM(H9:H18)</f>
        <v>26899.19</v>
      </c>
      <c r="I19" s="41">
        <f>SUM(I9:I18)</f>
        <v>0</v>
      </c>
      <c r="J19" s="41">
        <f>SUM(J9:J18)</f>
        <v>105881.27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33316.379999999997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1758.02</v>
      </c>
      <c r="G24" s="18"/>
      <c r="H24" s="18">
        <v>26899.19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68022.94</v>
      </c>
      <c r="G25" s="18">
        <v>6.98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5778.97</v>
      </c>
      <c r="G29" s="18">
        <v>143.62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35673.79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49314.62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193864.72</v>
      </c>
      <c r="G33" s="41">
        <f>SUM(G23:G32)</f>
        <v>150.6</v>
      </c>
      <c r="H33" s="41">
        <f>SUM(H23:H32)</f>
        <v>26899.19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2000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31152.91+3300</f>
        <v>34452.910000000003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45000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f>1590.43+19173.75</f>
        <v>20764.18</v>
      </c>
      <c r="G41" s="18">
        <f>76063.25-143.62</f>
        <v>75919.63</v>
      </c>
      <c r="H41" s="18"/>
      <c r="I41" s="18"/>
      <c r="J41" s="13">
        <f>SUM(I449)</f>
        <v>105881.27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280775.31+143.62</f>
        <v>280918.93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383136.02</v>
      </c>
      <c r="G43" s="41">
        <f>SUM(G35:G42)</f>
        <v>75919.63</v>
      </c>
      <c r="H43" s="41">
        <f>SUM(H35:H42)</f>
        <v>0</v>
      </c>
      <c r="I43" s="41">
        <f>SUM(I35:I42)</f>
        <v>0</v>
      </c>
      <c r="J43" s="41">
        <f>SUM(J35:J42)</f>
        <v>105881.27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577000.74</v>
      </c>
      <c r="G44" s="41">
        <f>G43+G33</f>
        <v>76070.23000000001</v>
      </c>
      <c r="H44" s="41">
        <f>H43+H33</f>
        <v>26899.19</v>
      </c>
      <c r="I44" s="41">
        <f>I43+I33</f>
        <v>0</v>
      </c>
      <c r="J44" s="41">
        <f>J43+J33</f>
        <v>105881.27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7259016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7259016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7358.26</v>
      </c>
      <c r="G88" s="18"/>
      <c r="H88" s="18"/>
      <c r="I88" s="18"/>
      <c r="J88" s="18">
        <f>88.08+15.89</f>
        <v>103.97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77569.19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5000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9078.58+1184+405.54</f>
        <v>10668.12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23026.38</v>
      </c>
      <c r="G103" s="41">
        <f>SUM(G88:G102)</f>
        <v>77569.19</v>
      </c>
      <c r="H103" s="41">
        <f>SUM(H88:H102)</f>
        <v>0</v>
      </c>
      <c r="I103" s="41">
        <f>SUM(I88:I102)</f>
        <v>0</v>
      </c>
      <c r="J103" s="41">
        <f>SUM(J88:J102)</f>
        <v>103.97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7282042.3799999999</v>
      </c>
      <c r="G104" s="41">
        <f>G52+G103</f>
        <v>77569.19</v>
      </c>
      <c r="H104" s="41">
        <f>H52+H71+H86+H103</f>
        <v>0</v>
      </c>
      <c r="I104" s="41">
        <f>I52+I103</f>
        <v>0</v>
      </c>
      <c r="J104" s="41">
        <f>J52+J103</f>
        <v>103.97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1222184.71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2310722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44328.29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3577235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4758.26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4758.26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3577235</v>
      </c>
      <c r="G132" s="41">
        <f>G113+SUM(G128:G129)</f>
        <v>4758.26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75392.98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35003.39</v>
      </c>
      <c r="H138" s="18"/>
      <c r="I138" s="18">
        <v>-44555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75392.98</v>
      </c>
      <c r="G139" s="41">
        <f>SUM(G137:G138)</f>
        <v>35003.39</v>
      </c>
      <c r="H139" s="41">
        <f>SUM(H137:H138)</f>
        <v>0</v>
      </c>
      <c r="I139" s="41">
        <f>SUM(I137:I138)</f>
        <v>-44555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499027.9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39603.08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183564.51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282193.52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30316.3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15662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30316.3</v>
      </c>
      <c r="G154" s="41">
        <f>SUM(G142:G153)</f>
        <v>199226.51</v>
      </c>
      <c r="H154" s="41">
        <f>SUM(H142:H153)</f>
        <v>820824.5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105709.28</v>
      </c>
      <c r="G161" s="41">
        <f>G139+G154+SUM(G155:G160)</f>
        <v>234229.90000000002</v>
      </c>
      <c r="H161" s="41">
        <f>H139+H154+SUM(H155:H160)</f>
        <v>820824.5</v>
      </c>
      <c r="I161" s="41">
        <f>I139+I154+SUM(I155:I160)</f>
        <v>-44555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45000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45000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45000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10964986.659999998</v>
      </c>
      <c r="G185" s="47">
        <f>G104+G132+G161+G184</f>
        <v>316557.35000000003</v>
      </c>
      <c r="H185" s="47">
        <f>H104+H132+H161+H184</f>
        <v>820824.5</v>
      </c>
      <c r="I185" s="47">
        <f>I104+I132+I161+I184</f>
        <v>-44555</v>
      </c>
      <c r="J185" s="47">
        <f>J104+J132+J184</f>
        <v>45103.97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2067269.48</v>
      </c>
      <c r="G189" s="18">
        <v>715898.77</v>
      </c>
      <c r="H189" s="18">
        <v>15527.16</v>
      </c>
      <c r="I189" s="18">
        <v>106149.57</v>
      </c>
      <c r="J189" s="18">
        <v>6338.16</v>
      </c>
      <c r="K189" s="18">
        <v>7169.14</v>
      </c>
      <c r="L189" s="19">
        <f>SUM(F189:K189)</f>
        <v>2918352.2800000003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1241575.76*55%</f>
        <v>682866.66800000006</v>
      </c>
      <c r="G190" s="18">
        <v>192685.49</v>
      </c>
      <c r="H190" s="18">
        <f>259452.26*55%</f>
        <v>142698.74300000002</v>
      </c>
      <c r="I190" s="18">
        <f>5764.9*55%</f>
        <v>3170.6950000000002</v>
      </c>
      <c r="J190" s="18">
        <f>1665.67*55%</f>
        <v>916.11850000000015</v>
      </c>
      <c r="K190" s="18">
        <v>426</v>
      </c>
      <c r="L190" s="19">
        <f>SUM(F190:K190)</f>
        <v>1022763.7145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626+17749.2</f>
        <v>18375.2</v>
      </c>
      <c r="G192" s="18">
        <v>1519.63</v>
      </c>
      <c r="H192" s="18">
        <v>4290.3500000000004</v>
      </c>
      <c r="I192" s="18"/>
      <c r="J192" s="18"/>
      <c r="K192" s="18"/>
      <c r="L192" s="19">
        <f>SUM(F192:K192)</f>
        <v>24185.18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60853+65882.96+72890.72</f>
        <v>199626.68</v>
      </c>
      <c r="G194" s="18">
        <v>61945.87</v>
      </c>
      <c r="H194" s="18">
        <v>300</v>
      </c>
      <c r="I194" s="18">
        <v>830.24</v>
      </c>
      <c r="J194" s="18"/>
      <c r="K194" s="18"/>
      <c r="L194" s="19">
        <f t="shared" ref="L194:L200" si="0">SUM(F194:K194)</f>
        <v>262702.78999999998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72214.96+59768.97</f>
        <v>131983.93</v>
      </c>
      <c r="G195" s="18">
        <f>13045+35786.28</f>
        <v>48831.28</v>
      </c>
      <c r="H195" s="18">
        <f>1375.88+15286.81+39293.64</f>
        <v>55956.33</v>
      </c>
      <c r="I195" s="18">
        <f>14469.66+20048.69</f>
        <v>34518.35</v>
      </c>
      <c r="J195" s="18">
        <f>37713.52*55%</f>
        <v>20742.436000000002</v>
      </c>
      <c r="K195" s="18"/>
      <c r="L195" s="19">
        <f t="shared" si="0"/>
        <v>292032.32599999994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28269*55%</f>
        <v>15547.95</v>
      </c>
      <c r="G196" s="18">
        <v>1285.82</v>
      </c>
      <c r="H196" s="18">
        <f>SUM(14786.89+338070)*55%</f>
        <v>194071.28950000001</v>
      </c>
      <c r="I196" s="18"/>
      <c r="J196" s="18"/>
      <c r="K196" s="18">
        <f>7982.35*55%</f>
        <v>4390.2925000000005</v>
      </c>
      <c r="L196" s="19">
        <f t="shared" si="0"/>
        <v>215295.35200000001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158833.04999999999</v>
      </c>
      <c r="G197" s="18">
        <f>46940.41+2750</f>
        <v>49690.41</v>
      </c>
      <c r="H197" s="18">
        <v>12314.23</v>
      </c>
      <c r="I197" s="18">
        <v>1989.79</v>
      </c>
      <c r="J197" s="18"/>
      <c r="K197" s="18"/>
      <c r="L197" s="19">
        <f t="shared" si="0"/>
        <v>222827.48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388458.62*55%</f>
        <v>213652.24100000001</v>
      </c>
      <c r="G199" s="18">
        <v>84507.01</v>
      </c>
      <c r="H199" s="18">
        <f>SUM(181632.17+53695+79.55)*55%</f>
        <v>129473.69600000001</v>
      </c>
      <c r="I199" s="18">
        <f>SUM(226276.7+5485.26)*55%</f>
        <v>127469.07800000002</v>
      </c>
      <c r="J199" s="18">
        <f>SUM(29974.7+4713.73)*55%</f>
        <v>19078.636500000001</v>
      </c>
      <c r="K199" s="18"/>
      <c r="L199" s="19">
        <f t="shared" si="0"/>
        <v>574180.66150000005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349683.71+7082.95</f>
        <v>356766.66000000003</v>
      </c>
      <c r="I200" s="18"/>
      <c r="J200" s="18"/>
      <c r="K200" s="18"/>
      <c r="L200" s="19">
        <f t="shared" si="0"/>
        <v>356766.66000000003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3488155.1990000005</v>
      </c>
      <c r="G203" s="41">
        <f t="shared" si="1"/>
        <v>1156364.28</v>
      </c>
      <c r="H203" s="41">
        <f t="shared" si="1"/>
        <v>911398.45850000007</v>
      </c>
      <c r="I203" s="41">
        <f t="shared" si="1"/>
        <v>274127.72300000006</v>
      </c>
      <c r="J203" s="41">
        <f t="shared" si="1"/>
        <v>47075.351000000002</v>
      </c>
      <c r="K203" s="41">
        <f t="shared" si="1"/>
        <v>11985.432500000001</v>
      </c>
      <c r="L203" s="41">
        <f t="shared" si="1"/>
        <v>5889106.4440000011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1612844.52</v>
      </c>
      <c r="G207" s="18">
        <v>511672.83</v>
      </c>
      <c r="H207" s="18">
        <v>14005.65</v>
      </c>
      <c r="I207" s="18">
        <v>57112.92</v>
      </c>
      <c r="J207" s="18">
        <v>5335.88</v>
      </c>
      <c r="K207" s="18"/>
      <c r="L207" s="19">
        <f>SUM(F207:K207)</f>
        <v>2200971.7999999998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1241575.76*45%</f>
        <v>558709.09200000006</v>
      </c>
      <c r="G208" s="18">
        <v>157651.76999999999</v>
      </c>
      <c r="H208" s="18">
        <f>259452.26*45%</f>
        <v>116753.51700000001</v>
      </c>
      <c r="I208" s="18">
        <f>5764.9*45%</f>
        <v>2594.2049999999999</v>
      </c>
      <c r="J208" s="18">
        <f>1665.67*45%</f>
        <v>749.55150000000003</v>
      </c>
      <c r="K208" s="18"/>
      <c r="L208" s="19">
        <f>SUM(F208:K208)</f>
        <v>836458.13549999997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39942.5+17610</f>
        <v>57552.5</v>
      </c>
      <c r="G210" s="18">
        <v>4759.59</v>
      </c>
      <c r="H210" s="18">
        <v>3268.75</v>
      </c>
      <c r="I210" s="18">
        <v>5980.3</v>
      </c>
      <c r="J210" s="18">
        <v>1279.98</v>
      </c>
      <c r="K210" s="18"/>
      <c r="L210" s="19">
        <f>SUM(F210:K210)</f>
        <v>72841.119999999995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72452.9+61058.92+59637.85</f>
        <v>193149.67</v>
      </c>
      <c r="G212" s="18">
        <v>55703.96</v>
      </c>
      <c r="H212" s="18">
        <v>300</v>
      </c>
      <c r="I212" s="18">
        <v>850.83</v>
      </c>
      <c r="J212" s="18"/>
      <c r="K212" s="18"/>
      <c r="L212" s="19">
        <f t="shared" ref="L212:L218" si="2">SUM(F212:K212)</f>
        <v>250004.46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46083.92+48901.88</f>
        <v>94985.799999999988</v>
      </c>
      <c r="G213" s="18">
        <f>17034.5+27037.86</f>
        <v>44072.36</v>
      </c>
      <c r="H213" s="18">
        <f>10327.19+32149.34</f>
        <v>42476.53</v>
      </c>
      <c r="I213" s="18">
        <f>11574.72+16403.46</f>
        <v>27978.18</v>
      </c>
      <c r="J213" s="18">
        <f>37713.52*45%</f>
        <v>16971.083999999999</v>
      </c>
      <c r="K213" s="18"/>
      <c r="L213" s="19">
        <f t="shared" si="2"/>
        <v>226483.95399999997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28269*45%</f>
        <v>12721.050000000001</v>
      </c>
      <c r="G214" s="18">
        <v>1052.03</v>
      </c>
      <c r="H214" s="18">
        <f>SUM(14786.89+338070)*45%</f>
        <v>158785.6005</v>
      </c>
      <c r="I214" s="18"/>
      <c r="J214" s="18"/>
      <c r="K214" s="18">
        <f>7982.35*45%</f>
        <v>3592.0575000000003</v>
      </c>
      <c r="L214" s="19">
        <f t="shared" si="2"/>
        <v>176150.73800000001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234083.32</v>
      </c>
      <c r="G215" s="18">
        <f>105871.42+2250.2</f>
        <v>108121.62</v>
      </c>
      <c r="H215" s="18">
        <v>9991.41</v>
      </c>
      <c r="I215" s="18">
        <v>5304.99</v>
      </c>
      <c r="J215" s="18"/>
      <c r="K215" s="18">
        <v>1686</v>
      </c>
      <c r="L215" s="19">
        <f t="shared" si="2"/>
        <v>359187.33999999997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388458.62*45%</f>
        <v>174806.37900000002</v>
      </c>
      <c r="G217" s="18">
        <v>69443.58</v>
      </c>
      <c r="H217" s="18">
        <f>SUM(181632.17+53695+79.55)*45%</f>
        <v>105933.024</v>
      </c>
      <c r="I217" s="18">
        <f>SUM(226276.7+5485.26)*45%</f>
        <v>104292.88200000001</v>
      </c>
      <c r="J217" s="18">
        <f>SUM(29974.7+4713.73)*45%</f>
        <v>15609.7935</v>
      </c>
      <c r="K217" s="18"/>
      <c r="L217" s="19">
        <f t="shared" si="2"/>
        <v>470085.65850000002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286104.85+9382.23+4058.75</f>
        <v>299545.82999999996</v>
      </c>
      <c r="I218" s="18"/>
      <c r="J218" s="18"/>
      <c r="K218" s="18"/>
      <c r="L218" s="19">
        <f t="shared" si="2"/>
        <v>299545.82999999996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>
        <v>614</v>
      </c>
      <c r="L219" s="19">
        <f>SUM(F219:K219)</f>
        <v>614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2938852.3309999998</v>
      </c>
      <c r="G221" s="41">
        <f>SUM(G207:G220)</f>
        <v>952477.73999999987</v>
      </c>
      <c r="H221" s="41">
        <f>SUM(H207:H220)</f>
        <v>751060.31149999995</v>
      </c>
      <c r="I221" s="41">
        <f>SUM(I207:I220)</f>
        <v>204114.30700000003</v>
      </c>
      <c r="J221" s="41">
        <f>SUM(J207:J220)</f>
        <v>39946.288999999997</v>
      </c>
      <c r="K221" s="41">
        <f t="shared" si="3"/>
        <v>5892.0575000000008</v>
      </c>
      <c r="L221" s="41">
        <f t="shared" si="3"/>
        <v>4892343.0359999994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13075.2+30826.25</f>
        <v>43901.45</v>
      </c>
      <c r="I247" s="18"/>
      <c r="J247" s="18">
        <v>8844.7999999999993</v>
      </c>
      <c r="K247" s="18"/>
      <c r="L247" s="19">
        <f t="shared" si="6"/>
        <v>52746.25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43901.45</v>
      </c>
      <c r="I248" s="41">
        <f t="shared" si="7"/>
        <v>0</v>
      </c>
      <c r="J248" s="41">
        <f t="shared" si="7"/>
        <v>8844.7999999999993</v>
      </c>
      <c r="K248" s="41">
        <f t="shared" si="7"/>
        <v>0</v>
      </c>
      <c r="L248" s="41">
        <f>SUM(F248:K248)</f>
        <v>52746.25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6427007.5300000003</v>
      </c>
      <c r="G249" s="41">
        <f t="shared" si="8"/>
        <v>2108842.02</v>
      </c>
      <c r="H249" s="41">
        <f t="shared" si="8"/>
        <v>1706360.22</v>
      </c>
      <c r="I249" s="41">
        <f t="shared" si="8"/>
        <v>478242.03000000009</v>
      </c>
      <c r="J249" s="41">
        <f t="shared" si="8"/>
        <v>95866.44</v>
      </c>
      <c r="K249" s="41">
        <f t="shared" si="8"/>
        <v>17877.490000000002</v>
      </c>
      <c r="L249" s="41">
        <f t="shared" si="8"/>
        <v>10834195.73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97000</v>
      </c>
      <c r="L252" s="19">
        <f>SUM(F252:K252)</f>
        <v>97000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91603.77</v>
      </c>
      <c r="L253" s="19">
        <f>SUM(F253:K253)</f>
        <v>91603.77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45000</v>
      </c>
      <c r="L258" s="19">
        <f t="shared" si="9"/>
        <v>45000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233603.77000000002</v>
      </c>
      <c r="L262" s="41">
        <f t="shared" si="9"/>
        <v>233603.77000000002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6427007.5300000003</v>
      </c>
      <c r="G263" s="42">
        <f t="shared" si="11"/>
        <v>2108842.02</v>
      </c>
      <c r="H263" s="42">
        <f t="shared" si="11"/>
        <v>1706360.22</v>
      </c>
      <c r="I263" s="42">
        <f t="shared" si="11"/>
        <v>478242.03000000009</v>
      </c>
      <c r="J263" s="42">
        <f t="shared" si="11"/>
        <v>95866.44</v>
      </c>
      <c r="K263" s="42">
        <f t="shared" si="11"/>
        <v>251481.26</v>
      </c>
      <c r="L263" s="42">
        <f t="shared" si="11"/>
        <v>11067799.5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3485.32+210930.98+52926.01</f>
        <v>267342.31</v>
      </c>
      <c r="G268" s="18">
        <f>1709.93+34106.58+4049.17</f>
        <v>39865.68</v>
      </c>
      <c r="H268" s="18">
        <f>22401.63+5200+14899</f>
        <v>42500.630000000005</v>
      </c>
      <c r="I268" s="18">
        <f>96.92+7649.73+39.92-23.96+3182.8+6401.87+558.88+4246.98</f>
        <v>22153.14</v>
      </c>
      <c r="J268" s="18">
        <f>3104+223.74+1795+6818</f>
        <v>11940.74</v>
      </c>
      <c r="K268" s="18"/>
      <c r="L268" s="19">
        <f>SUM(F268:K268)</f>
        <v>383802.5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SUM(91990.62+2100+47302.06)*55%</f>
        <v>77765.974000000002</v>
      </c>
      <c r="G269" s="18">
        <f>SUM(29995.67+160.65+16484.86)*55%</f>
        <v>25652.649000000001</v>
      </c>
      <c r="H269" s="18">
        <f>SUM(13899.88+1277.3+400)*55%</f>
        <v>8567.4490000000005</v>
      </c>
      <c r="I269" s="18">
        <f>SUM(983.61+174+21740.32+12578.98+1048)*55%</f>
        <v>20088.700500000003</v>
      </c>
      <c r="J269" s="18">
        <f>SUM(998+32087.23+8934.39)*55%</f>
        <v>23110.791000000001</v>
      </c>
      <c r="K269" s="18"/>
      <c r="L269" s="19">
        <f>SUM(F269:K269)</f>
        <v>155185.56350000002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8687</v>
      </c>
      <c r="G271" s="18">
        <v>664.56</v>
      </c>
      <c r="H271" s="18"/>
      <c r="I271" s="18"/>
      <c r="J271" s="18"/>
      <c r="K271" s="18"/>
      <c r="L271" s="19">
        <f>SUM(F271:K271)</f>
        <v>9351.56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SUM(12159.99+66660)*55%</f>
        <v>43350.994500000008</v>
      </c>
      <c r="G273" s="18">
        <f>SUM(3236.33+16351.2)*55%</f>
        <v>10773.1415</v>
      </c>
      <c r="H273" s="18">
        <f>SUM(112)*55%</f>
        <v>61.600000000000009</v>
      </c>
      <c r="I273" s="18"/>
      <c r="J273" s="18"/>
      <c r="K273" s="18"/>
      <c r="L273" s="19">
        <f t="shared" ref="L273:L279" si="12">SUM(F273:K273)</f>
        <v>54185.736000000004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5217+2137.32-11+48.95</f>
        <v>7392.2699999999995</v>
      </c>
      <c r="L275" s="19">
        <f t="shared" si="12"/>
        <v>7392.2699999999995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397146.27850000001</v>
      </c>
      <c r="G282" s="42">
        <f t="shared" si="13"/>
        <v>76956.030499999993</v>
      </c>
      <c r="H282" s="42">
        <f t="shared" si="13"/>
        <v>51129.679000000004</v>
      </c>
      <c r="I282" s="42">
        <f t="shared" si="13"/>
        <v>42241.840500000006</v>
      </c>
      <c r="J282" s="42">
        <f t="shared" si="13"/>
        <v>35051.531000000003</v>
      </c>
      <c r="K282" s="42">
        <f t="shared" si="13"/>
        <v>7392.2699999999995</v>
      </c>
      <c r="L282" s="41">
        <f t="shared" si="13"/>
        <v>609917.62950000016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2880+5760</f>
        <v>8640</v>
      </c>
      <c r="G287" s="18">
        <f>220.32+440.64</f>
        <v>660.96</v>
      </c>
      <c r="H287" s="18">
        <f>8844+20627.52</f>
        <v>29471.52</v>
      </c>
      <c r="I287" s="18"/>
      <c r="J287" s="18"/>
      <c r="K287" s="18"/>
      <c r="L287" s="19">
        <f>SUM(F287:K287)</f>
        <v>38772.479999999996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SUM(91990.62+2100+47302.06)*45%</f>
        <v>63626.705999999998</v>
      </c>
      <c r="G288" s="18">
        <f>SUM(29995.67+160.65+16484.86)*45%</f>
        <v>20988.530999999999</v>
      </c>
      <c r="H288" s="18">
        <f>SUM(13899.88+1277.3+400)*45%</f>
        <v>7009.7309999999998</v>
      </c>
      <c r="I288" s="18">
        <f>SUM(983.61+174+21740.32+12578.98+1048)*45%</f>
        <v>16436.209500000001</v>
      </c>
      <c r="J288" s="18">
        <f>SUM(998+32087.23+8934.39)*45%</f>
        <v>18908.828999999998</v>
      </c>
      <c r="K288" s="18"/>
      <c r="L288" s="19">
        <f>SUM(F288:K288)</f>
        <v>126970.00649999999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SUM(12159.99+66660)*45%</f>
        <v>35468.995500000005</v>
      </c>
      <c r="G292" s="18">
        <f>SUM(3236.33+16351.2)*45%</f>
        <v>8814.3884999999991</v>
      </c>
      <c r="H292" s="18">
        <f>SUM(112)*45%</f>
        <v>50.4</v>
      </c>
      <c r="I292" s="18"/>
      <c r="J292" s="18"/>
      <c r="K292" s="18"/>
      <c r="L292" s="19">
        <f t="shared" ref="L292:L298" si="14">SUM(F292:K292)</f>
        <v>44333.784000000007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830.6</v>
      </c>
      <c r="L294" s="19">
        <f t="shared" si="14"/>
        <v>830.6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107735.70150000001</v>
      </c>
      <c r="G301" s="42">
        <f t="shared" si="15"/>
        <v>30463.879499999995</v>
      </c>
      <c r="H301" s="42">
        <f t="shared" si="15"/>
        <v>36531.651000000005</v>
      </c>
      <c r="I301" s="42">
        <f t="shared" si="15"/>
        <v>16436.209500000001</v>
      </c>
      <c r="J301" s="42">
        <f t="shared" si="15"/>
        <v>18908.828999999998</v>
      </c>
      <c r="K301" s="42">
        <f t="shared" si="15"/>
        <v>830.6</v>
      </c>
      <c r="L301" s="41">
        <f t="shared" si="15"/>
        <v>210906.87050000002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504881.98000000004</v>
      </c>
      <c r="G330" s="41">
        <f t="shared" si="20"/>
        <v>107419.90999999999</v>
      </c>
      <c r="H330" s="41">
        <f t="shared" si="20"/>
        <v>87661.330000000016</v>
      </c>
      <c r="I330" s="41">
        <f t="shared" si="20"/>
        <v>58678.05</v>
      </c>
      <c r="J330" s="41">
        <f t="shared" si="20"/>
        <v>53960.36</v>
      </c>
      <c r="K330" s="41">
        <f t="shared" si="20"/>
        <v>8222.869999999999</v>
      </c>
      <c r="L330" s="41">
        <f t="shared" si="20"/>
        <v>820824.50000000023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504881.98000000004</v>
      </c>
      <c r="G344" s="41">
        <f>G330</f>
        <v>107419.90999999999</v>
      </c>
      <c r="H344" s="41">
        <f>H330</f>
        <v>87661.330000000016</v>
      </c>
      <c r="I344" s="41">
        <f>I330</f>
        <v>58678.05</v>
      </c>
      <c r="J344" s="41">
        <f>J330</f>
        <v>53960.36</v>
      </c>
      <c r="K344" s="47">
        <f>K330+K343</f>
        <v>8222.869999999999</v>
      </c>
      <c r="L344" s="41">
        <f>L330+L343</f>
        <v>820824.50000000023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SUM(49547.8+106181.8+3361.45+6544.31)*55%</f>
        <v>91099.448000000019</v>
      </c>
      <c r="G350" s="18">
        <f>757.79*55%</f>
        <v>416.78450000000004</v>
      </c>
      <c r="H350" s="18">
        <f>1687.04*55%</f>
        <v>927.87200000000007</v>
      </c>
      <c r="I350" s="18">
        <f>SUM(95424.84+15662+23410.61+5336.06+815.49)*55%</f>
        <v>77356.950000000012</v>
      </c>
      <c r="J350" s="18">
        <f>1508.05*55%</f>
        <v>829.42750000000001</v>
      </c>
      <c r="K350" s="18">
        <f>1778.66*55%</f>
        <v>978.26300000000015</v>
      </c>
      <c r="L350" s="13">
        <f>SUM(F350:K350)</f>
        <v>171608.74500000002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SUM(49547.8+106181.8+3361.45+6544.31)*45%</f>
        <v>74535.912000000011</v>
      </c>
      <c r="G351" s="18">
        <f>757.79*45%</f>
        <v>341.00549999999998</v>
      </c>
      <c r="H351" s="18">
        <f>1687.04*45%</f>
        <v>759.16800000000001</v>
      </c>
      <c r="I351" s="18">
        <f>SUM(95424.84+15662+23410.61+5336.06+815.49)*45%</f>
        <v>63292.05</v>
      </c>
      <c r="J351" s="18">
        <f>1508.05*45%</f>
        <v>678.62249999999995</v>
      </c>
      <c r="K351" s="18">
        <f>1778.66*45%</f>
        <v>800.39700000000005</v>
      </c>
      <c r="L351" s="19">
        <f>SUM(F351:K351)</f>
        <v>140407.15500000003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165635.36000000004</v>
      </c>
      <c r="G354" s="47">
        <f t="shared" si="22"/>
        <v>757.79</v>
      </c>
      <c r="H354" s="47">
        <f t="shared" si="22"/>
        <v>1687.04</v>
      </c>
      <c r="I354" s="47">
        <f t="shared" si="22"/>
        <v>140649</v>
      </c>
      <c r="J354" s="47">
        <f t="shared" si="22"/>
        <v>1508.05</v>
      </c>
      <c r="K354" s="47">
        <f t="shared" si="22"/>
        <v>1778.6600000000003</v>
      </c>
      <c r="L354" s="47">
        <f t="shared" si="22"/>
        <v>312015.90000000002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SUM(95424.84+15662+23410.61)*55%</f>
        <v>73973.597500000018</v>
      </c>
      <c r="G359" s="18">
        <f>SUM(95424.84+15662+23410.61)*45%</f>
        <v>60523.852500000008</v>
      </c>
      <c r="H359" s="18"/>
      <c r="I359" s="56">
        <f>SUM(F359:H359)</f>
        <v>134497.45000000001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SUM(5336.06+815.49)*55%</f>
        <v>3383.3525000000004</v>
      </c>
      <c r="G360" s="63">
        <f>SUM(5336.06+815.49)*45%</f>
        <v>2768.1975000000002</v>
      </c>
      <c r="H360" s="63"/>
      <c r="I360" s="56">
        <f>SUM(F360:H360)</f>
        <v>6151.5500000000011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77356.950000000012</v>
      </c>
      <c r="G361" s="47">
        <f>SUM(G359:G360)</f>
        <v>63292.05000000001</v>
      </c>
      <c r="H361" s="47">
        <f>SUM(H359:H360)</f>
        <v>0</v>
      </c>
      <c r="I361" s="47">
        <f>SUM(I359:I360)</f>
        <v>140649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1780093</v>
      </c>
      <c r="I368" s="18"/>
      <c r="J368" s="18"/>
      <c r="K368" s="18"/>
      <c r="L368" s="13">
        <f t="shared" si="23"/>
        <v>1780093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1780093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1780093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15.89</v>
      </c>
      <c r="I388" s="18"/>
      <c r="J388" s="24" t="s">
        <v>312</v>
      </c>
      <c r="K388" s="24" t="s">
        <v>312</v>
      </c>
      <c r="L388" s="56">
        <f t="shared" si="26"/>
        <v>25015.89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88.08</v>
      </c>
      <c r="I389" s="18"/>
      <c r="J389" s="24" t="s">
        <v>312</v>
      </c>
      <c r="K389" s="24" t="s">
        <v>312</v>
      </c>
      <c r="L389" s="56">
        <f t="shared" si="26"/>
        <v>20088.080000000002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45000</v>
      </c>
      <c r="H393" s="47">
        <f>SUM(H387:H392)</f>
        <v>103.97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45103.97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45000</v>
      </c>
      <c r="H400" s="47">
        <f>H385+H393+H399</f>
        <v>103.97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45103.97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80865.38+25015.89</f>
        <v>105881.27</v>
      </c>
      <c r="H432" s="18"/>
      <c r="I432" s="56">
        <f t="shared" si="33"/>
        <v>105881.27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105881.27</v>
      </c>
      <c r="H438" s="13">
        <f>SUM(H431:H437)</f>
        <v>0</v>
      </c>
      <c r="I438" s="13">
        <f>SUM(I431:I437)</f>
        <v>105881.27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105881.27</v>
      </c>
      <c r="H449" s="18"/>
      <c r="I449" s="56">
        <f>SUM(F449:H449)</f>
        <v>105881.27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105881.27</v>
      </c>
      <c r="H450" s="83">
        <f>SUM(H446:H449)</f>
        <v>0</v>
      </c>
      <c r="I450" s="83">
        <f>SUM(I446:I449)</f>
        <v>105881.27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105881.27</v>
      </c>
      <c r="H451" s="42">
        <f>H444+H450</f>
        <v>0</v>
      </c>
      <c r="I451" s="42">
        <f>I444+I450</f>
        <v>105881.27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485948.86</v>
      </c>
      <c r="G455" s="18">
        <v>71378.179999999993</v>
      </c>
      <c r="H455" s="18">
        <v>0</v>
      </c>
      <c r="I455" s="18">
        <v>1824648</v>
      </c>
      <c r="J455" s="18">
        <v>60777.3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10964986.66</v>
      </c>
      <c r="G458" s="18">
        <v>316557.34999999998</v>
      </c>
      <c r="H458" s="18">
        <v>820824.5</v>
      </c>
      <c r="I458" s="18">
        <v>-44555</v>
      </c>
      <c r="J458" s="18">
        <v>45103.97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10964986.66</v>
      </c>
      <c r="G460" s="53">
        <f>SUM(G458:G459)</f>
        <v>316557.34999999998</v>
      </c>
      <c r="H460" s="53">
        <f>SUM(H458:H459)</f>
        <v>820824.5</v>
      </c>
      <c r="I460" s="53">
        <f>SUM(I458:I459)</f>
        <v>-44555</v>
      </c>
      <c r="J460" s="53">
        <f>SUM(J458:J459)</f>
        <v>45103.97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11067799.5</v>
      </c>
      <c r="G462" s="18">
        <v>312015.90000000002</v>
      </c>
      <c r="H462" s="18">
        <v>820824.5</v>
      </c>
      <c r="I462" s="18">
        <v>1780093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11067799.5</v>
      </c>
      <c r="G464" s="53">
        <f>SUM(G462:G463)</f>
        <v>312015.90000000002</v>
      </c>
      <c r="H464" s="53">
        <f>SUM(H462:H463)</f>
        <v>820824.5</v>
      </c>
      <c r="I464" s="53">
        <f>SUM(I462:I463)</f>
        <v>1780093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383136.01999999955</v>
      </c>
      <c r="G466" s="53">
        <f>(G455+G460)- G464</f>
        <v>75919.629999999946</v>
      </c>
      <c r="H466" s="53">
        <f>(H455+H460)- H464</f>
        <v>0</v>
      </c>
      <c r="I466" s="53">
        <f>(I455+I460)- I464</f>
        <v>0</v>
      </c>
      <c r="J466" s="53">
        <f>(J455+J460)- J464</f>
        <v>105881.27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895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SUM(487788.52+188293.98+415761.69)*55%</f>
        <v>600514.30449999997</v>
      </c>
      <c r="G511" s="18">
        <f>151977.5+19734.13</f>
        <v>171711.63</v>
      </c>
      <c r="H511" s="18">
        <f>259452.26*55%</f>
        <v>142698.74300000002</v>
      </c>
      <c r="I511" s="18">
        <f>5764.9*55%</f>
        <v>3170.6950000000002</v>
      </c>
      <c r="J511" s="18">
        <v>1665.67</v>
      </c>
      <c r="K511" s="18"/>
      <c r="L511" s="88">
        <f>SUM(F511:K511)</f>
        <v>919761.04249999998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SUM(487788.52+188293.98+415761.69)*45%</f>
        <v>491329.88549999997</v>
      </c>
      <c r="G512" s="18">
        <f>124345.23+16146.11</f>
        <v>140491.34</v>
      </c>
      <c r="H512" s="18">
        <f>259452.26*45%</f>
        <v>116753.51700000001</v>
      </c>
      <c r="I512" s="18">
        <f>5764.9*45%</f>
        <v>2594.2049999999999</v>
      </c>
      <c r="J512" s="18"/>
      <c r="K512" s="18"/>
      <c r="L512" s="88">
        <f>SUM(F512:K512)</f>
        <v>751168.94749999989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1091844.19</v>
      </c>
      <c r="G514" s="108">
        <f t="shared" ref="G514:L514" si="35">SUM(G511:G513)</f>
        <v>312202.96999999997</v>
      </c>
      <c r="H514" s="108">
        <f t="shared" si="35"/>
        <v>259452.26</v>
      </c>
      <c r="I514" s="108">
        <f t="shared" si="35"/>
        <v>5764.9</v>
      </c>
      <c r="J514" s="108">
        <f t="shared" si="35"/>
        <v>1665.67</v>
      </c>
      <c r="K514" s="108">
        <f t="shared" si="35"/>
        <v>0</v>
      </c>
      <c r="L514" s="89">
        <f t="shared" si="35"/>
        <v>1670929.9899999998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132528.57*55%</f>
        <v>72890.713500000013</v>
      </c>
      <c r="G516" s="18">
        <v>26472.36</v>
      </c>
      <c r="H516" s="18"/>
      <c r="I516" s="18"/>
      <c r="J516" s="18"/>
      <c r="K516" s="18"/>
      <c r="L516" s="88">
        <f>SUM(F516:K516)</f>
        <v>99363.073500000013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132528.57*45%</f>
        <v>59637.856500000002</v>
      </c>
      <c r="G517" s="18">
        <v>21659.200000000001</v>
      </c>
      <c r="H517" s="18"/>
      <c r="I517" s="18"/>
      <c r="J517" s="18"/>
      <c r="K517" s="18"/>
      <c r="L517" s="88">
        <f>SUM(F517:K517)</f>
        <v>81297.056500000006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132528.57</v>
      </c>
      <c r="G519" s="89">
        <f t="shared" ref="G519:L519" si="36">SUM(G516:G518)</f>
        <v>48131.56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180660.13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SUM(113241.93+36489.64)*55%</f>
        <v>82352.363500000007</v>
      </c>
      <c r="G521" s="18">
        <v>20918.310000000001</v>
      </c>
      <c r="H521" s="18"/>
      <c r="I521" s="18"/>
      <c r="J521" s="18"/>
      <c r="K521" s="18">
        <v>426</v>
      </c>
      <c r="L521" s="88">
        <f>SUM(F521:K521)</f>
        <v>103696.6735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SUM(113241.93+36489.64)*45%</f>
        <v>67379.2065</v>
      </c>
      <c r="G522" s="18">
        <v>17114.98</v>
      </c>
      <c r="H522" s="18"/>
      <c r="I522" s="18"/>
      <c r="J522" s="18"/>
      <c r="K522" s="18"/>
      <c r="L522" s="88">
        <f>SUM(F522:K522)</f>
        <v>84494.186499999996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149731.57</v>
      </c>
      <c r="G524" s="89">
        <f t="shared" ref="G524:L524" si="37">SUM(G521:G523)</f>
        <v>38033.29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426</v>
      </c>
      <c r="L524" s="89">
        <f t="shared" si="37"/>
        <v>188190.86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133355.2*55%</f>
        <v>73345.360000000015</v>
      </c>
      <c r="I531" s="18"/>
      <c r="J531" s="18"/>
      <c r="K531" s="18"/>
      <c r="L531" s="88">
        <f>SUM(F531:K531)</f>
        <v>73345.360000000015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133355.2*45%</f>
        <v>60009.840000000004</v>
      </c>
      <c r="I532" s="18"/>
      <c r="J532" s="18"/>
      <c r="K532" s="18"/>
      <c r="L532" s="88">
        <f>SUM(F532:K532)</f>
        <v>60009.840000000004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133355.20000000001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133355.20000000001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1374104.33</v>
      </c>
      <c r="G535" s="89">
        <f t="shared" ref="G535:L535" si="40">G514+G519+G524+G529+G534</f>
        <v>398367.81999999995</v>
      </c>
      <c r="H535" s="89">
        <f t="shared" si="40"/>
        <v>392807.46</v>
      </c>
      <c r="I535" s="89">
        <f t="shared" si="40"/>
        <v>5764.9</v>
      </c>
      <c r="J535" s="89">
        <f t="shared" si="40"/>
        <v>1665.67</v>
      </c>
      <c r="K535" s="89">
        <f t="shared" si="40"/>
        <v>426</v>
      </c>
      <c r="L535" s="89">
        <f t="shared" si="40"/>
        <v>2173136.1799999997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919761.04249999998</v>
      </c>
      <c r="G539" s="87">
        <f>L516</f>
        <v>99363.073500000013</v>
      </c>
      <c r="H539" s="87">
        <f>L521</f>
        <v>103696.6735</v>
      </c>
      <c r="I539" s="87">
        <f>L526</f>
        <v>0</v>
      </c>
      <c r="J539" s="87">
        <f>L531</f>
        <v>73345.360000000015</v>
      </c>
      <c r="K539" s="87">
        <f>SUM(F539:J539)</f>
        <v>1196166.1495000001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751168.94749999989</v>
      </c>
      <c r="G540" s="87">
        <f>L517</f>
        <v>81297.056500000006</v>
      </c>
      <c r="H540" s="87">
        <f>L522</f>
        <v>84494.186499999996</v>
      </c>
      <c r="I540" s="87">
        <f>L527</f>
        <v>0</v>
      </c>
      <c r="J540" s="87">
        <f>L532</f>
        <v>60009.840000000004</v>
      </c>
      <c r="K540" s="87">
        <f>SUM(F540:J540)</f>
        <v>976970.03049999988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1670929.9899999998</v>
      </c>
      <c r="G542" s="89">
        <f t="shared" si="41"/>
        <v>180660.13</v>
      </c>
      <c r="H542" s="89">
        <f t="shared" si="41"/>
        <v>188190.86</v>
      </c>
      <c r="I542" s="89">
        <f t="shared" si="41"/>
        <v>0</v>
      </c>
      <c r="J542" s="89">
        <f t="shared" si="41"/>
        <v>133355.20000000001</v>
      </c>
      <c r="K542" s="89">
        <f t="shared" si="41"/>
        <v>2173136.1799999997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85255.2</v>
      </c>
      <c r="G572" s="18">
        <f>92463.46+107.5</f>
        <v>92570.96</v>
      </c>
      <c r="H572" s="18"/>
      <c r="I572" s="87">
        <f t="shared" si="46"/>
        <v>177826.16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483700.86*55%</f>
        <v>266035.473</v>
      </c>
      <c r="I581" s="18">
        <f>483700.86*45%</f>
        <v>217665.38699999999</v>
      </c>
      <c r="J581" s="18"/>
      <c r="K581" s="104">
        <f t="shared" ref="K581:K587" si="47">SUM(H581:J581)</f>
        <v>483700.86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133355.2*55%</f>
        <v>73345.360000000015</v>
      </c>
      <c r="I582" s="18">
        <f>133355.2*45%</f>
        <v>60009.840000000004</v>
      </c>
      <c r="J582" s="18"/>
      <c r="K582" s="104">
        <f t="shared" si="47"/>
        <v>133355.20000000001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9382.23</v>
      </c>
      <c r="J584" s="18"/>
      <c r="K584" s="104">
        <f t="shared" si="47"/>
        <v>9382.23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7082.95</v>
      </c>
      <c r="I585" s="18">
        <v>4058.75</v>
      </c>
      <c r="J585" s="18"/>
      <c r="K585" s="104">
        <f t="shared" si="47"/>
        <v>11141.7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f>18732.5*55%</f>
        <v>10302.875</v>
      </c>
      <c r="I586" s="18">
        <f>18732.5*45%</f>
        <v>8429.625</v>
      </c>
      <c r="J586" s="18"/>
      <c r="K586" s="104">
        <f t="shared" si="47"/>
        <v>18732.5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356766.658</v>
      </c>
      <c r="I588" s="108">
        <f>SUM(I581:I587)</f>
        <v>299545.83199999999</v>
      </c>
      <c r="J588" s="108">
        <f>SUM(J581:J587)</f>
        <v>0</v>
      </c>
      <c r="K588" s="108">
        <f>SUM(K581:K587)</f>
        <v>656312.49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f>4770*55%</f>
        <v>2623.5</v>
      </c>
      <c r="I593" s="18">
        <f>4770*45%</f>
        <v>2146.5</v>
      </c>
      <c r="J593" s="18"/>
      <c r="K593" s="104">
        <f>SUM(H593:J593)</f>
        <v>4770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6338.16+38113.7+35051.53</f>
        <v>79503.39</v>
      </c>
      <c r="I594" s="18">
        <f>5335.88+1279.98+31183.92+18908.83</f>
        <v>56708.61</v>
      </c>
      <c r="J594" s="18"/>
      <c r="K594" s="104">
        <f>SUM(H594:J594)</f>
        <v>136212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82126.89</v>
      </c>
      <c r="I595" s="108">
        <f>SUM(I592:I594)</f>
        <v>58855.11</v>
      </c>
      <c r="J595" s="108">
        <f>SUM(J592:J594)</f>
        <v>0</v>
      </c>
      <c r="K595" s="108">
        <f>SUM(K592:K594)</f>
        <v>140982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17749.2</v>
      </c>
      <c r="G601" s="18"/>
      <c r="H601" s="18"/>
      <c r="I601" s="18"/>
      <c r="J601" s="18"/>
      <c r="K601" s="18"/>
      <c r="L601" s="88">
        <f>SUM(F601:K601)</f>
        <v>17749.2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17610</v>
      </c>
      <c r="G602" s="18"/>
      <c r="H602" s="18"/>
      <c r="I602" s="18"/>
      <c r="J602" s="18"/>
      <c r="K602" s="18"/>
      <c r="L602" s="88">
        <f>SUM(F602:K602)</f>
        <v>17610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35359.199999999997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35359.199999999997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577000.73999999987</v>
      </c>
      <c r="H607" s="109">
        <f>SUM(F44)</f>
        <v>577000.74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76070.23</v>
      </c>
      <c r="H608" s="109">
        <f>SUM(G44)</f>
        <v>76070.23000000001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26899.19</v>
      </c>
      <c r="H609" s="109">
        <f>SUM(H44)</f>
        <v>26899.19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105881.27</v>
      </c>
      <c r="H611" s="109">
        <f>SUM(J44)</f>
        <v>105881.27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383136.02</v>
      </c>
      <c r="H612" s="109">
        <f>F466</f>
        <v>383136.01999999955</v>
      </c>
      <c r="I612" s="121" t="s">
        <v>106</v>
      </c>
      <c r="J612" s="109">
        <f t="shared" ref="J612:J645" si="49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75919.63</v>
      </c>
      <c r="H613" s="109">
        <f>G466</f>
        <v>75919.629999999946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105881.27</v>
      </c>
      <c r="H616" s="109">
        <f>J466</f>
        <v>105881.27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10964986.659999998</v>
      </c>
      <c r="H617" s="104">
        <f>SUM(F458)</f>
        <v>10964986.66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316557.35000000003</v>
      </c>
      <c r="H618" s="104">
        <f>SUM(G458)</f>
        <v>316557.34999999998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820824.5</v>
      </c>
      <c r="H619" s="104">
        <f>SUM(H458)</f>
        <v>820824.5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-44555</v>
      </c>
      <c r="H620" s="104">
        <f>SUM(I458)</f>
        <v>-44555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45103.97</v>
      </c>
      <c r="H621" s="104">
        <f>SUM(J458)</f>
        <v>45103.97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11067799.5</v>
      </c>
      <c r="H622" s="104">
        <f>SUM(F462)</f>
        <v>11067799.5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820824.50000000023</v>
      </c>
      <c r="H623" s="104">
        <f>SUM(H462)</f>
        <v>820824.5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140649</v>
      </c>
      <c r="H624" s="104">
        <f>I361</f>
        <v>140649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312015.90000000002</v>
      </c>
      <c r="H625" s="104">
        <f>SUM(G462)</f>
        <v>312015.90000000002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1780093</v>
      </c>
      <c r="H626" s="104">
        <f>SUM(I462)</f>
        <v>1780093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45103.97</v>
      </c>
      <c r="H627" s="164">
        <f>SUM(J458)</f>
        <v>45103.97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105881.27</v>
      </c>
      <c r="H630" s="104">
        <f>SUM(G451)</f>
        <v>105881.27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105881.27</v>
      </c>
      <c r="H632" s="104">
        <f>SUM(I451)</f>
        <v>105881.27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103.97</v>
      </c>
      <c r="H634" s="104">
        <f>H400</f>
        <v>103.97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45000</v>
      </c>
      <c r="H635" s="104">
        <f>G400</f>
        <v>45000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45103.97</v>
      </c>
      <c r="H636" s="104">
        <f>L400</f>
        <v>45103.97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656312.49</v>
      </c>
      <c r="H637" s="104">
        <f>L200+L218+L236</f>
        <v>656312.49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140982</v>
      </c>
      <c r="H638" s="104">
        <f>(J249+J330)-(J247+J328)</f>
        <v>140982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356766.66000000003</v>
      </c>
      <c r="H639" s="104">
        <f>H588</f>
        <v>356766.658</v>
      </c>
      <c r="I639" s="140" t="s">
        <v>412</v>
      </c>
      <c r="J639" s="109">
        <f t="shared" si="49"/>
        <v>2.0000000367872417E-3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299545.82999999996</v>
      </c>
      <c r="H640" s="104">
        <f>I588</f>
        <v>299545.83199999999</v>
      </c>
      <c r="I640" s="140" t="s">
        <v>413</v>
      </c>
      <c r="J640" s="109">
        <f t="shared" si="49"/>
        <v>-2.0000000367872417E-3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45000</v>
      </c>
      <c r="H645" s="104">
        <f>K258+K339</f>
        <v>45000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6670632.818500001</v>
      </c>
      <c r="G650" s="19">
        <f>(L221+L301+L351)</f>
        <v>5243657.0614999998</v>
      </c>
      <c r="H650" s="19">
        <f>(L239+L320+L352)</f>
        <v>0</v>
      </c>
      <c r="I650" s="19">
        <f>SUM(F650:H650)</f>
        <v>11914289.880000001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42663.054500000006</v>
      </c>
      <c r="G651" s="19">
        <f>(L351/IF(SUM(L350:L352)=0,1,SUM(L350:L352))*(SUM(G89:G102)))</f>
        <v>34906.135500000004</v>
      </c>
      <c r="H651" s="19">
        <f>(L352/IF(SUM(L350:L352)=0,1,SUM(L350:L352))*(SUM(G89:G102)))</f>
        <v>0</v>
      </c>
      <c r="I651" s="19">
        <f>SUM(F651:H651)</f>
        <v>77569.19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356766.66000000003</v>
      </c>
      <c r="G652" s="19">
        <f>(L218+L298)-(J218+J298)</f>
        <v>299545.82999999996</v>
      </c>
      <c r="H652" s="19">
        <f>(L236+L317)-(J236+J317)</f>
        <v>0</v>
      </c>
      <c r="I652" s="19">
        <f>SUM(F652:H652)</f>
        <v>656312.49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185131.29</v>
      </c>
      <c r="G653" s="200">
        <f>SUM(G565:G577)+SUM(I592:I594)+L602</f>
        <v>169036.07</v>
      </c>
      <c r="H653" s="200">
        <f>SUM(H565:H577)+SUM(J592:J594)+L603</f>
        <v>0</v>
      </c>
      <c r="I653" s="19">
        <f>SUM(F653:H653)</f>
        <v>354167.36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6086071.8140000012</v>
      </c>
      <c r="G654" s="19">
        <f>G650-SUM(G651:G653)</f>
        <v>4740169.0259999996</v>
      </c>
      <c r="H654" s="19">
        <f>H650-SUM(H651:H653)</f>
        <v>0</v>
      </c>
      <c r="I654" s="19">
        <f>I650-SUM(I651:I653)</f>
        <v>10826240.84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347.2</v>
      </c>
      <c r="G655" s="249">
        <v>314.06</v>
      </c>
      <c r="H655" s="249"/>
      <c r="I655" s="19">
        <f>SUM(F655:H655)</f>
        <v>661.26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17529.009999999998</v>
      </c>
      <c r="G657" s="19">
        <f>ROUND(G654/G655,2)</f>
        <v>15093.2</v>
      </c>
      <c r="H657" s="19" t="e">
        <f>ROUND(H654/H655,2)</f>
        <v>#DIV/0!</v>
      </c>
      <c r="I657" s="19">
        <f>ROUND(I654/I655,2)</f>
        <v>16372.14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17529.009999999998</v>
      </c>
      <c r="G662" s="19">
        <f>ROUND((G654+G659)/(G655+G660),2)</f>
        <v>15093.2</v>
      </c>
      <c r="H662" s="19" t="e">
        <f>ROUND((H654+H659)/(H655+H660),2)</f>
        <v>#DIV/0!</v>
      </c>
      <c r="I662" s="19">
        <f>ROUND((I654+I659)/(I655+I660),2)</f>
        <v>16372.14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24FC-F636-47A8-845A-F4DE3F874C4E}">
  <sheetPr>
    <tabColor indexed="20"/>
  </sheetPr>
  <dimension ref="A1:C52"/>
  <sheetViews>
    <sheetView topLeftCell="A4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Seabrook SD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3956096.31</v>
      </c>
      <c r="C9" s="230">
        <f>'DOE25'!G189+'DOE25'!G207+'DOE25'!G225+'DOE25'!G268+'DOE25'!G287+'DOE25'!G306</f>
        <v>1268098.24</v>
      </c>
    </row>
    <row r="10" spans="1:3" x14ac:dyDescent="0.2">
      <c r="A10" t="s">
        <v>810</v>
      </c>
      <c r="B10" s="241">
        <f>1904817.41+1498458.45+2500+70403.44+16370</f>
        <v>3492549.3</v>
      </c>
      <c r="C10" s="241">
        <f>501933.35+702049.04+1634.55+220.32+1252.31+18397.74+5385.87</f>
        <v>1230873.1800000004</v>
      </c>
    </row>
    <row r="11" spans="1:3" x14ac:dyDescent="0.2">
      <c r="A11" t="s">
        <v>811</v>
      </c>
      <c r="B11" s="241">
        <f>77282.28+37980.58+77173.55+537.5+985.32+134126.77+36556.01</f>
        <v>364642.01</v>
      </c>
      <c r="C11" s="241">
        <f>6706.46+9947.18+75.38+2796.96+10260.7-427.5</f>
        <v>29359.18</v>
      </c>
    </row>
    <row r="12" spans="1:3" x14ac:dyDescent="0.2">
      <c r="A12" t="s">
        <v>812</v>
      </c>
      <c r="B12" s="241">
        <f>47189.21+36675.02+2880+5600.77+800+5760</f>
        <v>98905</v>
      </c>
      <c r="C12" s="241">
        <f>3033.03+3902.55+440.64+61.2+428.46</f>
        <v>7865.88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3956096.3099999996</v>
      </c>
      <c r="C13" s="232">
        <f>SUM(C10:C12)</f>
        <v>1268098.2400000002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1382968.4400000002</v>
      </c>
      <c r="C18" s="230">
        <f>'DOE25'!G190+'DOE25'!G208+'DOE25'!G226+'DOE25'!G269+'DOE25'!G288+'DOE25'!G307</f>
        <v>396978.44</v>
      </c>
    </row>
    <row r="19" spans="1:3" x14ac:dyDescent="0.2">
      <c r="A19" t="s">
        <v>810</v>
      </c>
      <c r="B19" s="241">
        <f>487788.52+188293.98+58710.08+47302.06</f>
        <v>782094.6399999999</v>
      </c>
      <c r="C19" s="241">
        <f>124345.23+151977.5+23324.86+4124.85+16484.85</f>
        <v>320257.28999999992</v>
      </c>
    </row>
    <row r="20" spans="1:3" x14ac:dyDescent="0.2">
      <c r="A20" t="s">
        <v>811</v>
      </c>
      <c r="B20" s="241">
        <f>415761.69+20155.54</f>
        <v>435917.23</v>
      </c>
      <c r="C20" s="241">
        <f>16146.11+19734.13+1541.9</f>
        <v>37422.140000000007</v>
      </c>
    </row>
    <row r="21" spans="1:3" x14ac:dyDescent="0.2">
      <c r="A21" t="s">
        <v>812</v>
      </c>
      <c r="B21" s="271">
        <f>113241.93+36489.64+2100+13125</f>
        <v>164956.57</v>
      </c>
      <c r="C21" s="241">
        <f>13432.85+3727.58+16417.93+4555.93+160.65+1004.07</f>
        <v>39299.01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1382968.44</v>
      </c>
      <c r="C22" s="232">
        <f>SUM(C19:C21)</f>
        <v>396978.43999999994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84614.7</v>
      </c>
      <c r="C36" s="236">
        <f>'DOE25'!G192+'DOE25'!G210+'DOE25'!G228+'DOE25'!G271+'DOE25'!G290+'DOE25'!G309</f>
        <v>6943.7800000000007</v>
      </c>
    </row>
    <row r="37" spans="1:3" x14ac:dyDescent="0.2">
      <c r="A37" t="s">
        <v>810</v>
      </c>
      <c r="B37" s="241">
        <f>5000+17610+17749.2</f>
        <v>40359.199999999997</v>
      </c>
      <c r="C37" s="241">
        <v>382.5</v>
      </c>
    </row>
    <row r="38" spans="1:3" x14ac:dyDescent="0.2">
      <c r="A38" t="s">
        <v>811</v>
      </c>
      <c r="B38" s="241">
        <f>3687</f>
        <v>3687</v>
      </c>
      <c r="C38" s="241">
        <v>282.06</v>
      </c>
    </row>
    <row r="39" spans="1:3" x14ac:dyDescent="0.2">
      <c r="A39" t="s">
        <v>812</v>
      </c>
      <c r="B39" s="241">
        <f>626+39942.5</f>
        <v>40568.5</v>
      </c>
      <c r="C39" s="241">
        <f>4759.59+1519.63</f>
        <v>6279.22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84614.7</v>
      </c>
      <c r="C40" s="232">
        <f>SUM(C37:C39)</f>
        <v>6943.7800000000007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3F28-F7D2-43EE-B6A4-BA238645F88D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Seabrook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7075572.2300000004</v>
      </c>
      <c r="D5" s="20">
        <f>SUM('DOE25'!L189:L192)+SUM('DOE25'!L207:L210)+SUM('DOE25'!L225:L228)-F5-G5</f>
        <v>7053357.4000000004</v>
      </c>
      <c r="E5" s="244"/>
      <c r="F5" s="256">
        <f>SUM('DOE25'!J189:J192)+SUM('DOE25'!J207:J210)+SUM('DOE25'!J225:J228)</f>
        <v>14619.69</v>
      </c>
      <c r="G5" s="53">
        <f>SUM('DOE25'!K189:K192)+SUM('DOE25'!K207:K210)+SUM('DOE25'!K225:K228)</f>
        <v>7595.14</v>
      </c>
      <c r="H5" s="260"/>
    </row>
    <row r="6" spans="1:9" x14ac:dyDescent="0.2">
      <c r="A6" s="32">
        <v>2100</v>
      </c>
      <c r="B6" t="s">
        <v>832</v>
      </c>
      <c r="C6" s="246">
        <f t="shared" si="0"/>
        <v>512707.25</v>
      </c>
      <c r="D6" s="20">
        <f>'DOE25'!L194+'DOE25'!L212+'DOE25'!L230-F6-G6</f>
        <v>512707.25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518516.27999999991</v>
      </c>
      <c r="D7" s="20">
        <f>'DOE25'!L195+'DOE25'!L213+'DOE25'!L231-F7-G7</f>
        <v>480802.75999999989</v>
      </c>
      <c r="E7" s="244"/>
      <c r="F7" s="256">
        <f>'DOE25'!J195+'DOE25'!J213+'DOE25'!J231</f>
        <v>37713.520000000004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249159.04000000007</v>
      </c>
      <c r="D8" s="244"/>
      <c r="E8" s="20">
        <f>'DOE25'!L196+'DOE25'!L214+'DOE25'!L232-F8-G8-D9-D11</f>
        <v>241176.69000000006</v>
      </c>
      <c r="F8" s="256">
        <f>'DOE25'!J196+'DOE25'!J214+'DOE25'!J232</f>
        <v>0</v>
      </c>
      <c r="G8" s="53">
        <f>'DOE25'!K196+'DOE25'!K214+'DOE25'!K232</f>
        <v>7982.35</v>
      </c>
      <c r="H8" s="260"/>
    </row>
    <row r="9" spans="1:9" x14ac:dyDescent="0.2">
      <c r="A9" s="32">
        <v>2310</v>
      </c>
      <c r="B9" t="s">
        <v>849</v>
      </c>
      <c r="C9" s="246">
        <f t="shared" si="0"/>
        <v>51038.239999999998</v>
      </c>
      <c r="D9" s="245">
        <v>51038.239999999998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17284.5</v>
      </c>
      <c r="D10" s="244"/>
      <c r="E10" s="245">
        <v>17284.5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91248.81</v>
      </c>
      <c r="D11" s="245">
        <v>91248.81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582014.81999999995</v>
      </c>
      <c r="D12" s="20">
        <f>'DOE25'!L197+'DOE25'!L215+'DOE25'!L233-F12-G12</f>
        <v>580328.81999999995</v>
      </c>
      <c r="E12" s="244"/>
      <c r="F12" s="256">
        <f>'DOE25'!J197+'DOE25'!J215+'DOE25'!J233</f>
        <v>0</v>
      </c>
      <c r="G12" s="53">
        <f>'DOE25'!K197+'DOE25'!K215+'DOE25'!K233</f>
        <v>1686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1044266.3200000001</v>
      </c>
      <c r="D14" s="20">
        <f>'DOE25'!L199+'DOE25'!L217+'DOE25'!L235-F14-G14</f>
        <v>1009577.89</v>
      </c>
      <c r="E14" s="244"/>
      <c r="F14" s="256">
        <f>'DOE25'!J199+'DOE25'!J217+'DOE25'!J235</f>
        <v>34688.43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656312.49</v>
      </c>
      <c r="D15" s="20">
        <f>'DOE25'!L200+'DOE25'!L218+'DOE25'!L236-F15-G15</f>
        <v>656312.49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614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614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52746.25</v>
      </c>
      <c r="D22" s="244"/>
      <c r="E22" s="244"/>
      <c r="F22" s="256">
        <f>'DOE25'!L247+'DOE25'!L328</f>
        <v>52746.25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188603.77000000002</v>
      </c>
      <c r="D25" s="244"/>
      <c r="E25" s="244"/>
      <c r="F25" s="259"/>
      <c r="G25" s="257"/>
      <c r="H25" s="258">
        <f>'DOE25'!L252+'DOE25'!L253+'DOE25'!L333+'DOE25'!L334</f>
        <v>188603.77000000002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177518.45</v>
      </c>
      <c r="D29" s="20">
        <f>'DOE25'!L350+'DOE25'!L351+'DOE25'!L352-'DOE25'!I359-F29-G29</f>
        <v>174231.74000000002</v>
      </c>
      <c r="E29" s="244"/>
      <c r="F29" s="256">
        <f>'DOE25'!J350+'DOE25'!J351+'DOE25'!J352</f>
        <v>1508.05</v>
      </c>
      <c r="G29" s="53">
        <f>'DOE25'!K350+'DOE25'!K351+'DOE25'!K352</f>
        <v>1778.6600000000003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820824.50000000023</v>
      </c>
      <c r="D31" s="20">
        <f>'DOE25'!L282+'DOE25'!L301+'DOE25'!L320+'DOE25'!L325+'DOE25'!L326+'DOE25'!L327-F31-G31</f>
        <v>758641.27000000025</v>
      </c>
      <c r="E31" s="244"/>
      <c r="F31" s="256">
        <f>'DOE25'!J282+'DOE25'!J301+'DOE25'!J320+'DOE25'!J325+'DOE25'!J326+'DOE25'!J327</f>
        <v>53960.36</v>
      </c>
      <c r="G31" s="53">
        <f>'DOE25'!K282+'DOE25'!K301+'DOE25'!K320+'DOE25'!K325+'DOE25'!K326+'DOE25'!K327</f>
        <v>8222.869999999999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11368246.67</v>
      </c>
      <c r="E33" s="247">
        <f>SUM(E5:E31)</f>
        <v>258461.19000000006</v>
      </c>
      <c r="F33" s="247">
        <f>SUM(F5:F31)</f>
        <v>195236.3</v>
      </c>
      <c r="G33" s="247">
        <f>SUM(G5:G31)</f>
        <v>27879.02</v>
      </c>
      <c r="H33" s="247">
        <f>SUM(H5:H31)</f>
        <v>188603.77000000002</v>
      </c>
    </row>
    <row r="35" spans="2:8" ht="12" thickBot="1" x14ac:dyDescent="0.25">
      <c r="B35" s="254" t="s">
        <v>878</v>
      </c>
      <c r="D35" s="255">
        <f>E33</f>
        <v>258461.19000000006</v>
      </c>
      <c r="E35" s="250"/>
    </row>
    <row r="36" spans="2:8" ht="12" thickTop="1" x14ac:dyDescent="0.2">
      <c r="B36" t="s">
        <v>846</v>
      </c>
      <c r="D36" s="20">
        <f>D33</f>
        <v>11368246.67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09A6-8E80-4F84-A523-DA5BF898EE6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475816.89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454.31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105881.27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88091</v>
      </c>
      <c r="D12" s="95">
        <f>'DOE25'!G12</f>
        <v>33316.379999999997</v>
      </c>
      <c r="E12" s="95">
        <f>'DOE25'!H12</f>
        <v>26899.19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10515.84</v>
      </c>
      <c r="D13" s="95">
        <f>'DOE25'!G13</f>
        <v>42753.85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122.7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2000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577000.73999999987</v>
      </c>
      <c r="D19" s="41">
        <f>SUM(D9:D18)</f>
        <v>76070.23</v>
      </c>
      <c r="E19" s="41">
        <f>SUM(E9:E18)</f>
        <v>26899.19</v>
      </c>
      <c r="F19" s="41">
        <f>SUM(F9:F18)</f>
        <v>0</v>
      </c>
      <c r="G19" s="41">
        <f>SUM(G9:G18)</f>
        <v>105881.27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33316.379999999997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1758.02</v>
      </c>
      <c r="D23" s="95">
        <f>'DOE25'!G24</f>
        <v>0</v>
      </c>
      <c r="E23" s="95">
        <f>'DOE25'!H24</f>
        <v>26899.19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68022.94</v>
      </c>
      <c r="D24" s="95">
        <f>'DOE25'!G25</f>
        <v>6.98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5778.97</v>
      </c>
      <c r="D28" s="95">
        <f>'DOE25'!G29</f>
        <v>143.62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35673.79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49314.62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193864.72</v>
      </c>
      <c r="D32" s="41">
        <f>SUM(D22:D31)</f>
        <v>150.6</v>
      </c>
      <c r="E32" s="41">
        <f>SUM(E22:E31)</f>
        <v>26899.19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2000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34452.910000000003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45000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20764.18</v>
      </c>
      <c r="D40" s="95">
        <f>'DOE25'!G41</f>
        <v>75919.63</v>
      </c>
      <c r="E40" s="95">
        <f>'DOE25'!H41</f>
        <v>0</v>
      </c>
      <c r="F40" s="95">
        <f>'DOE25'!I41</f>
        <v>0</v>
      </c>
      <c r="G40" s="95">
        <f>'DOE25'!J41</f>
        <v>105881.27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280918.93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383136.02</v>
      </c>
      <c r="D42" s="41">
        <f>SUM(D34:D41)</f>
        <v>75919.63</v>
      </c>
      <c r="E42" s="41">
        <f>SUM(E34:E41)</f>
        <v>0</v>
      </c>
      <c r="F42" s="41">
        <f>SUM(F34:F41)</f>
        <v>0</v>
      </c>
      <c r="G42" s="41">
        <f>SUM(G34:G41)</f>
        <v>105881.27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577000.74</v>
      </c>
      <c r="D43" s="41">
        <f>D42+D32</f>
        <v>76070.23000000001</v>
      </c>
      <c r="E43" s="41">
        <f>E42+E32</f>
        <v>26899.19</v>
      </c>
      <c r="F43" s="41">
        <f>F42+F32</f>
        <v>0</v>
      </c>
      <c r="G43" s="41">
        <f>G42+G32</f>
        <v>105881.27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7259016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7358.26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103.97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77569.19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15668.12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23026.38</v>
      </c>
      <c r="D54" s="130">
        <f>SUM(D49:D53)</f>
        <v>77569.19</v>
      </c>
      <c r="E54" s="130">
        <f>SUM(E49:E53)</f>
        <v>0</v>
      </c>
      <c r="F54" s="130">
        <f>SUM(F49:F53)</f>
        <v>0</v>
      </c>
      <c r="G54" s="130">
        <f>SUM(G49:G53)</f>
        <v>103.97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7282042.3799999999</v>
      </c>
      <c r="D55" s="22">
        <f>D48+D54</f>
        <v>77569.19</v>
      </c>
      <c r="E55" s="22">
        <f>E48+E54</f>
        <v>0</v>
      </c>
      <c r="F55" s="22">
        <f>F48+F54</f>
        <v>0</v>
      </c>
      <c r="G55" s="22">
        <f>G48+G54</f>
        <v>103.97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1222184.71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2310722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44328.29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3577235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4758.26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4758.26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3577235</v>
      </c>
      <c r="D73" s="130">
        <f>SUM(D71:D72)+D70+D62</f>
        <v>4758.26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75392.98</v>
      </c>
      <c r="D77" s="95">
        <f>'DOE25'!G139</f>
        <v>35003.39</v>
      </c>
      <c r="E77" s="95">
        <f>'DOE25'!H139</f>
        <v>0</v>
      </c>
      <c r="F77" s="95">
        <f>'DOE25'!I139</f>
        <v>-44555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30316.3</v>
      </c>
      <c r="D80" s="95">
        <f>SUM('DOE25'!G145:G153)</f>
        <v>199226.51</v>
      </c>
      <c r="E80" s="95">
        <f>SUM('DOE25'!H145:H153)</f>
        <v>820824.5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105709.28</v>
      </c>
      <c r="D83" s="131">
        <f>SUM(D77:D82)</f>
        <v>234229.90000000002</v>
      </c>
      <c r="E83" s="131">
        <f>SUM(E77:E82)</f>
        <v>820824.5</v>
      </c>
      <c r="F83" s="131">
        <f>SUM(F77:F82)</f>
        <v>-44555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45000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45000</v>
      </c>
    </row>
    <row r="96" spans="1:7" ht="12.75" thickTop="1" thickBot="1" x14ac:dyDescent="0.25">
      <c r="A96" s="33" t="s">
        <v>796</v>
      </c>
      <c r="C96" s="86">
        <f>C55+C73+C83+C95</f>
        <v>10964986.659999998</v>
      </c>
      <c r="D96" s="86">
        <f>D55+D73+D83+D95</f>
        <v>316557.35000000003</v>
      </c>
      <c r="E96" s="86">
        <f>E55+E73+E83+E95</f>
        <v>820824.5</v>
      </c>
      <c r="F96" s="86">
        <f>F55+F73+F83+F95</f>
        <v>-44555</v>
      </c>
      <c r="G96" s="86">
        <f>G55+G73+G95</f>
        <v>45103.97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5119324.08</v>
      </c>
      <c r="D101" s="24" t="s">
        <v>312</v>
      </c>
      <c r="E101" s="95">
        <f>('DOE25'!L268)+('DOE25'!L287)+('DOE25'!L306)</f>
        <v>422574.98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1859221.85</v>
      </c>
      <c r="D102" s="24" t="s">
        <v>312</v>
      </c>
      <c r="E102" s="95">
        <f>('DOE25'!L269)+('DOE25'!L288)+('DOE25'!L307)</f>
        <v>282155.57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97026.299999999988</v>
      </c>
      <c r="D104" s="24" t="s">
        <v>312</v>
      </c>
      <c r="E104" s="95">
        <f>+('DOE25'!L271)+('DOE25'!L290)+('DOE25'!L309)</f>
        <v>9351.56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7075572.2299999995</v>
      </c>
      <c r="D107" s="86">
        <f>SUM(D101:D106)</f>
        <v>0</v>
      </c>
      <c r="E107" s="86">
        <f>SUM(E101:E106)</f>
        <v>714082.1100000001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512707.25</v>
      </c>
      <c r="D110" s="24" t="s">
        <v>312</v>
      </c>
      <c r="E110" s="95">
        <f>+('DOE25'!L273)+('DOE25'!L292)+('DOE25'!L311)</f>
        <v>98519.520000000019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518516.27999999991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391446.09</v>
      </c>
      <c r="D112" s="24" t="s">
        <v>312</v>
      </c>
      <c r="E112" s="95">
        <f>+('DOE25'!L275)+('DOE25'!L294)+('DOE25'!L313)</f>
        <v>8222.869999999999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582014.81999999995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1044266.3200000001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656312.49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614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312015.90000000002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3705877.25</v>
      </c>
      <c r="D120" s="86">
        <f>SUM(D110:D119)</f>
        <v>312015.90000000002</v>
      </c>
      <c r="E120" s="86">
        <f>SUM(E110:E119)</f>
        <v>106742.39000000001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52746.25</v>
      </c>
      <c r="D122" s="24" t="s">
        <v>312</v>
      </c>
      <c r="E122" s="129">
        <f>'DOE25'!L328</f>
        <v>0</v>
      </c>
      <c r="F122" s="129">
        <f>SUM('DOE25'!L366:'DOE25'!L372)</f>
        <v>1780093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97000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91603.77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45103.97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-103.97000000000116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286350.02</v>
      </c>
      <c r="D136" s="141">
        <f>SUM(D122:D135)</f>
        <v>0</v>
      </c>
      <c r="E136" s="141">
        <f>SUM(E122:E135)</f>
        <v>0</v>
      </c>
      <c r="F136" s="141">
        <f>SUM(F122:F135)</f>
        <v>1780093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11067799.5</v>
      </c>
      <c r="D137" s="86">
        <f>(D107+D120+D136)</f>
        <v>312015.90000000002</v>
      </c>
      <c r="E137" s="86">
        <f>(E107+E120+E136)</f>
        <v>820824.50000000012</v>
      </c>
      <c r="F137" s="86">
        <f>(F107+F120+F136)</f>
        <v>1780093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AE73-01A9-4947-A3FC-46CB4498F82B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Seabrook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17529</v>
      </c>
    </row>
    <row r="5" spans="1:4" x14ac:dyDescent="0.2">
      <c r="B5" t="s">
        <v>735</v>
      </c>
      <c r="C5" s="179">
        <f>IF('DOE25'!G655+'DOE25'!G660=0,0,ROUND('DOE25'!G662,0))</f>
        <v>15093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16372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5541899</v>
      </c>
      <c r="D10" s="182">
        <f>ROUND((C10/$C$28)*100,1)</f>
        <v>46.5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2141377</v>
      </c>
      <c r="D11" s="182">
        <f>ROUND((C11/$C$28)*100,1)</f>
        <v>18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106378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611227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518516</v>
      </c>
      <c r="D16" s="182">
        <f t="shared" si="0"/>
        <v>4.3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400283</v>
      </c>
      <c r="D17" s="182">
        <f t="shared" si="0"/>
        <v>3.4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582015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1044266</v>
      </c>
      <c r="D20" s="182">
        <f t="shared" si="0"/>
        <v>8.8000000000000007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656312</v>
      </c>
      <c r="D21" s="182">
        <f t="shared" si="0"/>
        <v>5.5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91604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234446.81</v>
      </c>
      <c r="D27" s="182">
        <f t="shared" si="0"/>
        <v>2</v>
      </c>
    </row>
    <row r="28" spans="1:4" x14ac:dyDescent="0.2">
      <c r="B28" s="187" t="s">
        <v>754</v>
      </c>
      <c r="C28" s="180">
        <f>SUM(C10:C27)</f>
        <v>11928323.810000001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1832839</v>
      </c>
    </row>
    <row r="30" spans="1:4" x14ac:dyDescent="0.2">
      <c r="B30" s="187" t="s">
        <v>760</v>
      </c>
      <c r="C30" s="180">
        <f>SUM(C28:C29)</f>
        <v>13761162.810000001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97000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7259016</v>
      </c>
      <c r="D35" s="182">
        <f t="shared" ref="D35:D40" si="1">ROUND((C35/$C$41)*100,1)</f>
        <v>60.6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23130.349999999627</v>
      </c>
      <c r="D36" s="182">
        <f t="shared" si="1"/>
        <v>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3577235</v>
      </c>
      <c r="D37" s="182">
        <f t="shared" si="1"/>
        <v>29.9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4758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1116209</v>
      </c>
      <c r="D39" s="182">
        <f t="shared" si="1"/>
        <v>9.3000000000000007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11980348.35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0FCD-72A8-42CD-ACEC-6FD3E3631A9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Seabrook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2011-11-10T12:55:17Z</cp:lastPrinted>
  <dcterms:created xsi:type="dcterms:W3CDTF">1997-12-04T19:04:30Z</dcterms:created>
  <dcterms:modified xsi:type="dcterms:W3CDTF">2025-01-10T20:33:58Z</dcterms:modified>
</cp:coreProperties>
</file>