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106EDFD-FC68-4866-B599-22FBF523CA3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5A6EA91-3F2A-470C-B066-779F766368B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2" l="1"/>
  <c r="C12" i="12"/>
  <c r="C11" i="12"/>
  <c r="C10" i="12"/>
  <c r="B11" i="12"/>
  <c r="B12" i="12"/>
  <c r="B10" i="12"/>
  <c r="B13" i="12" s="1"/>
  <c r="G271" i="1"/>
  <c r="C36" i="12" s="1"/>
  <c r="G290" i="1"/>
  <c r="G301" i="1" s="1"/>
  <c r="G309" i="1"/>
  <c r="G320" i="1" s="1"/>
  <c r="G230" i="1"/>
  <c r="L230" i="1" s="1"/>
  <c r="C15" i="10" s="1"/>
  <c r="G212" i="1"/>
  <c r="G221" i="1" s="1"/>
  <c r="G249" i="1" s="1"/>
  <c r="G194" i="1"/>
  <c r="F37" i="1"/>
  <c r="G150" i="1"/>
  <c r="F88" i="1"/>
  <c r="F49" i="1"/>
  <c r="H25" i="1"/>
  <c r="H13" i="1"/>
  <c r="H19" i="1" s="1"/>
  <c r="G609" i="1" s="1"/>
  <c r="J609" i="1" s="1"/>
  <c r="G23" i="1"/>
  <c r="G33" i="1" s="1"/>
  <c r="G13" i="1"/>
  <c r="G19" i="1" s="1"/>
  <c r="G608" i="1" s="1"/>
  <c r="F29" i="1"/>
  <c r="F33" i="1" s="1"/>
  <c r="F25" i="1"/>
  <c r="G128" i="1"/>
  <c r="F113" i="1"/>
  <c r="F132" i="1" s="1"/>
  <c r="F128" i="1"/>
  <c r="C37" i="10"/>
  <c r="C60" i="2"/>
  <c r="C62" i="2" s="1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E13" i="13"/>
  <c r="C13" i="13" s="1"/>
  <c r="F16" i="13"/>
  <c r="G16" i="13"/>
  <c r="L201" i="1"/>
  <c r="E16" i="13" s="1"/>
  <c r="C16" i="13" s="1"/>
  <c r="L219" i="1"/>
  <c r="L237" i="1"/>
  <c r="F5" i="13"/>
  <c r="G5" i="13"/>
  <c r="L189" i="1"/>
  <c r="C10" i="10" s="1"/>
  <c r="L190" i="1"/>
  <c r="C11" i="10" s="1"/>
  <c r="L191" i="1"/>
  <c r="L192" i="1"/>
  <c r="C104" i="2" s="1"/>
  <c r="L207" i="1"/>
  <c r="L208" i="1"/>
  <c r="L209" i="1"/>
  <c r="L210" i="1"/>
  <c r="L225" i="1"/>
  <c r="L226" i="1"/>
  <c r="L227" i="1"/>
  <c r="L239" i="1" s="1"/>
  <c r="L228" i="1"/>
  <c r="F6" i="13"/>
  <c r="G6" i="13"/>
  <c r="L194" i="1"/>
  <c r="L212" i="1"/>
  <c r="F7" i="13"/>
  <c r="G7" i="13"/>
  <c r="L195" i="1"/>
  <c r="L213" i="1"/>
  <c r="C111" i="2" s="1"/>
  <c r="L231" i="1"/>
  <c r="C16" i="10" s="1"/>
  <c r="D7" i="13"/>
  <c r="C7" i="13" s="1"/>
  <c r="F12" i="13"/>
  <c r="G12" i="13"/>
  <c r="L197" i="1"/>
  <c r="D12" i="13" s="1"/>
  <c r="C12" i="13" s="1"/>
  <c r="L215" i="1"/>
  <c r="L233" i="1"/>
  <c r="F14" i="13"/>
  <c r="G14" i="13"/>
  <c r="L199" i="1"/>
  <c r="L217" i="1"/>
  <c r="C20" i="10" s="1"/>
  <c r="L235" i="1"/>
  <c r="D14" i="13"/>
  <c r="C14" i="13" s="1"/>
  <c r="F15" i="13"/>
  <c r="G15" i="13"/>
  <c r="L200" i="1"/>
  <c r="C116" i="2" s="1"/>
  <c r="L218" i="1"/>
  <c r="L236" i="1"/>
  <c r="F17" i="13"/>
  <c r="G17" i="13"/>
  <c r="L243" i="1"/>
  <c r="D17" i="13"/>
  <c r="F18" i="13"/>
  <c r="G18" i="13"/>
  <c r="L244" i="1"/>
  <c r="C24" i="10" s="1"/>
  <c r="D18" i="13"/>
  <c r="C18" i="13" s="1"/>
  <c r="F19" i="13"/>
  <c r="D19" i="13" s="1"/>
  <c r="C19" i="13" s="1"/>
  <c r="G19" i="13"/>
  <c r="L245" i="1"/>
  <c r="F29" i="13"/>
  <c r="G29" i="13"/>
  <c r="L350" i="1"/>
  <c r="L351" i="1"/>
  <c r="F651" i="1" s="1"/>
  <c r="L352" i="1"/>
  <c r="H651" i="1" s="1"/>
  <c r="I359" i="1"/>
  <c r="I361" i="1" s="1"/>
  <c r="H624" i="1" s="1"/>
  <c r="D29" i="13"/>
  <c r="C29" i="13" s="1"/>
  <c r="J282" i="1"/>
  <c r="F31" i="13" s="1"/>
  <c r="J301" i="1"/>
  <c r="J320" i="1"/>
  <c r="K282" i="1"/>
  <c r="K301" i="1"/>
  <c r="G31" i="13" s="1"/>
  <c r="K320" i="1"/>
  <c r="L268" i="1"/>
  <c r="L269" i="1"/>
  <c r="L282" i="1" s="1"/>
  <c r="L270" i="1"/>
  <c r="E103" i="2" s="1"/>
  <c r="L271" i="1"/>
  <c r="L273" i="1"/>
  <c r="E110" i="2" s="1"/>
  <c r="L274" i="1"/>
  <c r="E111" i="2" s="1"/>
  <c r="L275" i="1"/>
  <c r="L276" i="1"/>
  <c r="L277" i="1"/>
  <c r="L278" i="1"/>
  <c r="L279" i="1"/>
  <c r="L280" i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E117" i="2" s="1"/>
  <c r="L306" i="1"/>
  <c r="L307" i="1"/>
  <c r="L308" i="1"/>
  <c r="L311" i="1"/>
  <c r="L312" i="1"/>
  <c r="L313" i="1"/>
  <c r="L314" i="1"/>
  <c r="L315" i="1"/>
  <c r="L316" i="1"/>
  <c r="L317" i="1"/>
  <c r="E116" i="2" s="1"/>
  <c r="L318" i="1"/>
  <c r="L325" i="1"/>
  <c r="E106" i="2" s="1"/>
  <c r="L326" i="1"/>
  <c r="L327" i="1"/>
  <c r="L252" i="1"/>
  <c r="L253" i="1"/>
  <c r="L333" i="1"/>
  <c r="C32" i="10" s="1"/>
  <c r="L334" i="1"/>
  <c r="E124" i="2" s="1"/>
  <c r="H25" i="13"/>
  <c r="C25" i="13" s="1"/>
  <c r="H33" i="13"/>
  <c r="L247" i="1"/>
  <c r="C122" i="2" s="1"/>
  <c r="L328" i="1"/>
  <c r="C17" i="13"/>
  <c r="C11" i="13"/>
  <c r="C10" i="13"/>
  <c r="C9" i="13"/>
  <c r="L353" i="1"/>
  <c r="L354" i="1"/>
  <c r="C27" i="10" s="1"/>
  <c r="B4" i="12"/>
  <c r="B36" i="12"/>
  <c r="B40" i="12"/>
  <c r="C40" i="12"/>
  <c r="B27" i="12"/>
  <c r="C27" i="12"/>
  <c r="B31" i="12"/>
  <c r="C31" i="12"/>
  <c r="A31" i="12"/>
  <c r="B9" i="12"/>
  <c r="C9" i="12"/>
  <c r="C13" i="12"/>
  <c r="B18" i="12"/>
  <c r="B22" i="12"/>
  <c r="C18" i="12"/>
  <c r="C22" i="12"/>
  <c r="A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8" i="1"/>
  <c r="L399" i="1"/>
  <c r="C132" i="2"/>
  <c r="L258" i="1"/>
  <c r="J52" i="1"/>
  <c r="J104" i="1" s="1"/>
  <c r="J185" i="1" s="1"/>
  <c r="G636" i="1" s="1"/>
  <c r="G48" i="2"/>
  <c r="G51" i="2"/>
  <c r="G54" i="2" s="1"/>
  <c r="G53" i="2"/>
  <c r="F2" i="11"/>
  <c r="L603" i="1"/>
  <c r="H653" i="1"/>
  <c r="L602" i="1"/>
  <c r="G653" i="1"/>
  <c r="L601" i="1"/>
  <c r="L604" i="1" s="1"/>
  <c r="F653" i="1"/>
  <c r="I653" i="1" s="1"/>
  <c r="C40" i="10"/>
  <c r="F52" i="1"/>
  <c r="C35" i="10" s="1"/>
  <c r="G52" i="1"/>
  <c r="H52" i="1"/>
  <c r="I52" i="1"/>
  <c r="F71" i="1"/>
  <c r="F86" i="1"/>
  <c r="F103" i="1"/>
  <c r="F104" i="1"/>
  <c r="G103" i="1"/>
  <c r="G104" i="1"/>
  <c r="G185" i="1" s="1"/>
  <c r="G618" i="1" s="1"/>
  <c r="J618" i="1" s="1"/>
  <c r="H71" i="1"/>
  <c r="H104" i="1" s="1"/>
  <c r="H185" i="1" s="1"/>
  <c r="G619" i="1" s="1"/>
  <c r="J619" i="1" s="1"/>
  <c r="H86" i="1"/>
  <c r="H103" i="1"/>
  <c r="I103" i="1"/>
  <c r="I104" i="1"/>
  <c r="J103" i="1"/>
  <c r="G113" i="1"/>
  <c r="G132" i="1" s="1"/>
  <c r="H113" i="1"/>
  <c r="H128" i="1"/>
  <c r="H132" i="1"/>
  <c r="I113" i="1"/>
  <c r="I132" i="1" s="1"/>
  <c r="I128" i="1"/>
  <c r="J113" i="1"/>
  <c r="J132" i="1" s="1"/>
  <c r="J128" i="1"/>
  <c r="F139" i="1"/>
  <c r="F154" i="1"/>
  <c r="F161" i="1"/>
  <c r="C39" i="10" s="1"/>
  <c r="G139" i="1"/>
  <c r="D77" i="2" s="1"/>
  <c r="G154" i="1"/>
  <c r="G161" i="1"/>
  <c r="H139" i="1"/>
  <c r="H161" i="1" s="1"/>
  <c r="H154" i="1"/>
  <c r="I139" i="1"/>
  <c r="I161" i="1" s="1"/>
  <c r="I154" i="1"/>
  <c r="C17" i="10"/>
  <c r="C18" i="10"/>
  <c r="C19" i="10"/>
  <c r="L242" i="1"/>
  <c r="L324" i="1"/>
  <c r="C23" i="10"/>
  <c r="L246" i="1"/>
  <c r="L260" i="1"/>
  <c r="C134" i="2" s="1"/>
  <c r="L261" i="1"/>
  <c r="L341" i="1"/>
  <c r="L343" i="1" s="1"/>
  <c r="L342" i="1"/>
  <c r="E135" i="2" s="1"/>
  <c r="I655" i="1"/>
  <c r="I660" i="1"/>
  <c r="L221" i="1"/>
  <c r="G650" i="1" s="1"/>
  <c r="F652" i="1"/>
  <c r="G652" i="1"/>
  <c r="H652" i="1"/>
  <c r="I652" i="1"/>
  <c r="I659" i="1"/>
  <c r="C42" i="10"/>
  <c r="L366" i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 s="1"/>
  <c r="L513" i="1"/>
  <c r="F541" i="1"/>
  <c r="K541" i="1" s="1"/>
  <c r="L516" i="1"/>
  <c r="G539" i="1"/>
  <c r="L517" i="1"/>
  <c r="L518" i="1"/>
  <c r="G541" i="1" s="1"/>
  <c r="L521" i="1"/>
  <c r="H539" i="1" s="1"/>
  <c r="H542" i="1" s="1"/>
  <c r="L522" i="1"/>
  <c r="H540" i="1"/>
  <c r="L523" i="1"/>
  <c r="L524" i="1" s="1"/>
  <c r="H541" i="1"/>
  <c r="L526" i="1"/>
  <c r="I539" i="1" s="1"/>
  <c r="L527" i="1"/>
  <c r="I540" i="1" s="1"/>
  <c r="L528" i="1"/>
  <c r="I541" i="1"/>
  <c r="L531" i="1"/>
  <c r="J539" i="1"/>
  <c r="J542" i="1" s="1"/>
  <c r="L532" i="1"/>
  <c r="L534" i="1" s="1"/>
  <c r="J540" i="1"/>
  <c r="L533" i="1"/>
  <c r="J541" i="1"/>
  <c r="K262" i="1"/>
  <c r="J262" i="1"/>
  <c r="I262" i="1"/>
  <c r="H262" i="1"/>
  <c r="G262" i="1"/>
  <c r="F262" i="1"/>
  <c r="L262" i="1" s="1"/>
  <c r="C124" i="2"/>
  <c r="C123" i="2"/>
  <c r="A1" i="2"/>
  <c r="A2" i="2"/>
  <c r="C9" i="2"/>
  <c r="D9" i="2"/>
  <c r="E9" i="2"/>
  <c r="F9" i="2"/>
  <c r="I431" i="1"/>
  <c r="I438" i="1" s="1"/>
  <c r="G632" i="1" s="1"/>
  <c r="J9" i="1"/>
  <c r="J19" i="1" s="1"/>
  <c r="G611" i="1" s="1"/>
  <c r="G9" i="2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/>
  <c r="G12" i="2" s="1"/>
  <c r="C13" i="2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E22" i="2"/>
  <c r="F22" i="2"/>
  <c r="I440" i="1"/>
  <c r="J23" i="1"/>
  <c r="G22" i="2"/>
  <c r="G32" i="2" s="1"/>
  <c r="C23" i="2"/>
  <c r="D23" i="2"/>
  <c r="E23" i="2"/>
  <c r="F23" i="2"/>
  <c r="I441" i="1"/>
  <c r="J24" i="1" s="1"/>
  <c r="G23" i="2" s="1"/>
  <c r="C24" i="2"/>
  <c r="D24" i="2"/>
  <c r="E24" i="2"/>
  <c r="E32" i="2" s="1"/>
  <c r="F24" i="2"/>
  <c r="F32" i="2" s="1"/>
  <c r="I442" i="1"/>
  <c r="J25" i="1" s="1"/>
  <c r="G24" i="2" s="1"/>
  <c r="C25" i="2"/>
  <c r="D25" i="2"/>
  <c r="E25" i="2"/>
  <c r="F25" i="2"/>
  <c r="C26" i="2"/>
  <c r="F26" i="2"/>
  <c r="C27" i="2"/>
  <c r="F27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F48" i="2"/>
  <c r="C49" i="2"/>
  <c r="C54" i="2" s="1"/>
  <c r="C55" i="2" s="1"/>
  <c r="C50" i="2"/>
  <c r="E50" i="2"/>
  <c r="C51" i="2"/>
  <c r="D51" i="2"/>
  <c r="D54" i="2" s="1"/>
  <c r="D55" i="2" s="1"/>
  <c r="D96" i="2" s="1"/>
  <c r="E51" i="2"/>
  <c r="F51" i="2"/>
  <c r="F54" i="2" s="1"/>
  <c r="F55" i="2" s="1"/>
  <c r="D52" i="2"/>
  <c r="C53" i="2"/>
  <c r="D53" i="2"/>
  <c r="E53" i="2"/>
  <c r="F53" i="2"/>
  <c r="C58" i="2"/>
  <c r="C59" i="2"/>
  <c r="C61" i="2"/>
  <c r="D61" i="2"/>
  <c r="E61" i="2"/>
  <c r="F61" i="2"/>
  <c r="G61" i="2"/>
  <c r="G62" i="2" s="1"/>
  <c r="D62" i="2"/>
  <c r="E62" i="2"/>
  <c r="F62" i="2"/>
  <c r="C64" i="2"/>
  <c r="C70" i="2" s="1"/>
  <c r="F64" i="2"/>
  <c r="C65" i="2"/>
  <c r="F65" i="2"/>
  <c r="C66" i="2"/>
  <c r="C67" i="2"/>
  <c r="C68" i="2"/>
  <c r="E68" i="2"/>
  <c r="E70" i="2" s="1"/>
  <c r="E73" i="2" s="1"/>
  <c r="F68" i="2"/>
  <c r="F70" i="2" s="1"/>
  <c r="F73" i="2" s="1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E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1" i="2"/>
  <c r="C102" i="2"/>
  <c r="C105" i="2"/>
  <c r="E105" i="2"/>
  <c r="D107" i="2"/>
  <c r="F107" i="2"/>
  <c r="G107" i="2"/>
  <c r="E112" i="2"/>
  <c r="C113" i="2"/>
  <c r="E113" i="2"/>
  <c r="C114" i="2"/>
  <c r="E114" i="2"/>
  <c r="E115" i="2"/>
  <c r="F120" i="2"/>
  <c r="G120" i="2"/>
  <c r="G137" i="2" s="1"/>
  <c r="E122" i="2"/>
  <c r="D126" i="2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 s="1"/>
  <c r="L257" i="1"/>
  <c r="C129" i="2" s="1"/>
  <c r="E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C152" i="2"/>
  <c r="D152" i="2"/>
  <c r="E152" i="2"/>
  <c r="F152" i="2"/>
  <c r="F490" i="1"/>
  <c r="B153" i="2" s="1"/>
  <c r="G490" i="1"/>
  <c r="C153" i="2"/>
  <c r="H490" i="1"/>
  <c r="K490" i="1" s="1"/>
  <c r="D153" i="2"/>
  <c r="I490" i="1"/>
  <c r="E153" i="2"/>
  <c r="J490" i="1"/>
  <c r="F153" i="2"/>
  <c r="B154" i="2"/>
  <c r="C154" i="2"/>
  <c r="D154" i="2"/>
  <c r="E154" i="2"/>
  <c r="F154" i="2"/>
  <c r="G154" i="2"/>
  <c r="B155" i="2"/>
  <c r="C155" i="2"/>
  <c r="D155" i="2"/>
  <c r="E155" i="2"/>
  <c r="F155" i="2"/>
  <c r="F493" i="1"/>
  <c r="B156" i="2" s="1"/>
  <c r="G493" i="1"/>
  <c r="C156" i="2"/>
  <c r="H493" i="1"/>
  <c r="D156" i="2"/>
  <c r="I493" i="1"/>
  <c r="E156" i="2"/>
  <c r="J493" i="1"/>
  <c r="F156" i="2" s="1"/>
  <c r="F19" i="1"/>
  <c r="I19" i="1"/>
  <c r="H33" i="1"/>
  <c r="H44" i="1" s="1"/>
  <c r="H609" i="1" s="1"/>
  <c r="I33" i="1"/>
  <c r="I44" i="1" s="1"/>
  <c r="H610" i="1" s="1"/>
  <c r="F43" i="1"/>
  <c r="G43" i="1"/>
  <c r="H43" i="1"/>
  <c r="I43" i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G203" i="1"/>
  <c r="H203" i="1"/>
  <c r="I203" i="1"/>
  <c r="J203" i="1"/>
  <c r="K203" i="1"/>
  <c r="F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H249" i="1"/>
  <c r="H263" i="1" s="1"/>
  <c r="I249" i="1"/>
  <c r="I263" i="1" s="1"/>
  <c r="K249" i="1"/>
  <c r="K263" i="1"/>
  <c r="F282" i="1"/>
  <c r="H282" i="1"/>
  <c r="I282" i="1"/>
  <c r="F301" i="1"/>
  <c r="H301" i="1"/>
  <c r="I301" i="1"/>
  <c r="F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J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438" i="1"/>
  <c r="G630" i="1" s="1"/>
  <c r="J630" i="1" s="1"/>
  <c r="H438" i="1"/>
  <c r="F444" i="1"/>
  <c r="G444" i="1"/>
  <c r="H444" i="1"/>
  <c r="H451" i="1" s="1"/>
  <c r="H631" i="1" s="1"/>
  <c r="J631" i="1" s="1"/>
  <c r="F450" i="1"/>
  <c r="F451" i="1" s="1"/>
  <c r="H629" i="1" s="1"/>
  <c r="G450" i="1"/>
  <c r="G451" i="1" s="1"/>
  <c r="H630" i="1" s="1"/>
  <c r="H450" i="1"/>
  <c r="I450" i="1"/>
  <c r="F460" i="1"/>
  <c r="G460" i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J612" i="1" s="1"/>
  <c r="G464" i="1"/>
  <c r="G466" i="1" s="1"/>
  <c r="H613" i="1" s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H535" i="1" s="1"/>
  <c r="I514" i="1"/>
  <c r="I535" i="1" s="1"/>
  <c r="J514" i="1"/>
  <c r="K514" i="1"/>
  <c r="K535" i="1" s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J535" i="1"/>
  <c r="L547" i="1"/>
  <c r="L548" i="1"/>
  <c r="L549" i="1"/>
  <c r="F550" i="1"/>
  <c r="G550" i="1"/>
  <c r="H550" i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F561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K584" i="1"/>
  <c r="K585" i="1"/>
  <c r="K586" i="1"/>
  <c r="K587" i="1"/>
  <c r="H588" i="1"/>
  <c r="H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10" i="1"/>
  <c r="J610" i="1" s="1"/>
  <c r="G612" i="1"/>
  <c r="G613" i="1"/>
  <c r="J613" i="1" s="1"/>
  <c r="G614" i="1"/>
  <c r="G615" i="1"/>
  <c r="H617" i="1"/>
  <c r="H618" i="1"/>
  <c r="H619" i="1"/>
  <c r="H620" i="1"/>
  <c r="G621" i="1"/>
  <c r="J621" i="1" s="1"/>
  <c r="H621" i="1"/>
  <c r="H622" i="1"/>
  <c r="H623" i="1"/>
  <c r="G625" i="1"/>
  <c r="J625" i="1" s="1"/>
  <c r="H625" i="1"/>
  <c r="H626" i="1"/>
  <c r="H627" i="1"/>
  <c r="H628" i="1"/>
  <c r="G629" i="1"/>
  <c r="J629" i="1" s="1"/>
  <c r="G631" i="1"/>
  <c r="G633" i="1"/>
  <c r="G634" i="1"/>
  <c r="J634" i="1" s="1"/>
  <c r="G635" i="1"/>
  <c r="G637" i="1"/>
  <c r="J637" i="1" s="1"/>
  <c r="H637" i="1"/>
  <c r="G640" i="1"/>
  <c r="H640" i="1"/>
  <c r="J640" i="1"/>
  <c r="G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F330" i="1" l="1"/>
  <c r="F344" i="1" s="1"/>
  <c r="J33" i="1"/>
  <c r="G156" i="2"/>
  <c r="E43" i="2"/>
  <c r="G33" i="13"/>
  <c r="G263" i="1"/>
  <c r="J249" i="1"/>
  <c r="G152" i="2"/>
  <c r="F96" i="2"/>
  <c r="J43" i="1"/>
  <c r="G36" i="2"/>
  <c r="G42" i="2" s="1"/>
  <c r="G43" i="2" s="1"/>
  <c r="D42" i="2"/>
  <c r="L519" i="1"/>
  <c r="G540" i="1"/>
  <c r="H650" i="1"/>
  <c r="H654" i="1" s="1"/>
  <c r="G155" i="2"/>
  <c r="D137" i="2"/>
  <c r="I444" i="1"/>
  <c r="I451" i="1" s="1"/>
  <c r="H632" i="1" s="1"/>
  <c r="J632" i="1" s="1"/>
  <c r="G654" i="1"/>
  <c r="E120" i="2"/>
  <c r="I542" i="1"/>
  <c r="K540" i="1"/>
  <c r="F542" i="1"/>
  <c r="E104" i="2"/>
  <c r="E33" i="13"/>
  <c r="D35" i="13" s="1"/>
  <c r="C8" i="13"/>
  <c r="J641" i="1"/>
  <c r="L529" i="1"/>
  <c r="G535" i="1"/>
  <c r="F19" i="2"/>
  <c r="G153" i="2"/>
  <c r="C73" i="2"/>
  <c r="C96" i="2" s="1"/>
  <c r="E19" i="2"/>
  <c r="I185" i="1"/>
  <c r="G620" i="1" s="1"/>
  <c r="J620" i="1" s="1"/>
  <c r="A13" i="12"/>
  <c r="L320" i="1"/>
  <c r="L330" i="1"/>
  <c r="L344" i="1" s="1"/>
  <c r="G623" i="1" s="1"/>
  <c r="J623" i="1" s="1"/>
  <c r="D31" i="13"/>
  <c r="C31" i="13" s="1"/>
  <c r="J614" i="1"/>
  <c r="K493" i="1"/>
  <c r="F122" i="2"/>
  <c r="F136" i="2" s="1"/>
  <c r="F137" i="2" s="1"/>
  <c r="F185" i="1"/>
  <c r="G617" i="1" s="1"/>
  <c r="J617" i="1" s="1"/>
  <c r="C110" i="2"/>
  <c r="C12" i="10"/>
  <c r="C103" i="2"/>
  <c r="G542" i="1"/>
  <c r="L560" i="1"/>
  <c r="L561" i="1" s="1"/>
  <c r="G55" i="2"/>
  <c r="G96" i="2" s="1"/>
  <c r="J608" i="1"/>
  <c r="G19" i="2"/>
  <c r="C36" i="10"/>
  <c r="A40" i="12"/>
  <c r="L425" i="1"/>
  <c r="L426" i="1" s="1"/>
  <c r="G628" i="1" s="1"/>
  <c r="J628" i="1" s="1"/>
  <c r="G44" i="1"/>
  <c r="H608" i="1" s="1"/>
  <c r="F400" i="1"/>
  <c r="H633" i="1" s="1"/>
  <c r="J633" i="1" s="1"/>
  <c r="F44" i="1"/>
  <c r="H607" i="1" s="1"/>
  <c r="J607" i="1" s="1"/>
  <c r="G148" i="2"/>
  <c r="E83" i="2"/>
  <c r="F42" i="2"/>
  <c r="F43" i="2" s="1"/>
  <c r="L400" i="1"/>
  <c r="C130" i="2"/>
  <c r="C38" i="10"/>
  <c r="K539" i="1"/>
  <c r="K542" i="1" s="1"/>
  <c r="C29" i="10"/>
  <c r="C21" i="10"/>
  <c r="F22" i="13"/>
  <c r="C22" i="13" s="1"/>
  <c r="D5" i="13"/>
  <c r="G282" i="1"/>
  <c r="G330" i="1" s="1"/>
  <c r="G344" i="1" s="1"/>
  <c r="C115" i="2"/>
  <c r="E102" i="2"/>
  <c r="E107" i="2" s="1"/>
  <c r="C26" i="10"/>
  <c r="L309" i="1"/>
  <c r="C106" i="2"/>
  <c r="C25" i="10"/>
  <c r="J330" i="1"/>
  <c r="J344" i="1" s="1"/>
  <c r="C28" i="2"/>
  <c r="C32" i="2" s="1"/>
  <c r="C43" i="2" s="1"/>
  <c r="C101" i="2"/>
  <c r="E134" i="2"/>
  <c r="D119" i="2"/>
  <c r="D120" i="2" s="1"/>
  <c r="C112" i="2"/>
  <c r="D22" i="2"/>
  <c r="D32" i="2" s="1"/>
  <c r="E123" i="2"/>
  <c r="C13" i="10"/>
  <c r="G639" i="1"/>
  <c r="J639" i="1" s="1"/>
  <c r="E49" i="2"/>
  <c r="E54" i="2" s="1"/>
  <c r="E55" i="2" s="1"/>
  <c r="E96" i="2" s="1"/>
  <c r="E13" i="2"/>
  <c r="G651" i="1"/>
  <c r="I651" i="1" s="1"/>
  <c r="L203" i="1"/>
  <c r="C117" i="2"/>
  <c r="D13" i="2"/>
  <c r="D19" i="2" s="1"/>
  <c r="D15" i="13"/>
  <c r="C15" i="13" s="1"/>
  <c r="D6" i="13"/>
  <c r="C6" i="13" s="1"/>
  <c r="L374" i="1"/>
  <c r="G626" i="1" s="1"/>
  <c r="J626" i="1" s="1"/>
  <c r="C107" i="2" l="1"/>
  <c r="G662" i="1"/>
  <c r="C5" i="10" s="1"/>
  <c r="G657" i="1"/>
  <c r="H638" i="1"/>
  <c r="J638" i="1" s="1"/>
  <c r="J263" i="1"/>
  <c r="C28" i="10"/>
  <c r="D13" i="10"/>
  <c r="D26" i="10"/>
  <c r="C133" i="2"/>
  <c r="C136" i="2" s="1"/>
  <c r="F33" i="13"/>
  <c r="L249" i="1"/>
  <c r="L263" i="1" s="1"/>
  <c r="G622" i="1" s="1"/>
  <c r="J622" i="1" s="1"/>
  <c r="F650" i="1"/>
  <c r="C120" i="2"/>
  <c r="E136" i="2"/>
  <c r="E137" i="2" s="1"/>
  <c r="H636" i="1"/>
  <c r="J636" i="1" s="1"/>
  <c r="G627" i="1"/>
  <c r="J627" i="1" s="1"/>
  <c r="C41" i="10"/>
  <c r="D36" i="10"/>
  <c r="L535" i="1"/>
  <c r="J44" i="1"/>
  <c r="H611" i="1" s="1"/>
  <c r="J611" i="1" s="1"/>
  <c r="G616" i="1"/>
  <c r="H662" i="1"/>
  <c r="C6" i="10" s="1"/>
  <c r="H657" i="1"/>
  <c r="D33" i="13"/>
  <c r="D36" i="13" s="1"/>
  <c r="C5" i="13"/>
  <c r="D43" i="2"/>
  <c r="D37" i="10" l="1"/>
  <c r="D40" i="10"/>
  <c r="D39" i="10"/>
  <c r="D35" i="10"/>
  <c r="D41" i="10" s="1"/>
  <c r="D38" i="10"/>
  <c r="C30" i="10"/>
  <c r="D23" i="10"/>
  <c r="D18" i="10"/>
  <c r="D22" i="10"/>
  <c r="D24" i="10"/>
  <c r="D16" i="10"/>
  <c r="D19" i="10"/>
  <c r="D20" i="10"/>
  <c r="D11" i="10"/>
  <c r="D27" i="10"/>
  <c r="D15" i="10"/>
  <c r="D17" i="10"/>
  <c r="D10" i="10"/>
  <c r="I650" i="1"/>
  <c r="I654" i="1" s="1"/>
  <c r="F654" i="1"/>
  <c r="D21" i="10"/>
  <c r="D12" i="10"/>
  <c r="J616" i="1"/>
  <c r="H646" i="1"/>
  <c r="D25" i="10"/>
  <c r="C137" i="2"/>
  <c r="D28" i="10" l="1"/>
  <c r="F662" i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A5100ECE-CD79-475C-B974-9D7A2682E5A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D781665-F24F-4D2C-AC39-630A930893CA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9A2A8D8-B3F4-4548-B62F-3B54197765E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9F14604-385B-435A-95BB-CF49F7E13ED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6A5E7D4-6282-4DED-8CB2-B3C16A9E4F4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DE43F03-C6E3-4F77-AAB3-51A46BECF38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830ADD12-B781-434B-95D6-D9CA317CBFD9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ED2F1FA-4692-406D-A427-2C02DADB7A3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035DBF1-ED01-4D57-A127-4BDA0060962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55C7CA6-BC42-4765-A21C-D730FCFED3D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2C60824-8CB2-4678-ACD5-40ED241170C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5304EB6-7C80-4E20-A528-2889047DE5F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<sst xmlns="http://schemas.openxmlformats.org/spreadsheetml/2006/main" count="3860" uniqueCount="897">
  <si>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</si>
  <si>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</si>
  <si>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</si>
  <si>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</si>
  <si>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</si>
  <si>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</si>
  <si>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</si>
  <si>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</si>
  <si>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</si>
  <si>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</si>
  <si>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</si>
  <si>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</si>
  <si>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</si>
  <si>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</si>
  <si>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</si>
  <si>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</si>
  <si>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</si>
  <si>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</si>
  <si>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</si>
  <si>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</si>
  <si>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</si>
  <si>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</si>
  <si>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</si>
  <si>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</si>
  <si>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</si>
  <si>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</si>
  <si>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</si>
  <si>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</si>
  <si>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</si>
  <si>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</si>
  <si>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</si>
  <si>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</si>
  <si>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</si>
  <si>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</si>
  <si>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</si>
  <si>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</si>
  <si>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</si>
  <si>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</si>
  <si>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</si>
  <si>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</si>
  <si>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</si>
  <si>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</si>
  <si>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</si>
  <si>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</si>
  <si>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</si>
  <si>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</si>
  <si>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</si>
  <si>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</si>
  <si>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</si>
  <si>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</si>
  <si>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</si>
  <si>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</si>
  <si>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</si>
  <si>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</si>
  <si>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</si>
  <si>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</si>
  <si>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</si>
  <si>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</si>
  <si>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</si>
  <si>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</si>
  <si>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</si>
  <si>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</si>
  <si>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</si>
  <si>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</si>
  <si>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</si>
  <si>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</si>
  <si>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</si>
  <si>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</si>
  <si>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</si>
  <si>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</si>
  <si>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</si>
  <si>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</si>
  <si>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</si>
  <si>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</si>
  <si>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</si>
  <si>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</si>
  <si>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</si>
  <si>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</si>
  <si>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</si>
  <si>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</si>
  <si>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</si>
  <si>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</si>
  <si>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</si>
  <si>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</si>
  <si>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</si>
  <si>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</si>
  <si>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</si>
  <si>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</si>
  <si>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</si>
  <si>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</si>
  <si>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</si>
  <si>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</si>
  <si>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</si>
  <si>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</si>
  <si>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</si>
  <si>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</si>
  <si>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</si>
  <si>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</si>
  <si>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</si>
  <si>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</si>
  <si>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</si>
  <si>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</si>
  <si>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</si>
  <si>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</si>
  <si>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</si>
  <si>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</si>
  <si>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</si>
  <si>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</si>
  <si>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</si>
  <si>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</si>
  <si>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</si>
  <si>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</si>
  <si>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</si>
  <si>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</si>
  <si>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</si>
  <si>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</si>
  <si>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</si>
  <si>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</si>
  <si>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</si>
  <si>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</si>
  <si>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</si>
  <si>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</si>
  <si>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</si>
  <si>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</si>
  <si>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</si>
  <si>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</si>
  <si>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</si>
  <si>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</si>
  <si>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</si>
  <si>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</si>
  <si>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</si>
  <si>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</si>
  <si>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</si>
  <si>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</si>
  <si>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</si>
  <si>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</si>
  <si>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</si>
  <si>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</si>
  <si>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</si>
  <si>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</si>
  <si>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</si>
  <si>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</si>
  <si>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</si>
  <si>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</si>
  <si>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</si>
  <si>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</si>
  <si>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</si>
  <si>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</si>
  <si>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</si>
  <si>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</si>
  <si>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</si>
  <si>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</si>
  <si>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</si>
  <si>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</si>
  <si>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</si>
  <si>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</si>
  <si>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</si>
  <si>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</si>
  <si>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</si>
  <si>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</si>
  <si>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</si>
  <si>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</si>
  <si>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</si>
  <si>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</si>
  <si>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</si>
  <si>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</si>
  <si>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</si>
  <si>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</si>
  <si>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</si>
  <si>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</si>
  <si>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</si>
  <si>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</si>
  <si>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</si>
  <si>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</si>
  <si>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</si>
  <si>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</si>
  <si>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</si>
  <si>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</si>
  <si>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</si>
  <si>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</si>
  <si>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</si>
  <si>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</si>
  <si>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</si>
  <si>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</si>
  <si>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</si>
  <si>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</si>
  <si>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</si>
  <si>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</si>
  <si>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</si>
  <si>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</si>
  <si>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</si>
  <si>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</si>
  <si>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</si>
  <si>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</si>
  <si>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</si>
  <si>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</si>
  <si>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</si>
  <si>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</si>
  <si>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</si>
  <si>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</si>
  <si>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</si>
  <si>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</si>
  <si>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</si>
  <si>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</si>
  <si>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</si>
  <si>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</si>
  <si>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</si>
  <si>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</si>
  <si>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</si>
  <si>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</si>
  <si>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</si>
  <si>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</si>
  <si>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</si>
  <si>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</si>
  <si>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</si>
  <si>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</si>
  <si>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</si>
  <si>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</si>
  <si>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</si>
  <si>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</si>
  <si>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</si>
  <si>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</si>
  <si>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</si>
  <si>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</si>
  <si>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</si>
  <si>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</si>
  <si>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</si>
  <si>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</si>
  <si>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</si>
  <si>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</si>
  <si>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</si>
  <si>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</si>
  <si>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</si>
  <si>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</si>
  <si>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</si>
  <si>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</si>
  <si>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</si>
  <si>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</si>
  <si>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</si>
  <si>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</si>
  <si>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</si>
  <si>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</si>
  <si>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</si>
  <si>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</si>
  <si>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</si>
  <si>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</si>
  <si>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</si>
  <si>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</si>
  <si>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</si>
  <si>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</si>
  <si>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</si>
  <si>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</si>
  <si>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</si>
  <si>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</si>
  <si>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</si>
  <si>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</si>
  <si>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</si>
  <si>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</si>
  <si>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</si>
  <si>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</si>
  <si>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</si>
  <si>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</si>
  <si>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</si>
  <si>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</si>
  <si>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</si>
  <si>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</si>
  <si>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</si>
  <si>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</si>
  <si>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</si>
  <si>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</si>
  <si>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</si>
  <si>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</si>
  <si>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</si>
  <si>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</si>
  <si>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</si>
  <si>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</si>
  <si>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</si>
  <si>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</si>
  <si>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</si>
  <si>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</si>
  <si>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</si>
  <si>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</si>
  <si>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</si>
  <si>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</si>
  <si>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</si>
  <si>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</si>
  <si>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</si>
  <si>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</si>
  <si>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</si>
  <si>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</si>
  <si>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</si>
  <si>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</si>
  <si>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</si>
  <si>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</si>
  <si>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</si>
  <si>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</si>
  <si>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</si>
  <si>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</si>
  <si>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</si>
  <si>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</si>
  <si>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</si>
  <si>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</si>
  <si>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</si>
  <si>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</si>
  <si>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</si>
  <si>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</si>
  <si>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</si>
  <si>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</si>
  <si>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</si>
  <si>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</si>
  <si>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</si>
  <si>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</si>
  <si>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</si>
  <si>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</si>
  <si>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</si>
  <si>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</si>
  <si>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</si>
  <si>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</si>
  <si>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</si>
  <si>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</si>
  <si>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</si>
  <si>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</si>
  <si>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</si>
  <si>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</si>
  <si>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</si>
  <si>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</si>
  <si>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</si>
  <si>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</si>
  <si>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</si>
  <si>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</si>
  <si>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</si>
  <si>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</si>
  <si>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</si>
  <si>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</si>
  <si>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</si>
  <si>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</si>
  <si>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</si>
  <si>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</si>
  <si>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</si>
  <si>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</si>
  <si>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</si>
  <si>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</si>
  <si>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</si>
  <si>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</si>
  <si>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</si>
  <si>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</si>
  <si>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</si>
  <si>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</si>
  <si>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</si>
  <si>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</si>
  <si>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</si>
  <si>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</si>
  <si>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</si>
  <si>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</si>
  <si>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</si>
  <si>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</si>
  <si>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</si>
  <si>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</si>
  <si>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</si>
  <si>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</si>
  <si>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</si>
  <si>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</si>
  <si>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</si>
  <si>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</si>
  <si>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</si>
  <si>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</si>
  <si>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</si>
  <si>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</si>
  <si>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</si>
  <si>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</si>
  <si>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</si>
  <si>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</si>
  <si>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</si>
  <si>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</si>
  <si>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</si>
  <si>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</si>
  <si>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</si>
  <si>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</si>
  <si>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</si>
  <si>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</si>
  <si>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</si>
  <si>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</si>
  <si>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</si>
  <si>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</si>
  <si>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</si>
  <si>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</si>
  <si>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</si>
  <si>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</si>
  <si>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</si>
  <si>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</si>
  <si>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</si>
  <si>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</si>
  <si>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</si>
  <si>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</si>
  <si>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</si>
  <si>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</si>
  <si>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</si>
  <si>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</si>
  <si>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</si>
  <si>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</si>
  <si>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</si>
  <si>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</si>
  <si>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</si>
  <si>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</si>
  <si>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</si>
  <si>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</si>
  <si>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</si>
  <si>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</si>
  <si>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</si>
  <si>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</si>
  <si>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</si>
  <si>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</si>
  <si>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</si>
  <si>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</si>
  <si>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</si>
  <si>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</si>
  <si>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</si>
  <si>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</si>
  <si>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</si>
  <si>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</si>
  <si>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</si>
  <si>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</si>
  <si>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</si>
  <si>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</si>
  <si>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</si>
  <si>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</si>
  <si>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</si>
  <si>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</si>
  <si>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</si>
  <si>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</si>
  <si>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</si>
  <si>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</si>
  <si>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</si>
  <si>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</si>
  <si>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</si>
  <si>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</si>
  <si>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</si>
  <si>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</si>
  <si>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</si>
  <si>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</si>
  <si>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</si>
  <si>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</si>
  <si>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</si>
  <si>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</si>
  <si>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</si>
  <si>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</si>
  <si>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</si>
  <si>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</si>
  <si>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</si>
  <si>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</si>
  <si>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</si>
  <si>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</si>
  <si>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</si>
  <si>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</si>
  <si>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</si>
  <si>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</si>
  <si>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</si>
  <si>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</si>
  <si>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</si>
  <si>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</si>
  <si>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</si>
  <si>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</si>
  <si>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</si>
  <si>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</si>
  <si>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</si>
  <si>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</si>
  <si>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</si>
  <si>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</si>
  <si>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</si>
  <si>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</si>
  <si>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</si>
  <si>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</si>
  <si>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</si>
  <si>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</si>
  <si>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</si>
  <si>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</si>
  <si>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</si>
  <si>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</si>
  <si>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</si>
  <si>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</si>
  <si>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</si>
  <si>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</si>
  <si>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</si>
  <si>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</si>
  <si>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</si>
  <si>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</si>
  <si>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</si>
  <si>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</si>
  <si>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</si>
  <si>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</si>
  <si>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</si>
  <si>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</si>
  <si>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</si>
  <si>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</si>
  <si>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</si>
  <si>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</si>
  <si>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</si>
  <si>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</si>
  <si>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</si>
  <si>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</si>
  <si>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</si>
  <si>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</si>
  <si>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</si>
  <si>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</si>
  <si>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</si>
  <si>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</si>
  <si>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</si>
  <si>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</si>
  <si>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</si>
  <si>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</si>
  <si>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</si>
  <si>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</si>
  <si>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</si>
  <si>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</si>
  <si>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</si>
  <si>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</si>
  <si>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</si>
  <si>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</si>
  <si>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</si>
  <si>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</si>
  <si>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</si>
  <si>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</si>
  <si>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</si>
  <si>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</si>
  <si>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</si>
  <si>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</si>
  <si>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</si>
  <si>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</si>
  <si>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</si>
  <si>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</si>
  <si>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</si>
  <si>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</si>
  <si>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</si>
  <si>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</si>
  <si>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</si>
  <si>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</si>
  <si>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</si>
  <si>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</si>
  <si>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</si>
  <si>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</si>
  <si>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</si>
  <si>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</si>
  <si>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</si>
  <si>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</si>
  <si>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</si>
  <si>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</si>
  <si>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</si>
  <si>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</si>
  <si>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</si>
  <si>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</si>
  <si>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</si>
  <si>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</si>
  <si>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</si>
  <si>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</si>
  <si>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</si>
  <si>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</si>
  <si>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</si>
  <si>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</si>
  <si>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</si>
  <si>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</si>
  <si>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</si>
  <si>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</si>
  <si>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</si>
  <si>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</si>
  <si>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</si>
  <si>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</si>
  <si>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</si>
  <si>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</si>
  <si>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</si>
  <si>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</si>
  <si>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</si>
  <si>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</si>
  <si>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</si>
  <si>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</si>
  <si>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</si>
  <si>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</si>
  <si>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</si>
  <si>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</si>
  <si>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</si>
  <si>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</si>
  <si>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</si>
  <si>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</si>
  <si>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</si>
  <si>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</si>
  <si>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</si>
  <si>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</si>
  <si>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</si>
  <si>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</si>
  <si>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</si>
  <si>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</si>
  <si>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</si>
  <si>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</si>
  <si>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</si>
  <si>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</si>
  <si>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</si>
  <si>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</si>
  <si>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</si>
  <si>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</si>
  <si>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</si>
  <si>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</si>
  <si>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</si>
  <si>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</si>
  <si>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</si>
  <si>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</si>
  <si>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</si>
  <si>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</si>
  <si>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</si>
  <si>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</si>
  <si>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</si>
  <si>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</si>
  <si>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</si>
  <si>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</si>
  <si>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</si>
  <si>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</si>
  <si>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</si>
  <si>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</si>
  <si>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</si>
  <si>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</si>
  <si>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</si>
  <si>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</si>
  <si>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</si>
  <si>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</si>
  <si>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</si>
  <si>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</si>
  <si>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</si>
  <si>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</si>
  <si>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</si>
  <si>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</si>
  <si>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</si>
  <si>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</si>
  <si>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</si>
  <si>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</si>
  <si>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</si>
  <si>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</si>
  <si>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</si>
  <si>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</si>
  <si>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</si>
  <si>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</si>
  <si>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</si>
  <si>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</si>
  <si>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</si>
  <si>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</si>
  <si>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</si>
  <si>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</si>
  <si>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</si>
  <si>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</si>
  <si>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</si>
  <si>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</si>
  <si>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</si>
  <si>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</si>
  <si>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</si>
  <si>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</si>
  <si>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</si>
  <si>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</si>
  <si>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</si>
  <si>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</si>
  <si>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</si>
  <si>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</si>
  <si>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</si>
  <si>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</si>
  <si>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</si>
  <si>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</si>
  <si>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</si>
  <si>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</si>
  <si>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</si>
  <si>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</si>
  <si>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</si>
  <si>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</si>
  <si>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</si>
  <si>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</si>
  <si>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</si>
  <si>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</si>
  <si>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</si>
  <si>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</si>
  <si>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</si>
  <si>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</si>
  <si>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</si>
  <si>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</si>
  <si>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</si>
  <si>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</si>
  <si>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</si>
  <si>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</si>
  <si>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</si>
  <si>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</si>
  <si>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</si>
  <si>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</si>
  <si>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</si>
  <si>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</si>
  <si>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</si>
  <si>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</si>
  <si>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</si>
  <si>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</si>
  <si>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</si>
  <si>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</si>
  <si>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</si>
  <si>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</si>
  <si>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</si>
  <si>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</si>
  <si>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</si>
  <si>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</si>
  <si>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</si>
  <si>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</si>
  <si>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</si>
  <si>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</si>
  <si>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</si>
  <si>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</si>
  <si>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</si>
  <si>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</si>
  <si>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</si>
  <si>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</si>
  <si>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</si>
  <si>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</si>
  <si>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</si>
  <si>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</si>
  <si>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</si>
  <si>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</si>
  <si>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</si>
  <si>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</si>
  <si>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</si>
  <si>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</si>
  <si>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</si>
  <si>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</si>
  <si>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</si>
  <si>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</si>
  <si>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</si>
  <si>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</si>
  <si>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</si>
  <si>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</si>
  <si>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</si>
  <si>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</si>
  <si>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</si>
  <si>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</si>
  <si>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</si>
  <si>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</si>
  <si>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</si>
  <si>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</si>
  <si>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</si>
  <si>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</si>
  <si>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</si>
  <si>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</si>
  <si>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</si>
  <si>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</si>
  <si>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</si>
  <si>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</si>
  <si>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</si>
  <si>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</si>
  <si>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</si>
  <si>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</si>
  <si>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</si>
  <si>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</si>
  <si>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</si>
  <si>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</si>
  <si>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</si>
  <si>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</si>
  <si>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</si>
  <si>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</si>
  <si>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</si>
  <si>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</si>
  <si>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</si>
  <si>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</si>
  <si>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</si>
  <si>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</si>
  <si>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</si>
  <si>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</si>
  <si>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</si>
  <si>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</si>
  <si>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</si>
  <si>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</si>
  <si>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</si>
  <si>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</si>
  <si>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</si>
  <si>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</si>
  <si>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</si>
  <si>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</si>
  <si>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</si>
  <si>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</si>
  <si>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</si>
  <si>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</si>
  <si>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</si>
  <si>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</si>
  <si>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</si>
  <si>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</si>
  <si>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</si>
  <si>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</si>
  <si>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</si>
  <si>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</si>
  <si>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</si>
  <si>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</si>
  <si>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</si>
  <si>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</si>
  <si>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</si>
  <si>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</si>
  <si>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</si>
  <si>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</si>
  <si>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</si>
  <si>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</si>
  <si>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</si>
  <si>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</si>
  <si>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</si>
  <si>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</si>
  <si>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</si>
  <si>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</si>
  <si>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</si>
  <si>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</si>
  <si>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</si>
  <si>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</si>
  <si>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</si>
  <si>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</si>
  <si>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</si>
  <si>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</si>
  <si>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</si>
  <si>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</si>
  <si>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</si>
  <si>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</si>
  <si>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</si>
  <si>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</si>
  <si>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</si>
  <si>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</si>
  <si>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</si>
  <si>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</si>
  <si>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</si>
  <si>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</si>
  <si>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</si>
  <si>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</si>
  <si>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</si>
  <si>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</si>
  <si>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</si>
  <si>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</si>
  <si>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</si>
  <si>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</si>
  <si>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</si>
  <si>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</si>
  <si>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</si>
  <si>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</si>
  <si>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</si>
  <si>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</si>
  <si>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</si>
  <si>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</si>
  <si>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</si>
  <si>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</si>
  <si>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</si>
  <si>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</si>
  <si>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</si>
  <si>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</si>
  <si>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</si>
  <si>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</si>
  <si>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</si>
  <si>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</si>
  <si>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</si>
  <si>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</si>
  <si>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</si>
  <si>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</si>
  <si>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</si>
  <si>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</si>
  <si>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</si>
  <si>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</si>
  <si>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</si>
  <si>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</si>
  <si>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</si>
  <si>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</si>
  <si>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</si>
  <si>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</si>
  <si>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</si>
  <si>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</si>
  <si>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</si>
  <si>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</si>
  <si>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</si>
  <si>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</si>
  <si>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</si>
  <si>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</si>
  <si>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</si>
  <si>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</si>
  <si>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</si>
  <si>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</si>
  <si>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</si>
  <si>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</si>
  <si>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</si>
  <si>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</si>
  <si>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</si>
  <si>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</si>
  <si>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</si>
  <si>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</si>
  <si>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</si>
  <si>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</si>
  <si>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</si>
  <si>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</si>
  <si>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</si>
  <si>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</si>
  <si>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</si>
  <si>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</si>
  <si>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</si>
  <si>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</si>
  <si>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</si>
  <si>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</si>
  <si>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8/97</t>
  </si>
  <si>
    <t>8/12</t>
  </si>
  <si>
    <t>Shaker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</si>
</sst>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370-E184-48A5-96EE-3319A72A12D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595" activePane="bottomRight" state="frozen"/>
      <selection pane="topRight" activeCell="F1" sqref="F1"/>
      <selection pane="bottomLeft" activeCell="A4" sqref="A4"/>
      <selection pane="bottomRight" activeCell="F464" sqref="F46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486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-131347.49</v>
      </c>
      <c r="G9" s="18"/>
      <c r="H9" s="18"/>
      <c r="I9" s="18"/>
      <c r="J9" s="67">
        <f>SUM(I431)</f>
        <v>530935.09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14401.13</v>
      </c>
      <c r="G10" s="18">
        <v>2695.82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548377.34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32438.58</v>
      </c>
      <c r="G13" s="18">
        <f>23462.73</f>
        <v>23462.73</v>
      </c>
      <c r="H13" s="18">
        <f>544592.35+303.03</f>
        <v>544895.38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32590.07</v>
      </c>
      <c r="G14" s="18">
        <v>1535.79</v>
      </c>
      <c r="H14" s="18">
        <v>13554.51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4805.6000000000004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501265.23</v>
      </c>
      <c r="G19" s="41">
        <f>SUM(G9:G18)</f>
        <v>27694.34</v>
      </c>
      <c r="H19" s="41">
        <f>SUM(H9:H18)</f>
        <v>558449.89</v>
      </c>
      <c r="I19" s="41">
        <f>SUM(I9:I18)</f>
        <v>0</v>
      </c>
      <c r="J19" s="41">
        <f>SUM(J9:J18)</f>
        <v>530935.09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f>1761503.46-1739265.72-34.88</f>
        <v>22202.85999999999</v>
      </c>
      <c r="H23" s="18">
        <v>526174.48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48971.88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7523.06+7034.43</f>
        <v>14557.490000000002</v>
      </c>
      <c r="G25" s="18">
        <v>17.440000000000001</v>
      </c>
      <c r="H25" s="18">
        <f>6691.81</f>
        <v>6691.81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1750+133.88</f>
        <v>1883.88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5474.04</v>
      </c>
      <c r="H31" s="18">
        <v>25583.599999999999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65413.249999999993</v>
      </c>
      <c r="G33" s="41">
        <f>SUM(G23:G32)</f>
        <v>27694.339999999989</v>
      </c>
      <c r="H33" s="41">
        <f>SUM(H23:H32)</f>
        <v>558449.89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84389.08+14000+3190+638.9</f>
        <v>102217.98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175000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/>
      <c r="I41" s="18"/>
      <c r="J41" s="13">
        <f>SUM(I449)</f>
        <v>530935.09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158634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435851.98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530935.09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501265.23</v>
      </c>
      <c r="G44" s="41">
        <f>G43+G33</f>
        <v>27694.339999999989</v>
      </c>
      <c r="H44" s="41">
        <f>H43+H33</f>
        <v>558449.89</v>
      </c>
      <c r="I44" s="41">
        <f>I43+I33</f>
        <v>0</v>
      </c>
      <c r="J44" s="41">
        <f>J43+J33</f>
        <v>530935.09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3184699+7173255</f>
        <v>10357954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10357954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1605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13122.97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14727.97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1094.6+11.11</f>
        <v>1105.7099999999998</v>
      </c>
      <c r="G88" s="18">
        <v>10.96</v>
      </c>
      <c r="H88" s="18"/>
      <c r="I88" s="18"/>
      <c r="J88" s="18">
        <v>946.33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290658.93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>
        <v>33808.14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16205.56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17311.27</v>
      </c>
      <c r="G103" s="41">
        <f>SUM(G88:G102)</f>
        <v>290669.89</v>
      </c>
      <c r="H103" s="41">
        <f>SUM(H88:H102)</f>
        <v>33808.14</v>
      </c>
      <c r="I103" s="41">
        <f>SUM(I88:I102)</f>
        <v>0</v>
      </c>
      <c r="J103" s="41">
        <f>SUM(J88:J102)</f>
        <v>946.33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10389993.24</v>
      </c>
      <c r="G104" s="41">
        <f>G52+G103</f>
        <v>290669.89</v>
      </c>
      <c r="H104" s="41">
        <f>H52+H71+H86+H103</f>
        <v>33808.14</v>
      </c>
      <c r="I104" s="41">
        <f>I52+I103</f>
        <v>0</v>
      </c>
      <c r="J104" s="41">
        <f>J52+J103</f>
        <v>946.33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4437749.09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2290303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160955.91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6889008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265601.44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88762.08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8814.7999999999993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7643.55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363178.32</v>
      </c>
      <c r="G128" s="41">
        <f>SUM(G115:G127)</f>
        <v>7643.55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7252186.3200000003</v>
      </c>
      <c r="G132" s="41">
        <f>G113+SUM(G128:G129)</f>
        <v>7643.55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385775.34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147108.07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253240.88+18807.68</f>
        <v>272048.56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494153.35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82442.92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82442.92</v>
      </c>
      <c r="G154" s="41">
        <f>SUM(G142:G153)</f>
        <v>272048.56</v>
      </c>
      <c r="H154" s="41">
        <f>SUM(H142:H153)</f>
        <v>1027036.76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82442.92</v>
      </c>
      <c r="G161" s="41">
        <f>G139+G154+SUM(G155:G160)</f>
        <v>272048.56</v>
      </c>
      <c r="H161" s="41">
        <f>H139+H154+SUM(H155:H160)</f>
        <v>1027036.76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29708.75</v>
      </c>
      <c r="H171" s="18"/>
      <c r="I171" s="18"/>
      <c r="J171" s="18">
        <v>200000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29708.75</v>
      </c>
      <c r="H175" s="41">
        <f>SUM(H171:H174)</f>
        <v>0</v>
      </c>
      <c r="I175" s="41">
        <f>SUM(I171:I174)</f>
        <v>0</v>
      </c>
      <c r="J175" s="41">
        <f>SUM(J171:J174)</f>
        <v>200000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90000</v>
      </c>
      <c r="G178" s="18"/>
      <c r="H178" s="18">
        <v>159108.06</v>
      </c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90000</v>
      </c>
      <c r="G180" s="41">
        <f>SUM(G177:G179)</f>
        <v>0</v>
      </c>
      <c r="H180" s="41">
        <f>SUM(H177:H179)</f>
        <v>159108.06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90000</v>
      </c>
      <c r="G184" s="41">
        <f>G175+SUM(G180:G183)</f>
        <v>29708.75</v>
      </c>
      <c r="H184" s="41">
        <f>+H175+SUM(H180:H183)</f>
        <v>159108.06</v>
      </c>
      <c r="I184" s="41">
        <f>I169+I175+SUM(I180:I183)</f>
        <v>0</v>
      </c>
      <c r="J184" s="41">
        <f>J175</f>
        <v>200000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17814622.480000004</v>
      </c>
      <c r="G185" s="47">
        <f>G104+G132+G161+G184</f>
        <v>600070.75</v>
      </c>
      <c r="H185" s="47">
        <f>H104+H132+H161+H184</f>
        <v>1219952.96</v>
      </c>
      <c r="I185" s="47">
        <f>I104+I132+I161+I184</f>
        <v>0</v>
      </c>
      <c r="J185" s="47">
        <f>J104+J132+J184</f>
        <v>200946.33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2024107.39</v>
      </c>
      <c r="G189" s="18">
        <v>763990.35</v>
      </c>
      <c r="H189" s="18">
        <v>2406.59</v>
      </c>
      <c r="I189" s="18">
        <v>112404.74</v>
      </c>
      <c r="J189" s="18">
        <v>6217.79</v>
      </c>
      <c r="K189" s="18">
        <v>0</v>
      </c>
      <c r="L189" s="19">
        <f>SUM(F189:K189)</f>
        <v>2909126.86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493215.06</v>
      </c>
      <c r="G190" s="18">
        <v>176829.5</v>
      </c>
      <c r="H190" s="18">
        <v>66422.31</v>
      </c>
      <c r="I190" s="18">
        <v>3334.1</v>
      </c>
      <c r="J190" s="18">
        <v>172.44</v>
      </c>
      <c r="K190" s="18">
        <v>0</v>
      </c>
      <c r="L190" s="19">
        <f>SUM(F190:K190)</f>
        <v>739973.41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27540.880000000001</v>
      </c>
      <c r="G192" s="18">
        <v>4230.4799999999996</v>
      </c>
      <c r="H192" s="18">
        <v>6300</v>
      </c>
      <c r="I192" s="18">
        <v>257.25</v>
      </c>
      <c r="J192" s="18">
        <v>0</v>
      </c>
      <c r="K192" s="18">
        <v>0</v>
      </c>
      <c r="L192" s="19">
        <f>SUM(F192:K192)</f>
        <v>38328.61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383607.96</v>
      </c>
      <c r="G194" s="18">
        <f>124546.07+3.23</f>
        <v>124549.3</v>
      </c>
      <c r="H194" s="18">
        <v>60247.43</v>
      </c>
      <c r="I194" s="18">
        <v>5819.18</v>
      </c>
      <c r="J194" s="18">
        <v>1744.4</v>
      </c>
      <c r="K194" s="18">
        <v>270</v>
      </c>
      <c r="L194" s="19">
        <f t="shared" ref="L194:L200" si="0">SUM(F194:K194)</f>
        <v>576238.27000000014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169753.56</v>
      </c>
      <c r="G195" s="18">
        <v>100993.84</v>
      </c>
      <c r="H195" s="18">
        <v>23476.73</v>
      </c>
      <c r="I195" s="18">
        <v>17335.419999999998</v>
      </c>
      <c r="J195" s="18">
        <v>18792.009999999998</v>
      </c>
      <c r="K195" s="18">
        <v>325.07</v>
      </c>
      <c r="L195" s="19">
        <f t="shared" si="0"/>
        <v>330676.63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59186.29</v>
      </c>
      <c r="G196" s="18">
        <v>19231.68</v>
      </c>
      <c r="H196" s="18">
        <v>35219.300000000003</v>
      </c>
      <c r="I196" s="18">
        <v>2786.92</v>
      </c>
      <c r="J196" s="18">
        <v>740.86</v>
      </c>
      <c r="K196" s="18">
        <v>5298.13</v>
      </c>
      <c r="L196" s="19">
        <f t="shared" si="0"/>
        <v>122463.18000000001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320173.39</v>
      </c>
      <c r="G197" s="18">
        <v>104068.9</v>
      </c>
      <c r="H197" s="18">
        <v>17102.990000000002</v>
      </c>
      <c r="I197" s="18">
        <v>3594.99</v>
      </c>
      <c r="J197" s="18">
        <v>0</v>
      </c>
      <c r="K197" s="18">
        <v>2055</v>
      </c>
      <c r="L197" s="19">
        <f t="shared" si="0"/>
        <v>446995.27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72419.03</v>
      </c>
      <c r="G198" s="18">
        <v>17920.79</v>
      </c>
      <c r="H198" s="18">
        <v>8302.2099999999991</v>
      </c>
      <c r="I198" s="18">
        <v>1179.05</v>
      </c>
      <c r="J198" s="18">
        <v>391.66</v>
      </c>
      <c r="K198" s="18">
        <v>252.97</v>
      </c>
      <c r="L198" s="19">
        <f t="shared" si="0"/>
        <v>100465.71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157165.96</v>
      </c>
      <c r="G199" s="18">
        <v>55960.35</v>
      </c>
      <c r="H199" s="18">
        <v>110906.3</v>
      </c>
      <c r="I199" s="18">
        <v>163769.79</v>
      </c>
      <c r="J199" s="18">
        <v>3473.43</v>
      </c>
      <c r="K199" s="18"/>
      <c r="L199" s="19">
        <f t="shared" si="0"/>
        <v>491275.83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399705.84</v>
      </c>
      <c r="I200" s="18"/>
      <c r="J200" s="18"/>
      <c r="K200" s="18"/>
      <c r="L200" s="19">
        <f t="shared" si="0"/>
        <v>399705.84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3707169.5199999996</v>
      </c>
      <c r="G203" s="41">
        <f t="shared" si="1"/>
        <v>1367775.19</v>
      </c>
      <c r="H203" s="41">
        <f t="shared" si="1"/>
        <v>730089.7</v>
      </c>
      <c r="I203" s="41">
        <f t="shared" si="1"/>
        <v>310481.44</v>
      </c>
      <c r="J203" s="41">
        <f t="shared" si="1"/>
        <v>31532.59</v>
      </c>
      <c r="K203" s="41">
        <f t="shared" si="1"/>
        <v>8201.17</v>
      </c>
      <c r="L203" s="41">
        <f t="shared" si="1"/>
        <v>6155249.6100000003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1830107.87</v>
      </c>
      <c r="G207" s="18">
        <v>690666.19</v>
      </c>
      <c r="H207" s="18">
        <v>323.5</v>
      </c>
      <c r="I207" s="18">
        <v>77010.960000000006</v>
      </c>
      <c r="J207" s="18">
        <v>6320.29</v>
      </c>
      <c r="K207" s="18">
        <v>0</v>
      </c>
      <c r="L207" s="19">
        <f>SUM(F207:K207)</f>
        <v>2604428.81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392233.48</v>
      </c>
      <c r="G208" s="18">
        <v>138564.09</v>
      </c>
      <c r="H208" s="18">
        <v>270887.61</v>
      </c>
      <c r="I208" s="18">
        <v>11974.65</v>
      </c>
      <c r="J208" s="18">
        <v>2412.34</v>
      </c>
      <c r="K208" s="18">
        <v>1125</v>
      </c>
      <c r="L208" s="19">
        <f>SUM(F208:K208)</f>
        <v>817197.16999999993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44487.88</v>
      </c>
      <c r="G210" s="18">
        <v>7838.07</v>
      </c>
      <c r="H210" s="18">
        <v>10320</v>
      </c>
      <c r="I210" s="18">
        <v>7568.93</v>
      </c>
      <c r="J210" s="18">
        <v>3511.34</v>
      </c>
      <c r="K210" s="18">
        <v>2315</v>
      </c>
      <c r="L210" s="19">
        <f>SUM(F210:K210)</f>
        <v>76041.22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335050.40000000002</v>
      </c>
      <c r="G212" s="18">
        <f>2.9+117800.27</f>
        <v>117803.17</v>
      </c>
      <c r="H212" s="18">
        <v>47120.66</v>
      </c>
      <c r="I212" s="18">
        <v>7569.91</v>
      </c>
      <c r="J212" s="18">
        <v>1908.33</v>
      </c>
      <c r="K212" s="18">
        <v>179</v>
      </c>
      <c r="L212" s="19">
        <f t="shared" ref="L212:L218" si="2">SUM(F212:K212)</f>
        <v>509631.47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123804.02</v>
      </c>
      <c r="G213" s="18">
        <v>59687.56</v>
      </c>
      <c r="H213" s="18">
        <v>19769.169999999998</v>
      </c>
      <c r="I213" s="18">
        <v>15280.14</v>
      </c>
      <c r="J213" s="18">
        <v>43334.57</v>
      </c>
      <c r="K213" s="18">
        <v>291.08</v>
      </c>
      <c r="L213" s="19">
        <f t="shared" si="2"/>
        <v>262166.54000000004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52996.66</v>
      </c>
      <c r="G214" s="18">
        <v>17220.439999999999</v>
      </c>
      <c r="H214" s="18">
        <v>31536.11</v>
      </c>
      <c r="I214" s="18">
        <v>2495.4699999999998</v>
      </c>
      <c r="J214" s="18">
        <v>663.38</v>
      </c>
      <c r="K214" s="18">
        <v>4744.0600000000004</v>
      </c>
      <c r="L214" s="19">
        <f t="shared" si="2"/>
        <v>109656.12000000001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221730.51</v>
      </c>
      <c r="G215" s="18">
        <v>72061.41</v>
      </c>
      <c r="H215" s="18">
        <v>18237.240000000002</v>
      </c>
      <c r="I215" s="18">
        <v>2359.7600000000002</v>
      </c>
      <c r="J215" s="18">
        <v>0</v>
      </c>
      <c r="K215" s="18">
        <v>1370</v>
      </c>
      <c r="L215" s="19">
        <f t="shared" si="2"/>
        <v>315758.92000000004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64845.53</v>
      </c>
      <c r="G216" s="18">
        <v>16046.65</v>
      </c>
      <c r="H216" s="18">
        <v>7433.97</v>
      </c>
      <c r="I216" s="18">
        <v>1055.75</v>
      </c>
      <c r="J216" s="18">
        <v>350.7</v>
      </c>
      <c r="K216" s="18">
        <v>226.51</v>
      </c>
      <c r="L216" s="19">
        <f t="shared" si="2"/>
        <v>89959.109999999986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189406.22</v>
      </c>
      <c r="G217" s="18">
        <v>67456.63</v>
      </c>
      <c r="H217" s="18">
        <v>93009.94</v>
      </c>
      <c r="I217" s="18">
        <v>146642.93</v>
      </c>
      <c r="J217" s="18">
        <v>3110.18</v>
      </c>
      <c r="K217" s="18"/>
      <c r="L217" s="19">
        <f t="shared" si="2"/>
        <v>499625.9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287072.45</v>
      </c>
      <c r="I218" s="18"/>
      <c r="J218" s="18"/>
      <c r="K218" s="18"/>
      <c r="L218" s="19">
        <f t="shared" si="2"/>
        <v>287072.45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3254662.5700000003</v>
      </c>
      <c r="G221" s="41">
        <f>SUM(G207:G220)</f>
        <v>1187344.2099999995</v>
      </c>
      <c r="H221" s="41">
        <f>SUM(H207:H220)</f>
        <v>785710.64999999991</v>
      </c>
      <c r="I221" s="41">
        <f>SUM(I207:I220)</f>
        <v>271958.5</v>
      </c>
      <c r="J221" s="41">
        <f>SUM(J207:J220)</f>
        <v>61611.13</v>
      </c>
      <c r="K221" s="41">
        <f t="shared" si="3"/>
        <v>10250.65</v>
      </c>
      <c r="L221" s="41">
        <f t="shared" si="3"/>
        <v>5571537.7100000009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1843124.46</v>
      </c>
      <c r="G225" s="18">
        <v>695611.84</v>
      </c>
      <c r="H225" s="18">
        <v>3269.69</v>
      </c>
      <c r="I225" s="18">
        <v>68461.240000000005</v>
      </c>
      <c r="J225" s="18">
        <v>8350.7099999999991</v>
      </c>
      <c r="K225" s="18">
        <v>350</v>
      </c>
      <c r="L225" s="19">
        <f>SUM(F225:K225)</f>
        <v>2619167.94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213726.43</v>
      </c>
      <c r="G226" s="18">
        <v>83381.710000000006</v>
      </c>
      <c r="H226" s="18">
        <v>68892.42</v>
      </c>
      <c r="I226" s="18">
        <v>9777.94</v>
      </c>
      <c r="J226" s="18">
        <v>0</v>
      </c>
      <c r="K226" s="18">
        <v>0</v>
      </c>
      <c r="L226" s="19">
        <f>SUM(F226:K226)</f>
        <v>375778.5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25180.799999999999</v>
      </c>
      <c r="G227" s="18">
        <v>1974.76</v>
      </c>
      <c r="H227" s="18">
        <v>132734.87</v>
      </c>
      <c r="I227" s="18">
        <v>0</v>
      </c>
      <c r="J227" s="18">
        <v>0</v>
      </c>
      <c r="K227" s="18">
        <v>0</v>
      </c>
      <c r="L227" s="19">
        <f>SUM(F227:K227)</f>
        <v>159890.43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132355.34</v>
      </c>
      <c r="G228" s="18">
        <v>23629.3</v>
      </c>
      <c r="H228" s="18">
        <v>21142.94</v>
      </c>
      <c r="I228" s="18">
        <v>12656.09</v>
      </c>
      <c r="J228" s="18">
        <v>1267.6199999999999</v>
      </c>
      <c r="K228" s="18">
        <v>10487</v>
      </c>
      <c r="L228" s="19">
        <f>SUM(F228:K228)</f>
        <v>201538.28999999998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261390.44</v>
      </c>
      <c r="G230" s="18">
        <f>3.01+97684.04</f>
        <v>97687.049999999988</v>
      </c>
      <c r="H230" s="18">
        <v>24722.81</v>
      </c>
      <c r="I230" s="18">
        <v>5460.76</v>
      </c>
      <c r="J230" s="18">
        <v>0</v>
      </c>
      <c r="K230" s="18">
        <v>150</v>
      </c>
      <c r="L230" s="19">
        <f t="shared" ref="L230:L236" si="4">SUM(F230:K230)</f>
        <v>389411.06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120665.88</v>
      </c>
      <c r="G231" s="18">
        <v>59824.28</v>
      </c>
      <c r="H231" s="18">
        <v>20397.36</v>
      </c>
      <c r="I231" s="18">
        <v>18803.95</v>
      </c>
      <c r="J231" s="18">
        <v>12746.66</v>
      </c>
      <c r="K231" s="18">
        <v>302.64999999999998</v>
      </c>
      <c r="L231" s="19">
        <f t="shared" si="4"/>
        <v>232740.78000000003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55104.480000000003</v>
      </c>
      <c r="G232" s="18">
        <v>17905.36</v>
      </c>
      <c r="H232" s="18">
        <v>32790.379999999997</v>
      </c>
      <c r="I232" s="18">
        <v>2594.7199999999998</v>
      </c>
      <c r="J232" s="18">
        <v>689.76</v>
      </c>
      <c r="K232" s="18">
        <v>4932.75</v>
      </c>
      <c r="L232" s="19">
        <f t="shared" si="4"/>
        <v>114017.45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241465.84</v>
      </c>
      <c r="G233" s="18">
        <v>78503.649999999994</v>
      </c>
      <c r="H233" s="18">
        <v>17455.759999999998</v>
      </c>
      <c r="I233" s="18">
        <v>3173.26</v>
      </c>
      <c r="J233" s="18">
        <v>0</v>
      </c>
      <c r="K233" s="18">
        <v>8294.9599999999991</v>
      </c>
      <c r="L233" s="19">
        <f t="shared" si="4"/>
        <v>348893.47000000003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67424.61</v>
      </c>
      <c r="G234" s="18">
        <v>16684.87</v>
      </c>
      <c r="H234" s="18">
        <v>7729.64</v>
      </c>
      <c r="I234" s="18">
        <v>1097.74</v>
      </c>
      <c r="J234" s="18">
        <v>364.65</v>
      </c>
      <c r="K234" s="18">
        <v>235.52</v>
      </c>
      <c r="L234" s="19">
        <f t="shared" si="4"/>
        <v>93537.03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150085.10999999999</v>
      </c>
      <c r="G235" s="18">
        <v>53448.85</v>
      </c>
      <c r="H235" s="18">
        <v>96169.04</v>
      </c>
      <c r="I235" s="18">
        <v>152475.32</v>
      </c>
      <c r="J235" s="18">
        <v>3233.88</v>
      </c>
      <c r="K235" s="18"/>
      <c r="L235" s="19">
        <f t="shared" si="4"/>
        <v>455412.2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267176.49</v>
      </c>
      <c r="I236" s="18"/>
      <c r="J236" s="18"/>
      <c r="K236" s="18"/>
      <c r="L236" s="19">
        <f t="shared" si="4"/>
        <v>267176.49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3110523.3899999992</v>
      </c>
      <c r="G239" s="41">
        <f t="shared" si="5"/>
        <v>1128651.6700000002</v>
      </c>
      <c r="H239" s="41">
        <f t="shared" si="5"/>
        <v>692481.39999999991</v>
      </c>
      <c r="I239" s="41">
        <f t="shared" si="5"/>
        <v>274501.02</v>
      </c>
      <c r="J239" s="41">
        <f t="shared" si="5"/>
        <v>26653.279999999999</v>
      </c>
      <c r="K239" s="41">
        <f t="shared" si="5"/>
        <v>24752.880000000001</v>
      </c>
      <c r="L239" s="41">
        <f t="shared" si="5"/>
        <v>5257563.6400000006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>
        <v>6679.55</v>
      </c>
      <c r="G245" s="18">
        <v>1664.81</v>
      </c>
      <c r="H245" s="18">
        <v>0</v>
      </c>
      <c r="I245" s="18">
        <v>804.41</v>
      </c>
      <c r="J245" s="18">
        <v>0</v>
      </c>
      <c r="K245" s="18">
        <v>0</v>
      </c>
      <c r="L245" s="19">
        <f t="shared" si="6"/>
        <v>9148.77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130383</v>
      </c>
      <c r="I247" s="18"/>
      <c r="J247" s="18"/>
      <c r="K247" s="18"/>
      <c r="L247" s="19">
        <f t="shared" si="6"/>
        <v>130383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6679.55</v>
      </c>
      <c r="G248" s="41">
        <f t="shared" si="7"/>
        <v>1664.81</v>
      </c>
      <c r="H248" s="41">
        <f t="shared" si="7"/>
        <v>130383</v>
      </c>
      <c r="I248" s="41">
        <f t="shared" si="7"/>
        <v>804.41</v>
      </c>
      <c r="J248" s="41">
        <f t="shared" si="7"/>
        <v>0</v>
      </c>
      <c r="K248" s="41">
        <f t="shared" si="7"/>
        <v>0</v>
      </c>
      <c r="L248" s="41">
        <f>SUM(F248:K248)</f>
        <v>139531.76999999999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10079035.029999999</v>
      </c>
      <c r="G249" s="41">
        <f t="shared" si="8"/>
        <v>3685435.8799999994</v>
      </c>
      <c r="H249" s="41">
        <f t="shared" si="8"/>
        <v>2338664.75</v>
      </c>
      <c r="I249" s="41">
        <f t="shared" si="8"/>
        <v>857745.37</v>
      </c>
      <c r="J249" s="41">
        <f t="shared" si="8"/>
        <v>119797</v>
      </c>
      <c r="K249" s="41">
        <f t="shared" si="8"/>
        <v>43204.7</v>
      </c>
      <c r="L249" s="41">
        <f t="shared" si="8"/>
        <v>17123882.73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500000</v>
      </c>
      <c r="L252" s="19">
        <f>SUM(F252:K252)</f>
        <v>500000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59875</v>
      </c>
      <c r="L253" s="19">
        <f>SUM(F253:K253)</f>
        <v>59875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29708.75</v>
      </c>
      <c r="L255" s="19">
        <f>SUM(F255:K255)</f>
        <v>29708.75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200000</v>
      </c>
      <c r="L258" s="19">
        <f t="shared" si="9"/>
        <v>200000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789583.75</v>
      </c>
      <c r="L262" s="41">
        <f t="shared" si="9"/>
        <v>789583.75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10079035.029999999</v>
      </c>
      <c r="G263" s="42">
        <f t="shared" si="11"/>
        <v>3685435.8799999994</v>
      </c>
      <c r="H263" s="42">
        <f t="shared" si="11"/>
        <v>2338664.75</v>
      </c>
      <c r="I263" s="42">
        <f t="shared" si="11"/>
        <v>857745.37</v>
      </c>
      <c r="J263" s="42">
        <f t="shared" si="11"/>
        <v>119797</v>
      </c>
      <c r="K263" s="42">
        <f t="shared" si="11"/>
        <v>832788.45</v>
      </c>
      <c r="L263" s="42">
        <f t="shared" si="11"/>
        <v>17913466.48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75</v>
      </c>
      <c r="G268" s="18">
        <v>6</v>
      </c>
      <c r="H268" s="18"/>
      <c r="I268" s="18">
        <v>1726.3</v>
      </c>
      <c r="J268" s="18"/>
      <c r="K268" s="18"/>
      <c r="L268" s="19">
        <f>SUM(F268:K268)</f>
        <v>1807.3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168414.47</v>
      </c>
      <c r="G269" s="18">
        <v>78880.08</v>
      </c>
      <c r="H269" s="18"/>
      <c r="I269" s="18">
        <v>10942.52</v>
      </c>
      <c r="J269" s="18">
        <v>31511.97</v>
      </c>
      <c r="K269" s="18"/>
      <c r="L269" s="19">
        <f>SUM(F269:K269)</f>
        <v>289749.03999999998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9000</v>
      </c>
      <c r="G271" s="18">
        <f>868.98</f>
        <v>868.98</v>
      </c>
      <c r="H271" s="18"/>
      <c r="I271" s="18"/>
      <c r="J271" s="18"/>
      <c r="K271" s="18"/>
      <c r="L271" s="19">
        <f>SUM(F271:K271)</f>
        <v>9868.98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57641.83</v>
      </c>
      <c r="G273" s="18">
        <v>15824.69</v>
      </c>
      <c r="H273" s="18"/>
      <c r="I273" s="18">
        <v>534</v>
      </c>
      <c r="J273" s="18"/>
      <c r="K273" s="18"/>
      <c r="L273" s="19">
        <f t="shared" ref="L273:L279" si="12">SUM(F273:K273)</f>
        <v>74000.52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10702.45</v>
      </c>
      <c r="G274" s="18">
        <v>1711.91</v>
      </c>
      <c r="H274" s="18">
        <v>13043.18</v>
      </c>
      <c r="I274" s="18">
        <v>237.7</v>
      </c>
      <c r="J274" s="18">
        <v>2844.48</v>
      </c>
      <c r="K274" s="18"/>
      <c r="L274" s="19">
        <f t="shared" si="12"/>
        <v>28539.72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7241.58</v>
      </c>
      <c r="G278" s="18">
        <v>735.55</v>
      </c>
      <c r="H278" s="18"/>
      <c r="I278" s="18"/>
      <c r="J278" s="18"/>
      <c r="K278" s="18"/>
      <c r="L278" s="19">
        <f t="shared" si="12"/>
        <v>7977.13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6500</v>
      </c>
      <c r="I279" s="18"/>
      <c r="J279" s="18"/>
      <c r="K279" s="18"/>
      <c r="L279" s="19">
        <f t="shared" si="12"/>
        <v>6500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253075.33</v>
      </c>
      <c r="G282" s="42">
        <f t="shared" si="13"/>
        <v>98027.21</v>
      </c>
      <c r="H282" s="42">
        <f t="shared" si="13"/>
        <v>19543.18</v>
      </c>
      <c r="I282" s="42">
        <f t="shared" si="13"/>
        <v>13440.52</v>
      </c>
      <c r="J282" s="42">
        <f t="shared" si="13"/>
        <v>34356.450000000004</v>
      </c>
      <c r="K282" s="42">
        <f t="shared" si="13"/>
        <v>0</v>
      </c>
      <c r="L282" s="41">
        <f t="shared" si="13"/>
        <v>418442.68999999994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59733</v>
      </c>
      <c r="G287" s="18">
        <v>9843.34</v>
      </c>
      <c r="H287" s="18"/>
      <c r="I287" s="18"/>
      <c r="J287" s="18"/>
      <c r="K287" s="18"/>
      <c r="L287" s="19">
        <f>SUM(F287:K287)</f>
        <v>69576.34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166081.07999999999</v>
      </c>
      <c r="G288" s="18">
        <v>99411.12</v>
      </c>
      <c r="H288" s="18">
        <v>599.72</v>
      </c>
      <c r="I288" s="18">
        <v>3897.08</v>
      </c>
      <c r="J288" s="18">
        <v>29529.16</v>
      </c>
      <c r="K288" s="18"/>
      <c r="L288" s="19">
        <f>SUM(F288:K288)</f>
        <v>299518.15999999992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8805</v>
      </c>
      <c r="G290" s="18">
        <f>1448.92</f>
        <v>1448.92</v>
      </c>
      <c r="H290" s="18"/>
      <c r="I290" s="18"/>
      <c r="J290" s="18"/>
      <c r="K290" s="18"/>
      <c r="L290" s="19">
        <f>SUM(F290:K290)</f>
        <v>10253.92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42130.37</v>
      </c>
      <c r="G292" s="18">
        <v>13438.38</v>
      </c>
      <c r="H292" s="18"/>
      <c r="I292" s="18">
        <v>534</v>
      </c>
      <c r="J292" s="18"/>
      <c r="K292" s="18"/>
      <c r="L292" s="19">
        <f t="shared" ref="L292:L298" si="14">SUM(F292:K292)</f>
        <v>56102.75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9583.2000000000007</v>
      </c>
      <c r="G293" s="18">
        <v>1532.86</v>
      </c>
      <c r="H293" s="18">
        <v>54482.75</v>
      </c>
      <c r="I293" s="18">
        <v>145.68</v>
      </c>
      <c r="J293" s="18">
        <v>2547.0100000000002</v>
      </c>
      <c r="K293" s="18"/>
      <c r="L293" s="19">
        <f t="shared" si="14"/>
        <v>68291.499999999985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286332.65000000002</v>
      </c>
      <c r="G301" s="42">
        <f t="shared" si="15"/>
        <v>125674.62</v>
      </c>
      <c r="H301" s="42">
        <f t="shared" si="15"/>
        <v>55082.47</v>
      </c>
      <c r="I301" s="42">
        <f t="shared" si="15"/>
        <v>4576.76</v>
      </c>
      <c r="J301" s="42">
        <f t="shared" si="15"/>
        <v>32076.17</v>
      </c>
      <c r="K301" s="42">
        <f t="shared" si="15"/>
        <v>0</v>
      </c>
      <c r="L301" s="41">
        <f t="shared" si="15"/>
        <v>503742.66999999987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2916.3</v>
      </c>
      <c r="G306" s="18">
        <v>488.68</v>
      </c>
      <c r="H306" s="18"/>
      <c r="I306" s="18"/>
      <c r="J306" s="18">
        <v>1486.96</v>
      </c>
      <c r="K306" s="18"/>
      <c r="L306" s="19">
        <f>SUM(F306:K306)</f>
        <v>4891.9400000000005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>
        <v>3557</v>
      </c>
      <c r="I307" s="18">
        <v>11239.59</v>
      </c>
      <c r="J307" s="18">
        <v>18905.099999999999</v>
      </c>
      <c r="K307" s="18"/>
      <c r="L307" s="19">
        <f>SUM(F307:K307)</f>
        <v>33701.69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7431.23</v>
      </c>
      <c r="G309" s="18">
        <f>892.97</f>
        <v>892.97</v>
      </c>
      <c r="H309" s="18">
        <v>15015.44</v>
      </c>
      <c r="I309" s="18"/>
      <c r="J309" s="18"/>
      <c r="K309" s="18">
        <v>500.57</v>
      </c>
      <c r="L309" s="19">
        <f>SUM(F309:K309)</f>
        <v>23840.21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43806.02</v>
      </c>
      <c r="G311" s="18">
        <v>13972.87</v>
      </c>
      <c r="H311" s="18"/>
      <c r="I311" s="18"/>
      <c r="J311" s="18"/>
      <c r="K311" s="18"/>
      <c r="L311" s="19">
        <f t="shared" ref="L311:L317" si="16">SUM(F311:K311)</f>
        <v>57778.89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9964.35</v>
      </c>
      <c r="G312" s="18">
        <v>1593.84</v>
      </c>
      <c r="H312" s="18">
        <v>9307.7099999999991</v>
      </c>
      <c r="I312" s="18">
        <v>151.47999999999999</v>
      </c>
      <c r="J312" s="18">
        <v>2648.31</v>
      </c>
      <c r="K312" s="18"/>
      <c r="L312" s="19">
        <f t="shared" si="16"/>
        <v>23665.690000000002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v>2758.25</v>
      </c>
      <c r="I317" s="18"/>
      <c r="J317" s="18"/>
      <c r="K317" s="18"/>
      <c r="L317" s="19">
        <f t="shared" si="16"/>
        <v>2758.25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64117.899999999994</v>
      </c>
      <c r="G320" s="42">
        <f t="shared" si="17"/>
        <v>16948.36</v>
      </c>
      <c r="H320" s="42">
        <f t="shared" si="17"/>
        <v>30638.400000000001</v>
      </c>
      <c r="I320" s="42">
        <f t="shared" si="17"/>
        <v>11391.07</v>
      </c>
      <c r="J320" s="42">
        <f t="shared" si="17"/>
        <v>23040.37</v>
      </c>
      <c r="K320" s="42">
        <f t="shared" si="17"/>
        <v>500.57</v>
      </c>
      <c r="L320" s="41">
        <f t="shared" si="17"/>
        <v>146636.67000000001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151130.93</v>
      </c>
      <c r="I328" s="18"/>
      <c r="J328" s="18"/>
      <c r="K328" s="18"/>
      <c r="L328" s="19">
        <f t="shared" si="18"/>
        <v>151130.93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151130.93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151130.93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603525.88</v>
      </c>
      <c r="G330" s="41">
        <f t="shared" si="20"/>
        <v>240650.19</v>
      </c>
      <c r="H330" s="41">
        <f t="shared" si="20"/>
        <v>256394.97999999998</v>
      </c>
      <c r="I330" s="41">
        <f t="shared" si="20"/>
        <v>29408.35</v>
      </c>
      <c r="J330" s="41">
        <f t="shared" si="20"/>
        <v>89472.989999999991</v>
      </c>
      <c r="K330" s="41">
        <f t="shared" si="20"/>
        <v>500.57</v>
      </c>
      <c r="L330" s="41">
        <f t="shared" si="20"/>
        <v>1219952.9599999997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603525.88</v>
      </c>
      <c r="G344" s="41">
        <f>G330</f>
        <v>240650.19</v>
      </c>
      <c r="H344" s="41">
        <f>H330</f>
        <v>256394.97999999998</v>
      </c>
      <c r="I344" s="41">
        <f>I330</f>
        <v>29408.35</v>
      </c>
      <c r="J344" s="41">
        <f>J330</f>
        <v>89472.989999999991</v>
      </c>
      <c r="K344" s="47">
        <f>K330+K343</f>
        <v>500.57</v>
      </c>
      <c r="L344" s="41">
        <f>L330+L343</f>
        <v>1219952.9599999997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90713.58</v>
      </c>
      <c r="G350" s="18">
        <v>41598.58</v>
      </c>
      <c r="H350" s="18">
        <v>3912.13</v>
      </c>
      <c r="I350" s="18">
        <v>78648.59</v>
      </c>
      <c r="J350" s="18"/>
      <c r="K350" s="18"/>
      <c r="L350" s="13">
        <f>SUM(F350:K350)</f>
        <v>214872.88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78882.94</v>
      </c>
      <c r="G351" s="18">
        <v>36453.199999999997</v>
      </c>
      <c r="H351" s="18">
        <v>3643.25</v>
      </c>
      <c r="I351" s="18">
        <v>64451.42</v>
      </c>
      <c r="J351" s="18"/>
      <c r="K351" s="18"/>
      <c r="L351" s="19">
        <f>SUM(F351:K351)</f>
        <v>183430.81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66681.58</v>
      </c>
      <c r="G352" s="18">
        <v>31295.55</v>
      </c>
      <c r="H352" s="18">
        <v>3404.84</v>
      </c>
      <c r="I352" s="18">
        <v>100385.09</v>
      </c>
      <c r="J352" s="18"/>
      <c r="K352" s="18"/>
      <c r="L352" s="19">
        <f>SUM(F352:K352)</f>
        <v>201767.06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236278.10000000003</v>
      </c>
      <c r="G354" s="47">
        <f t="shared" si="22"/>
        <v>109347.33</v>
      </c>
      <c r="H354" s="47">
        <f t="shared" si="22"/>
        <v>10960.220000000001</v>
      </c>
      <c r="I354" s="47">
        <f t="shared" si="22"/>
        <v>243485.1</v>
      </c>
      <c r="J354" s="47">
        <f t="shared" si="22"/>
        <v>0</v>
      </c>
      <c r="K354" s="47">
        <f t="shared" si="22"/>
        <v>0</v>
      </c>
      <c r="L354" s="47">
        <f t="shared" si="22"/>
        <v>600070.75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65549.23</v>
      </c>
      <c r="G359" s="18">
        <v>59075.360000000001</v>
      </c>
      <c r="H359" s="18">
        <v>92809.21</v>
      </c>
      <c r="I359" s="56">
        <f>SUM(F359:H359)</f>
        <v>217433.8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13099.36</v>
      </c>
      <c r="G360" s="63">
        <v>5376.06</v>
      </c>
      <c r="H360" s="63">
        <v>7575.88</v>
      </c>
      <c r="I360" s="56">
        <f>SUM(F360:H360)</f>
        <v>26051.300000000003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78648.59</v>
      </c>
      <c r="G361" s="47">
        <f>SUM(G359:G360)</f>
        <v>64451.42</v>
      </c>
      <c r="H361" s="47">
        <f>SUM(H359:H360)</f>
        <v>100385.09000000001</v>
      </c>
      <c r="I361" s="47">
        <f>SUM(I359:I360)</f>
        <v>243485.09999999998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>
        <v>178.04</v>
      </c>
      <c r="I379" s="18"/>
      <c r="J379" s="24" t="s">
        <v>312</v>
      </c>
      <c r="K379" s="24" t="s">
        <v>312</v>
      </c>
      <c r="L379" s="56">
        <f t="shared" ref="L379:L384" si="25">SUM(F379:K379)</f>
        <v>178.04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178.04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178.04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75000</v>
      </c>
      <c r="H388" s="18">
        <v>295.81</v>
      </c>
      <c r="I388" s="18"/>
      <c r="J388" s="24" t="s">
        <v>312</v>
      </c>
      <c r="K388" s="24" t="s">
        <v>312</v>
      </c>
      <c r="L388" s="56">
        <f t="shared" si="26"/>
        <v>75295.81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302.02</v>
      </c>
      <c r="I389" s="18"/>
      <c r="J389" s="24" t="s">
        <v>312</v>
      </c>
      <c r="K389" s="24" t="s">
        <v>312</v>
      </c>
      <c r="L389" s="56">
        <f t="shared" si="26"/>
        <v>302.02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25000</v>
      </c>
      <c r="H391" s="18">
        <v>17.77</v>
      </c>
      <c r="I391" s="18"/>
      <c r="J391" s="24" t="s">
        <v>312</v>
      </c>
      <c r="K391" s="24" t="s">
        <v>312</v>
      </c>
      <c r="L391" s="56">
        <f t="shared" si="26"/>
        <v>25017.77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100000</v>
      </c>
      <c r="H392" s="18">
        <v>152.69</v>
      </c>
      <c r="I392" s="18"/>
      <c r="J392" s="24" t="s">
        <v>312</v>
      </c>
      <c r="K392" s="24" t="s">
        <v>312</v>
      </c>
      <c r="L392" s="56">
        <f t="shared" si="26"/>
        <v>100152.69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200000</v>
      </c>
      <c r="H393" s="47">
        <f>SUM(H387:H392)</f>
        <v>768.29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200768.29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200000</v>
      </c>
      <c r="H400" s="47">
        <f>H385+H393+H399</f>
        <v>946.32999999999993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200946.33000000002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210758.56</v>
      </c>
      <c r="I414" s="18"/>
      <c r="J414" s="18"/>
      <c r="K414" s="18"/>
      <c r="L414" s="56">
        <f t="shared" si="29"/>
        <v>210758.56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>
        <v>90000</v>
      </c>
      <c r="L415" s="56">
        <f t="shared" si="29"/>
        <v>90000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210758.56</v>
      </c>
      <c r="I419" s="47">
        <f t="shared" si="30"/>
        <v>0</v>
      </c>
      <c r="J419" s="47">
        <f t="shared" si="30"/>
        <v>0</v>
      </c>
      <c r="K419" s="47">
        <f t="shared" si="30"/>
        <v>90000</v>
      </c>
      <c r="L419" s="47">
        <f t="shared" si="30"/>
        <v>300758.56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210758.56</v>
      </c>
      <c r="I426" s="47">
        <f t="shared" si="32"/>
        <v>0</v>
      </c>
      <c r="J426" s="47">
        <f t="shared" si="32"/>
        <v>0</v>
      </c>
      <c r="K426" s="47">
        <f t="shared" si="32"/>
        <v>90000</v>
      </c>
      <c r="L426" s="47">
        <f t="shared" si="32"/>
        <v>300758.56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119772.89</v>
      </c>
      <c r="G431" s="18">
        <v>411162.2</v>
      </c>
      <c r="H431" s="18"/>
      <c r="I431" s="56">
        <f t="shared" ref="I431:I437" si="33">SUM(F431:H431)</f>
        <v>530935.09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119772.89</v>
      </c>
      <c r="G438" s="13">
        <f>SUM(G431:G437)</f>
        <v>411162.2</v>
      </c>
      <c r="H438" s="13">
        <f>SUM(H431:H437)</f>
        <v>0</v>
      </c>
      <c r="I438" s="13">
        <f>SUM(I431:I437)</f>
        <v>530935.09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119772.89</v>
      </c>
      <c r="G449" s="18">
        <v>411162.2</v>
      </c>
      <c r="H449" s="18"/>
      <c r="I449" s="56">
        <f>SUM(F449:H449)</f>
        <v>530935.09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119772.89</v>
      </c>
      <c r="G450" s="83">
        <f>SUM(G446:G449)</f>
        <v>411162.2</v>
      </c>
      <c r="H450" s="83">
        <f>SUM(H446:H449)</f>
        <v>0</v>
      </c>
      <c r="I450" s="83">
        <f>SUM(I446:I449)</f>
        <v>530935.09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119772.89</v>
      </c>
      <c r="G451" s="42">
        <f>G444+G450</f>
        <v>411162.2</v>
      </c>
      <c r="H451" s="42">
        <f>H444+H450</f>
        <v>0</v>
      </c>
      <c r="I451" s="42">
        <f>I444+I450</f>
        <v>530935.09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534695.32999999996</v>
      </c>
      <c r="G455" s="18">
        <v>0</v>
      </c>
      <c r="H455" s="18"/>
      <c r="I455" s="18"/>
      <c r="J455" s="18">
        <v>630747.31999999995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17814622.48</v>
      </c>
      <c r="G458" s="18">
        <v>600070.75</v>
      </c>
      <c r="H458" s="18">
        <v>1219952.96</v>
      </c>
      <c r="I458" s="18"/>
      <c r="J458" s="18">
        <v>200946.33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0.93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17814623.41</v>
      </c>
      <c r="G460" s="53">
        <f>SUM(G458:G459)</f>
        <v>600070.75</v>
      </c>
      <c r="H460" s="53">
        <f>SUM(H458:H459)</f>
        <v>1219952.96</v>
      </c>
      <c r="I460" s="53">
        <f>SUM(I458:I459)</f>
        <v>0</v>
      </c>
      <c r="J460" s="53">
        <f>SUM(J458:J459)</f>
        <v>200946.33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17913466.48</v>
      </c>
      <c r="G462" s="18">
        <v>600070.75</v>
      </c>
      <c r="H462" s="18">
        <v>1219952.96</v>
      </c>
      <c r="I462" s="18"/>
      <c r="J462" s="18">
        <v>300758.56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0.28000000000000003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17913466.760000002</v>
      </c>
      <c r="G464" s="53">
        <f>SUM(G462:G463)</f>
        <v>600070.75</v>
      </c>
      <c r="H464" s="53">
        <f>SUM(H462:H463)</f>
        <v>1219952.96</v>
      </c>
      <c r="I464" s="53">
        <f>SUM(I462:I463)</f>
        <v>0</v>
      </c>
      <c r="J464" s="53">
        <f>SUM(J462:J463)</f>
        <v>300758.56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435851.97999999672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530935.08999999985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7500000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1500000</v>
      </c>
      <c r="G485" s="18"/>
      <c r="H485" s="18"/>
      <c r="I485" s="18"/>
      <c r="J485" s="18"/>
      <c r="K485" s="53">
        <f>SUM(F485:J485)</f>
        <v>1500000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500000</v>
      </c>
      <c r="G487" s="18"/>
      <c r="H487" s="18"/>
      <c r="I487" s="18"/>
      <c r="J487" s="18"/>
      <c r="K487" s="53">
        <f t="shared" si="34"/>
        <v>500000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1000000</v>
      </c>
      <c r="G488" s="205"/>
      <c r="H488" s="205"/>
      <c r="I488" s="205"/>
      <c r="J488" s="205"/>
      <c r="K488" s="206">
        <f t="shared" si="34"/>
        <v>1000000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48000</v>
      </c>
      <c r="G489" s="18"/>
      <c r="H489" s="18"/>
      <c r="I489" s="18"/>
      <c r="J489" s="18"/>
      <c r="K489" s="53">
        <f t="shared" si="34"/>
        <v>48000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1048000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1048000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500000</v>
      </c>
      <c r="G491" s="205"/>
      <c r="H491" s="205"/>
      <c r="I491" s="205"/>
      <c r="J491" s="205"/>
      <c r="K491" s="206">
        <f t="shared" si="34"/>
        <v>500000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36000</v>
      </c>
      <c r="G492" s="18"/>
      <c r="H492" s="18"/>
      <c r="I492" s="18"/>
      <c r="J492" s="18"/>
      <c r="K492" s="53">
        <f t="shared" si="34"/>
        <v>36000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536000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536000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399399.64</v>
      </c>
      <c r="G511" s="18">
        <v>166283.13</v>
      </c>
      <c r="H511" s="18">
        <v>66422.31</v>
      </c>
      <c r="I511" s="18">
        <v>6719.92</v>
      </c>
      <c r="J511" s="18">
        <v>20477.93</v>
      </c>
      <c r="K511" s="18"/>
      <c r="L511" s="88">
        <f>SUM(F511:K511)</f>
        <v>659302.93000000017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404095.37</v>
      </c>
      <c r="G512" s="18">
        <v>178092.51</v>
      </c>
      <c r="H512" s="18">
        <v>270887.61</v>
      </c>
      <c r="I512" s="18">
        <v>5855.21</v>
      </c>
      <c r="J512" s="18">
        <v>20594.3</v>
      </c>
      <c r="K512" s="18"/>
      <c r="L512" s="88">
        <f>SUM(F512:K512)</f>
        <v>879525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211710.95</v>
      </c>
      <c r="G513" s="18">
        <v>82944.41</v>
      </c>
      <c r="H513" s="18">
        <v>49795.59</v>
      </c>
      <c r="I513" s="18">
        <v>4971.6000000000004</v>
      </c>
      <c r="J513" s="18">
        <v>18905.099999999999</v>
      </c>
      <c r="K513" s="18"/>
      <c r="L513" s="88">
        <f>SUM(F513:K513)</f>
        <v>368327.64999999991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1015205.96</v>
      </c>
      <c r="G514" s="108">
        <f t="shared" ref="G514:L514" si="35">SUM(G511:G513)</f>
        <v>427320.05000000005</v>
      </c>
      <c r="H514" s="108">
        <f t="shared" si="35"/>
        <v>387105.51</v>
      </c>
      <c r="I514" s="108">
        <f t="shared" si="35"/>
        <v>17546.730000000003</v>
      </c>
      <c r="J514" s="108">
        <f t="shared" si="35"/>
        <v>59977.329999999994</v>
      </c>
      <c r="K514" s="108">
        <f t="shared" si="35"/>
        <v>0</v>
      </c>
      <c r="L514" s="89">
        <f t="shared" si="35"/>
        <v>1907155.58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115819.85</v>
      </c>
      <c r="G516" s="18">
        <v>36596.43</v>
      </c>
      <c r="H516" s="18">
        <v>1281.8</v>
      </c>
      <c r="I516" s="18">
        <v>2801.18</v>
      </c>
      <c r="J516" s="18"/>
      <c r="K516" s="18"/>
      <c r="L516" s="88">
        <f>SUM(F516:K516)</f>
        <v>156499.25999999998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103707.54</v>
      </c>
      <c r="G517" s="18">
        <v>32769.22</v>
      </c>
      <c r="H517" s="18">
        <v>1147.75</v>
      </c>
      <c r="I517" s="18">
        <v>2508.2399999999998</v>
      </c>
      <c r="J517" s="18"/>
      <c r="K517" s="18"/>
      <c r="L517" s="88">
        <f>SUM(F517:K517)</f>
        <v>140132.75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107832.28</v>
      </c>
      <c r="G518" s="18">
        <v>34072.550000000003</v>
      </c>
      <c r="H518" s="18">
        <v>1193.4000000000001</v>
      </c>
      <c r="I518" s="18">
        <v>2607.9899999999998</v>
      </c>
      <c r="J518" s="18"/>
      <c r="K518" s="18"/>
      <c r="L518" s="88">
        <f>SUM(F518:K518)</f>
        <v>145706.22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327359.67000000004</v>
      </c>
      <c r="G519" s="89">
        <f t="shared" ref="G519:L519" si="36">SUM(G516:G518)</f>
        <v>103438.2</v>
      </c>
      <c r="H519" s="89">
        <f t="shared" si="36"/>
        <v>3622.9500000000003</v>
      </c>
      <c r="I519" s="89">
        <f t="shared" si="36"/>
        <v>7917.41</v>
      </c>
      <c r="J519" s="89">
        <f t="shared" si="36"/>
        <v>0</v>
      </c>
      <c r="K519" s="89">
        <f t="shared" si="36"/>
        <v>0</v>
      </c>
      <c r="L519" s="89">
        <f t="shared" si="36"/>
        <v>442338.23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31858.35</v>
      </c>
      <c r="G521" s="18">
        <v>15299.16</v>
      </c>
      <c r="H521" s="18">
        <v>57646.92</v>
      </c>
      <c r="I521" s="18">
        <v>644.34</v>
      </c>
      <c r="J521" s="18"/>
      <c r="K521" s="18"/>
      <c r="L521" s="88">
        <f>SUM(F521:K521)</f>
        <v>105448.76999999999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28526.639999999999</v>
      </c>
      <c r="G522" s="18">
        <v>13699.19</v>
      </c>
      <c r="H522" s="18">
        <v>32641.98</v>
      </c>
      <c r="I522" s="18">
        <v>632.79999999999995</v>
      </c>
      <c r="J522" s="18"/>
      <c r="K522" s="18"/>
      <c r="L522" s="88">
        <f>SUM(F522:K522)</f>
        <v>75500.61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29661.22</v>
      </c>
      <c r="G523" s="18">
        <v>14244.04</v>
      </c>
      <c r="H523" s="18">
        <v>5507.43</v>
      </c>
      <c r="I523" s="18">
        <v>102.73</v>
      </c>
      <c r="J523" s="18"/>
      <c r="K523" s="18"/>
      <c r="L523" s="88">
        <f>SUM(F523:K523)</f>
        <v>49515.420000000006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90046.209999999992</v>
      </c>
      <c r="G524" s="89">
        <f t="shared" ref="G524:L524" si="37">SUM(G521:G523)</f>
        <v>43242.39</v>
      </c>
      <c r="H524" s="89">
        <f t="shared" si="37"/>
        <v>95796.329999999987</v>
      </c>
      <c r="I524" s="89">
        <f t="shared" si="37"/>
        <v>1379.87</v>
      </c>
      <c r="J524" s="89">
        <f t="shared" si="37"/>
        <v>0</v>
      </c>
      <c r="K524" s="89">
        <f t="shared" si="37"/>
        <v>0</v>
      </c>
      <c r="L524" s="89">
        <f t="shared" si="37"/>
        <v>230464.80000000002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53.78</v>
      </c>
      <c r="I526" s="18"/>
      <c r="J526" s="18"/>
      <c r="K526" s="18"/>
      <c r="L526" s="88">
        <f>SUM(F526:K526)</f>
        <v>53.78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48.15</v>
      </c>
      <c r="I527" s="18"/>
      <c r="J527" s="18"/>
      <c r="K527" s="18"/>
      <c r="L527" s="88">
        <f>SUM(F527:K527)</f>
        <v>48.15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50.07</v>
      </c>
      <c r="I528" s="18"/>
      <c r="J528" s="18"/>
      <c r="K528" s="18"/>
      <c r="L528" s="88">
        <f>SUM(F528:K528)</f>
        <v>50.07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152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152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94518.63</v>
      </c>
      <c r="I531" s="18"/>
      <c r="J531" s="18"/>
      <c r="K531" s="18"/>
      <c r="L531" s="88">
        <f>SUM(F531:K531)</f>
        <v>94518.63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42768.84</v>
      </c>
      <c r="I532" s="18"/>
      <c r="J532" s="18"/>
      <c r="K532" s="18"/>
      <c r="L532" s="88">
        <f>SUM(F532:K532)</f>
        <v>42768.84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39183.519999999997</v>
      </c>
      <c r="I533" s="18"/>
      <c r="J533" s="18"/>
      <c r="K533" s="18"/>
      <c r="L533" s="88">
        <f>SUM(F533:K533)</f>
        <v>39183.519999999997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176470.99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176470.99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1432611.8399999999</v>
      </c>
      <c r="G535" s="89">
        <f t="shared" ref="G535:L535" si="40">G514+G519+G524+G529+G534</f>
        <v>574000.64000000001</v>
      </c>
      <c r="H535" s="89">
        <f t="shared" si="40"/>
        <v>663147.78</v>
      </c>
      <c r="I535" s="89">
        <f t="shared" si="40"/>
        <v>26844.010000000002</v>
      </c>
      <c r="J535" s="89">
        <f t="shared" si="40"/>
        <v>59977.329999999994</v>
      </c>
      <c r="K535" s="89">
        <f t="shared" si="40"/>
        <v>0</v>
      </c>
      <c r="L535" s="89">
        <f t="shared" si="40"/>
        <v>2756581.5999999996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659302.93000000017</v>
      </c>
      <c r="G539" s="87">
        <f>L516</f>
        <v>156499.25999999998</v>
      </c>
      <c r="H539" s="87">
        <f>L521</f>
        <v>105448.76999999999</v>
      </c>
      <c r="I539" s="87">
        <f>L526</f>
        <v>53.78</v>
      </c>
      <c r="J539" s="87">
        <f>L531</f>
        <v>94518.63</v>
      </c>
      <c r="K539" s="87">
        <f>SUM(F539:J539)</f>
        <v>1015823.3700000002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879525</v>
      </c>
      <c r="G540" s="87">
        <f>L517</f>
        <v>140132.75</v>
      </c>
      <c r="H540" s="87">
        <f>L522</f>
        <v>75500.61</v>
      </c>
      <c r="I540" s="87">
        <f>L527</f>
        <v>48.15</v>
      </c>
      <c r="J540" s="87">
        <f>L532</f>
        <v>42768.84</v>
      </c>
      <c r="K540" s="87">
        <f>SUM(F540:J540)</f>
        <v>1137975.3500000001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368327.64999999991</v>
      </c>
      <c r="G541" s="87">
        <f>L518</f>
        <v>145706.22</v>
      </c>
      <c r="H541" s="87">
        <f>L523</f>
        <v>49515.420000000006</v>
      </c>
      <c r="I541" s="87">
        <f>L528</f>
        <v>50.07</v>
      </c>
      <c r="J541" s="87">
        <f>L533</f>
        <v>39183.519999999997</v>
      </c>
      <c r="K541" s="87">
        <f>SUM(F541:J541)</f>
        <v>602782.87999999989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1907155.58</v>
      </c>
      <c r="G542" s="89">
        <f t="shared" si="41"/>
        <v>442338.23</v>
      </c>
      <c r="H542" s="89">
        <f t="shared" si="41"/>
        <v>230464.80000000002</v>
      </c>
      <c r="I542" s="89">
        <f t="shared" si="41"/>
        <v>152</v>
      </c>
      <c r="J542" s="89">
        <f t="shared" si="41"/>
        <v>176470.99</v>
      </c>
      <c r="K542" s="89">
        <f t="shared" si="41"/>
        <v>2756581.6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10074.959999999999</v>
      </c>
      <c r="G552" s="18">
        <v>2185.9899999999998</v>
      </c>
      <c r="H552" s="18"/>
      <c r="I552" s="18">
        <v>292.10000000000002</v>
      </c>
      <c r="J552" s="18"/>
      <c r="K552" s="18"/>
      <c r="L552" s="88">
        <f>SUM(F552:K552)</f>
        <v>12553.05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/>
      <c r="I553" s="18">
        <v>0</v>
      </c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2015.48</v>
      </c>
      <c r="G554" s="18">
        <v>437.3</v>
      </c>
      <c r="H554" s="18"/>
      <c r="I554" s="18">
        <v>58.43</v>
      </c>
      <c r="J554" s="18"/>
      <c r="K554" s="18"/>
      <c r="L554" s="88">
        <f>SUM(F554:K554)</f>
        <v>2511.21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12090.439999999999</v>
      </c>
      <c r="G555" s="89">
        <f t="shared" si="43"/>
        <v>2623.29</v>
      </c>
      <c r="H555" s="89">
        <f t="shared" si="43"/>
        <v>0</v>
      </c>
      <c r="I555" s="89">
        <f t="shared" si="43"/>
        <v>350.53000000000003</v>
      </c>
      <c r="J555" s="89">
        <f t="shared" si="43"/>
        <v>0</v>
      </c>
      <c r="K555" s="89">
        <f t="shared" si="43"/>
        <v>0</v>
      </c>
      <c r="L555" s="89">
        <f t="shared" si="43"/>
        <v>15064.259999999998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38013.599999999999</v>
      </c>
      <c r="G557" s="18">
        <v>5581.45</v>
      </c>
      <c r="H557" s="18"/>
      <c r="I557" s="18"/>
      <c r="J557" s="18"/>
      <c r="K557" s="18"/>
      <c r="L557" s="88">
        <f>SUM(F557:K557)</f>
        <v>43595.049999999996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35523.97</v>
      </c>
      <c r="G558" s="18">
        <v>5376.57</v>
      </c>
      <c r="H558" s="18"/>
      <c r="I558" s="18">
        <v>1573.66</v>
      </c>
      <c r="J558" s="18"/>
      <c r="K558" s="18">
        <v>1125</v>
      </c>
      <c r="L558" s="88">
        <f>SUM(F558:K558)</f>
        <v>43599.200000000004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73537.570000000007</v>
      </c>
      <c r="G560" s="194">
        <f t="shared" ref="G560:L560" si="44">SUM(G557:G559)</f>
        <v>10958.02</v>
      </c>
      <c r="H560" s="194">
        <f t="shared" si="44"/>
        <v>0</v>
      </c>
      <c r="I560" s="194">
        <f t="shared" si="44"/>
        <v>1573.66</v>
      </c>
      <c r="J560" s="194">
        <f t="shared" si="44"/>
        <v>0</v>
      </c>
      <c r="K560" s="194">
        <f t="shared" si="44"/>
        <v>1125</v>
      </c>
      <c r="L560" s="194">
        <f t="shared" si="44"/>
        <v>87194.25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85628.010000000009</v>
      </c>
      <c r="G561" s="89">
        <f t="shared" ref="G561:L561" si="45">G550+G555+G560</f>
        <v>13581.310000000001</v>
      </c>
      <c r="H561" s="89">
        <f t="shared" si="45"/>
        <v>0</v>
      </c>
      <c r="I561" s="89">
        <f t="shared" si="45"/>
        <v>1924.19</v>
      </c>
      <c r="J561" s="89">
        <f t="shared" si="45"/>
        <v>0</v>
      </c>
      <c r="K561" s="89">
        <f t="shared" si="45"/>
        <v>1125</v>
      </c>
      <c r="L561" s="89">
        <f t="shared" si="45"/>
        <v>102258.51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924</v>
      </c>
      <c r="I565" s="87">
        <f>SUM(F565:H565)</f>
        <v>924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53947.8</v>
      </c>
      <c r="G569" s="18"/>
      <c r="H569" s="18">
        <v>12016.54</v>
      </c>
      <c r="I569" s="87">
        <f t="shared" si="46"/>
        <v>65964.34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12294.92</v>
      </c>
      <c r="G572" s="18">
        <v>270887.61</v>
      </c>
      <c r="H572" s="18">
        <v>41336.050000000003</v>
      </c>
      <c r="I572" s="87">
        <f t="shared" si="46"/>
        <v>324518.57999999996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132539.46</v>
      </c>
      <c r="I574" s="87">
        <f t="shared" si="46"/>
        <v>132539.46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298557.21000000002</v>
      </c>
      <c r="I581" s="18">
        <v>235592.27</v>
      </c>
      <c r="J581" s="18">
        <v>97199.52</v>
      </c>
      <c r="K581" s="104">
        <f t="shared" ref="K581:K587" si="47">SUM(H581:J581)</f>
        <v>631349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94518.63</v>
      </c>
      <c r="I582" s="18">
        <v>42768.84</v>
      </c>
      <c r="J582" s="18">
        <v>39183.519999999997</v>
      </c>
      <c r="K582" s="104">
        <f t="shared" si="47"/>
        <v>176470.99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62243</v>
      </c>
      <c r="K583" s="104">
        <f t="shared" si="47"/>
        <v>62243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2206.46</v>
      </c>
      <c r="J584" s="18">
        <v>52955.03</v>
      </c>
      <c r="K584" s="104">
        <f t="shared" si="47"/>
        <v>55161.49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6630</v>
      </c>
      <c r="I585" s="18">
        <v>6115</v>
      </c>
      <c r="J585" s="18">
        <v>6238.3</v>
      </c>
      <c r="K585" s="104">
        <f t="shared" si="47"/>
        <v>18983.3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>
        <v>389.88</v>
      </c>
      <c r="J587" s="18">
        <v>9357.1200000000008</v>
      </c>
      <c r="K587" s="104">
        <f t="shared" si="47"/>
        <v>9747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399705.84</v>
      </c>
      <c r="I588" s="108">
        <f>SUM(I581:I587)</f>
        <v>287072.45</v>
      </c>
      <c r="J588" s="108">
        <f>SUM(J581:J587)</f>
        <v>267176.49</v>
      </c>
      <c r="K588" s="108">
        <f>SUM(K581:K587)</f>
        <v>953954.78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65889.03</v>
      </c>
      <c r="I594" s="18">
        <v>93687.3</v>
      </c>
      <c r="J594" s="18">
        <v>49693.66</v>
      </c>
      <c r="K594" s="104">
        <f>SUM(H594:J594)</f>
        <v>209269.99000000002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65889.03</v>
      </c>
      <c r="I595" s="108">
        <f>SUM(I592:I594)</f>
        <v>93687.3</v>
      </c>
      <c r="J595" s="108">
        <f>SUM(J592:J594)</f>
        <v>49693.66</v>
      </c>
      <c r="K595" s="108">
        <f>SUM(K592:K594)</f>
        <v>209269.99000000002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9000</v>
      </c>
      <c r="G601" s="18">
        <v>868.98</v>
      </c>
      <c r="H601" s="18"/>
      <c r="I601" s="18"/>
      <c r="J601" s="18"/>
      <c r="K601" s="18"/>
      <c r="L601" s="88">
        <f>SUM(F601:K601)</f>
        <v>9868.98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8805</v>
      </c>
      <c r="G602" s="18">
        <v>1429.84</v>
      </c>
      <c r="H602" s="18"/>
      <c r="I602" s="18"/>
      <c r="J602" s="18"/>
      <c r="K602" s="18"/>
      <c r="L602" s="88">
        <f>SUM(F602:K602)</f>
        <v>10234.84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3474.23</v>
      </c>
      <c r="G603" s="18">
        <v>569.15</v>
      </c>
      <c r="H603" s="18"/>
      <c r="I603" s="18"/>
      <c r="J603" s="18"/>
      <c r="K603" s="18"/>
      <c r="L603" s="88">
        <f>SUM(F603:K603)</f>
        <v>4043.38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21279.23</v>
      </c>
      <c r="G604" s="108">
        <f t="shared" si="48"/>
        <v>2867.97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24147.200000000001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501265.23</v>
      </c>
      <c r="H607" s="109">
        <f>SUM(F44)</f>
        <v>501265.23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27694.34</v>
      </c>
      <c r="H608" s="109">
        <f>SUM(G44)</f>
        <v>27694.339999999989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558449.89</v>
      </c>
      <c r="H609" s="109">
        <f>SUM(H44)</f>
        <v>558449.89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530935.09</v>
      </c>
      <c r="H611" s="109">
        <f>SUM(J44)</f>
        <v>530935.09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435851.98</v>
      </c>
      <c r="H612" s="109">
        <f>F466</f>
        <v>435851.97999999672</v>
      </c>
      <c r="I612" s="121" t="s">
        <v>106</v>
      </c>
      <c r="J612" s="109">
        <f t="shared" ref="J612:J645" si="49">G612-H612</f>
        <v>3.2596290111541748E-9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530935.09</v>
      </c>
      <c r="H616" s="109">
        <f>J466</f>
        <v>530935.08999999985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17814622.480000004</v>
      </c>
      <c r="H617" s="104">
        <f>SUM(F458)</f>
        <v>17814622.48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600070.75</v>
      </c>
      <c r="H618" s="104">
        <f>SUM(G458)</f>
        <v>600070.75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1219952.96</v>
      </c>
      <c r="H619" s="104">
        <f>SUM(H458)</f>
        <v>1219952.96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200946.33</v>
      </c>
      <c r="H621" s="104">
        <f>SUM(J458)</f>
        <v>200946.33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17913466.48</v>
      </c>
      <c r="H622" s="104">
        <f>SUM(F462)</f>
        <v>17913466.48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1219952.9599999997</v>
      </c>
      <c r="H623" s="104">
        <f>SUM(H462)</f>
        <v>1219952.96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243485.1</v>
      </c>
      <c r="H624" s="104">
        <f>I361</f>
        <v>243485.09999999998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600070.75</v>
      </c>
      <c r="H625" s="104">
        <f>SUM(G462)</f>
        <v>600070.75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200946.33000000002</v>
      </c>
      <c r="H627" s="164">
        <f>SUM(J458)</f>
        <v>200946.33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300758.56</v>
      </c>
      <c r="H628" s="164">
        <f>SUM(J462)</f>
        <v>300758.56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119772.89</v>
      </c>
      <c r="H629" s="104">
        <f>SUM(F451)</f>
        <v>119772.89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411162.2</v>
      </c>
      <c r="H630" s="104">
        <f>SUM(G451)</f>
        <v>411162.2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530935.09</v>
      </c>
      <c r="H632" s="104">
        <f>SUM(I451)</f>
        <v>530935.09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946.33</v>
      </c>
      <c r="H634" s="104">
        <f>H400</f>
        <v>946.32999999999993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200000</v>
      </c>
      <c r="H635" s="104">
        <f>G400</f>
        <v>200000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200946.33</v>
      </c>
      <c r="H636" s="104">
        <f>L400</f>
        <v>200946.33000000002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953954.78</v>
      </c>
      <c r="H637" s="104">
        <f>L200+L218+L236</f>
        <v>953954.78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209269.99000000002</v>
      </c>
      <c r="H638" s="104">
        <f>(J249+J330)-(J247+J328)</f>
        <v>209269.99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399705.84</v>
      </c>
      <c r="H639" s="104">
        <f>H588</f>
        <v>399705.84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287072.45</v>
      </c>
      <c r="H640" s="104">
        <f>I588</f>
        <v>287072.45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267176.49</v>
      </c>
      <c r="H641" s="104">
        <f>J588</f>
        <v>267176.49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29708.75</v>
      </c>
      <c r="H642" s="104">
        <f>K255+K337</f>
        <v>29708.75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200000</v>
      </c>
      <c r="H645" s="104">
        <f>K258+K339</f>
        <v>200000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6788565.1800000006</v>
      </c>
      <c r="G650" s="19">
        <f>(L221+L301+L351)</f>
        <v>6258711.1900000004</v>
      </c>
      <c r="H650" s="19">
        <f>(L239+L320+L352)</f>
        <v>5605967.3700000001</v>
      </c>
      <c r="I650" s="19">
        <f>SUM(F650:H650)</f>
        <v>18653243.740000002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104078.92967090697</v>
      </c>
      <c r="G651" s="19">
        <f>(L351/IF(SUM(L350:L352)=0,1,SUM(L350:L352))*(SUM(G89:G102)))</f>
        <v>88849.194805168052</v>
      </c>
      <c r="H651" s="19">
        <f>(L352/IF(SUM(L350:L352)=0,1,SUM(L350:L352))*(SUM(G89:G102)))</f>
        <v>97730.805523924966</v>
      </c>
      <c r="I651" s="19">
        <f>SUM(F651:H651)</f>
        <v>290658.93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406205.84</v>
      </c>
      <c r="G652" s="19">
        <f>(L218+L298)-(J218+J298)</f>
        <v>287072.45</v>
      </c>
      <c r="H652" s="19">
        <f>(L236+L317)-(J236+J317)</f>
        <v>269934.74</v>
      </c>
      <c r="I652" s="19">
        <f>SUM(F652:H652)</f>
        <v>963213.03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142000.73000000001</v>
      </c>
      <c r="G653" s="200">
        <f>SUM(G565:G577)+SUM(I592:I594)+L602</f>
        <v>374809.75</v>
      </c>
      <c r="H653" s="200">
        <f>SUM(H565:H577)+SUM(J592:J594)+L603</f>
        <v>240553.09</v>
      </c>
      <c r="I653" s="19">
        <f>SUM(F653:H653)</f>
        <v>757363.57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6136279.6803290937</v>
      </c>
      <c r="G654" s="19">
        <f>G650-SUM(G651:G653)</f>
        <v>5507979.7951948326</v>
      </c>
      <c r="H654" s="19">
        <f>H650-SUM(H651:H653)</f>
        <v>4997748.7344760755</v>
      </c>
      <c r="I654" s="19">
        <f>I650-SUM(I651:I653)</f>
        <v>16642008.210000003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489.87</v>
      </c>
      <c r="G655" s="249">
        <v>438.54</v>
      </c>
      <c r="H655" s="249">
        <v>456.02</v>
      </c>
      <c r="I655" s="19">
        <f>SUM(F655:H655)</f>
        <v>1384.43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12526.34</v>
      </c>
      <c r="G657" s="19">
        <f>ROUND(G654/G655,2)</f>
        <v>12559.81</v>
      </c>
      <c r="H657" s="19">
        <f>ROUND(H654/H655,2)</f>
        <v>10959.49</v>
      </c>
      <c r="I657" s="19">
        <f>ROUND(I654/I655,2)</f>
        <v>12020.84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-28.37</v>
      </c>
      <c r="I660" s="19">
        <f>SUM(F660:H660)</f>
        <v>-28.37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12526.34</v>
      </c>
      <c r="G662" s="19">
        <f>ROUND((G654+G659)/(G655+G660),2)</f>
        <v>12559.81</v>
      </c>
      <c r="H662" s="19">
        <f>ROUND((H654+H659)/(H655+H660),2)</f>
        <v>11686.54</v>
      </c>
      <c r="I662" s="19">
        <f>ROUND((I654+I659)/(I655+I660),2)</f>
        <v>12272.32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67417-895D-41E5-B0AD-5C65D3895DED}">
  <sheetPr>
    <tabColor indexed="20"/>
  </sheetPr>
  <dimension ref="A1:C52"/>
  <sheetViews>
    <sheetView topLeftCell="A4" workbookViewId="0">
      <selection activeCell="B30" sqref="B3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Shaker Regional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5760064.0199999996</v>
      </c>
      <c r="C9" s="230">
        <f>'DOE25'!G189+'DOE25'!G207+'DOE25'!G225+'DOE25'!G268+'DOE25'!G287+'DOE25'!G306</f>
        <v>2160606.4</v>
      </c>
    </row>
    <row r="10" spans="1:3" x14ac:dyDescent="0.2">
      <c r="A10" t="s">
        <v>810</v>
      </c>
      <c r="B10" s="241">
        <f>5289634.28+59733</f>
        <v>5349367.28</v>
      </c>
      <c r="C10" s="241">
        <f>1896665.7+9747.38</f>
        <v>1906413.0799999998</v>
      </c>
    </row>
    <row r="11" spans="1:3" x14ac:dyDescent="0.2">
      <c r="A11" t="s">
        <v>811</v>
      </c>
      <c r="B11" s="241">
        <f>305538.2+2916.29</f>
        <v>308454.49</v>
      </c>
      <c r="C11" s="241">
        <f>245283.14+584.64</f>
        <v>245867.78000000003</v>
      </c>
    </row>
    <row r="12" spans="1:3" x14ac:dyDescent="0.2">
      <c r="A12" t="s">
        <v>812</v>
      </c>
      <c r="B12" s="241">
        <f>102167.25+75</f>
        <v>102242.25</v>
      </c>
      <c r="C12" s="241">
        <f>8319.53+6.01</f>
        <v>8325.5400000000009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5760064.0200000005</v>
      </c>
      <c r="C13" s="232">
        <f>SUM(C10:C12)</f>
        <v>2160606.4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1433670.52</v>
      </c>
      <c r="C18" s="230">
        <f>'DOE25'!G190+'DOE25'!G208+'DOE25'!G226+'DOE25'!G269+'DOE25'!G288+'DOE25'!G307</f>
        <v>577066.5</v>
      </c>
    </row>
    <row r="19" spans="1:3" x14ac:dyDescent="0.2">
      <c r="A19" t="s">
        <v>810</v>
      </c>
      <c r="B19" s="241">
        <v>998933.89</v>
      </c>
      <c r="C19" s="241">
        <v>350274.08</v>
      </c>
    </row>
    <row r="20" spans="1:3" x14ac:dyDescent="0.2">
      <c r="A20" t="s">
        <v>811</v>
      </c>
      <c r="B20" s="241">
        <f>454247.65-19511.02</f>
        <v>434736.63</v>
      </c>
      <c r="C20" s="241">
        <v>226792.42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1433670.52</v>
      </c>
      <c r="C22" s="232">
        <f>SUM(C19:C21)</f>
        <v>577066.5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25180.799999999999</v>
      </c>
      <c r="C27" s="235">
        <f>'DOE25'!G191+'DOE25'!G209+'DOE25'!G227+'DOE25'!G270+'DOE25'!G289+'DOE25'!G308</f>
        <v>1974.76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>
        <v>25180.799999999999</v>
      </c>
      <c r="C29" s="241">
        <v>1974.76</v>
      </c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25180.799999999999</v>
      </c>
      <c r="C31" s="232">
        <f>SUM(C28:C30)</f>
        <v>1974.76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229620.33</v>
      </c>
      <c r="C36" s="236">
        <f>'DOE25'!G192+'DOE25'!G210+'DOE25'!G228+'DOE25'!G271+'DOE25'!G290+'DOE25'!G309</f>
        <v>38908.720000000001</v>
      </c>
    </row>
    <row r="37" spans="1:3" x14ac:dyDescent="0.2">
      <c r="A37" t="s">
        <v>810</v>
      </c>
      <c r="B37" s="241">
        <v>229620.33</v>
      </c>
      <c r="C37" s="241">
        <v>38908.720000000001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229620.33</v>
      </c>
      <c r="C40" s="232">
        <f>SUM(C37:C39)</f>
        <v>38908.720000000001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81E5-6E83-47FA-8413-3D132065730B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Shaker Regional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10541471.24</v>
      </c>
      <c r="D5" s="20">
        <f>SUM('DOE25'!L189:L192)+SUM('DOE25'!L207:L210)+SUM('DOE25'!L225:L228)-F5-G5</f>
        <v>10498941.710000001</v>
      </c>
      <c r="E5" s="244"/>
      <c r="F5" s="256">
        <f>SUM('DOE25'!J189:J192)+SUM('DOE25'!J207:J210)+SUM('DOE25'!J225:J228)</f>
        <v>28252.53</v>
      </c>
      <c r="G5" s="53">
        <f>SUM('DOE25'!K189:K192)+SUM('DOE25'!K207:K210)+SUM('DOE25'!K225:K228)</f>
        <v>14277</v>
      </c>
      <c r="H5" s="260"/>
    </row>
    <row r="6" spans="1:9" x14ac:dyDescent="0.2">
      <c r="A6" s="32">
        <v>2100</v>
      </c>
      <c r="B6" t="s">
        <v>832</v>
      </c>
      <c r="C6" s="246">
        <f t="shared" si="0"/>
        <v>1475280.8000000003</v>
      </c>
      <c r="D6" s="20">
        <f>'DOE25'!L194+'DOE25'!L212+'DOE25'!L230-F6-G6</f>
        <v>1471029.0700000003</v>
      </c>
      <c r="E6" s="244"/>
      <c r="F6" s="256">
        <f>'DOE25'!J194+'DOE25'!J212+'DOE25'!J230</f>
        <v>3652.73</v>
      </c>
      <c r="G6" s="53">
        <f>'DOE25'!K194+'DOE25'!K212+'DOE25'!K230</f>
        <v>599</v>
      </c>
      <c r="H6" s="260"/>
    </row>
    <row r="7" spans="1:9" x14ac:dyDescent="0.2">
      <c r="A7" s="32">
        <v>2200</v>
      </c>
      <c r="B7" t="s">
        <v>865</v>
      </c>
      <c r="C7" s="246">
        <f t="shared" si="0"/>
        <v>825583.95000000007</v>
      </c>
      <c r="D7" s="20">
        <f>'DOE25'!L195+'DOE25'!L213+'DOE25'!L231-F7-G7</f>
        <v>749791.91</v>
      </c>
      <c r="E7" s="244"/>
      <c r="F7" s="256">
        <f>'DOE25'!J195+'DOE25'!J213+'DOE25'!J231</f>
        <v>74873.240000000005</v>
      </c>
      <c r="G7" s="53">
        <f>'DOE25'!K195+'DOE25'!K213+'DOE25'!K231</f>
        <v>918.8</v>
      </c>
      <c r="H7" s="260"/>
    </row>
    <row r="8" spans="1:9" x14ac:dyDescent="0.2">
      <c r="A8" s="32">
        <v>2300</v>
      </c>
      <c r="B8" t="s">
        <v>833</v>
      </c>
      <c r="C8" s="246">
        <f t="shared" si="0"/>
        <v>17068.940000000002</v>
      </c>
      <c r="D8" s="244"/>
      <c r="E8" s="20">
        <f>'DOE25'!L196+'DOE25'!L214+'DOE25'!L232-F8-G8-D9-D11</f>
        <v>0</v>
      </c>
      <c r="F8" s="256">
        <f>'DOE25'!J196+'DOE25'!J214+'DOE25'!J232</f>
        <v>2094</v>
      </c>
      <c r="G8" s="53">
        <f>'DOE25'!K196+'DOE25'!K214+'DOE25'!K232</f>
        <v>14974.94</v>
      </c>
      <c r="H8" s="260"/>
    </row>
    <row r="9" spans="1:9" x14ac:dyDescent="0.2">
      <c r="A9" s="32">
        <v>2310</v>
      </c>
      <c r="B9" t="s">
        <v>849</v>
      </c>
      <c r="C9" s="246">
        <f t="shared" si="0"/>
        <v>116519.64</v>
      </c>
      <c r="D9" s="245">
        <v>116519.64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12895</v>
      </c>
      <c r="D10" s="244"/>
      <c r="E10" s="245">
        <v>12895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212548.17</v>
      </c>
      <c r="D11" s="245">
        <v>212548.17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1111647.6600000001</v>
      </c>
      <c r="D12" s="20">
        <f>'DOE25'!L197+'DOE25'!L215+'DOE25'!L233-F12-G12</f>
        <v>1099927.7000000002</v>
      </c>
      <c r="E12" s="244"/>
      <c r="F12" s="256">
        <f>'DOE25'!J197+'DOE25'!J215+'DOE25'!J233</f>
        <v>0</v>
      </c>
      <c r="G12" s="53">
        <f>'DOE25'!K197+'DOE25'!K215+'DOE25'!K233</f>
        <v>11719.96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283961.84999999998</v>
      </c>
      <c r="D13" s="244"/>
      <c r="E13" s="20">
        <f>'DOE25'!L198+'DOE25'!L216+'DOE25'!L234-F13-G13</f>
        <v>282139.83999999997</v>
      </c>
      <c r="F13" s="256">
        <f>'DOE25'!J198+'DOE25'!J216+'DOE25'!J234</f>
        <v>1107.01</v>
      </c>
      <c r="G13" s="53">
        <f>'DOE25'!K198+'DOE25'!K216+'DOE25'!K234</f>
        <v>715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1446313.93</v>
      </c>
      <c r="D14" s="20">
        <f>'DOE25'!L199+'DOE25'!L217+'DOE25'!L235-F14-G14</f>
        <v>1436496.44</v>
      </c>
      <c r="E14" s="244"/>
      <c r="F14" s="256">
        <f>'DOE25'!J199+'DOE25'!J217+'DOE25'!J235</f>
        <v>9817.49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953954.78</v>
      </c>
      <c r="D15" s="20">
        <f>'DOE25'!L200+'DOE25'!L218+'DOE25'!L236-F15-G15</f>
        <v>953954.78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9148.77</v>
      </c>
      <c r="D19" s="20">
        <f>'DOE25'!L245-F19-G19</f>
        <v>9148.77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281513.93</v>
      </c>
      <c r="D22" s="244"/>
      <c r="E22" s="244"/>
      <c r="F22" s="256">
        <f>'DOE25'!L247+'DOE25'!L328</f>
        <v>281513.93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559875</v>
      </c>
      <c r="D25" s="244"/>
      <c r="E25" s="244"/>
      <c r="F25" s="259"/>
      <c r="G25" s="257"/>
      <c r="H25" s="258">
        <f>'DOE25'!L252+'DOE25'!L253+'DOE25'!L333+'DOE25'!L334</f>
        <v>559875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382636.95</v>
      </c>
      <c r="D29" s="20">
        <f>'DOE25'!L350+'DOE25'!L351+'DOE25'!L352-'DOE25'!I359-F29-G29</f>
        <v>382636.95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1068822.03</v>
      </c>
      <c r="D31" s="20">
        <f>'DOE25'!L282+'DOE25'!L301+'DOE25'!L320+'DOE25'!L325+'DOE25'!L326+'DOE25'!L327-F31-G31</f>
        <v>978848.46999999986</v>
      </c>
      <c r="E31" s="244"/>
      <c r="F31" s="256">
        <f>'DOE25'!J282+'DOE25'!J301+'DOE25'!J320+'DOE25'!J325+'DOE25'!J326+'DOE25'!J327</f>
        <v>89472.989999999991</v>
      </c>
      <c r="G31" s="53">
        <f>'DOE25'!K282+'DOE25'!K301+'DOE25'!K320+'DOE25'!K325+'DOE25'!K326+'DOE25'!K327</f>
        <v>500.57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17909843.609999999</v>
      </c>
      <c r="E33" s="247">
        <f>SUM(E5:E31)</f>
        <v>295034.83999999997</v>
      </c>
      <c r="F33" s="247">
        <f>SUM(F5:F31)</f>
        <v>490783.92</v>
      </c>
      <c r="G33" s="247">
        <f>SUM(G5:G31)</f>
        <v>43705.27</v>
      </c>
      <c r="H33" s="247">
        <f>SUM(H5:H31)</f>
        <v>559875</v>
      </c>
    </row>
    <row r="35" spans="2:8" ht="12" thickBot="1" x14ac:dyDescent="0.25">
      <c r="B35" s="254" t="s">
        <v>878</v>
      </c>
      <c r="D35" s="255">
        <f>E33</f>
        <v>295034.83999999997</v>
      </c>
      <c r="E35" s="250"/>
    </row>
    <row r="36" spans="2:8" ht="12" thickTop="1" x14ac:dyDescent="0.2">
      <c r="B36" t="s">
        <v>846</v>
      </c>
      <c r="D36" s="20">
        <f>D33</f>
        <v>17909843.609999999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2017-5561-49FA-A8CD-9A2D28DF9FE9}">
  <sheetPr transitionEvaluation="1" codeName="Sheet2">
    <tabColor indexed="10"/>
  </sheetPr>
  <dimension ref="A1:I156"/>
  <sheetViews>
    <sheetView zoomScale="75" workbookViewId="0">
      <pane ySplit="2" topLeftCell="A24" activePane="bottomLeft" state="frozen"/>
      <selection pane="bottomLeft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-131347.49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530935.09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14401.13</v>
      </c>
      <c r="D10" s="95">
        <f>'DOE25'!G10</f>
        <v>2695.82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548377.34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32438.58</v>
      </c>
      <c r="D13" s="95">
        <f>'DOE25'!G13</f>
        <v>23462.73</v>
      </c>
      <c r="E13" s="95">
        <f>'DOE25'!H13</f>
        <v>544895.38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32590.07</v>
      </c>
      <c r="D14" s="95">
        <f>'DOE25'!G14</f>
        <v>1535.79</v>
      </c>
      <c r="E14" s="95">
        <f>'DOE25'!H14</f>
        <v>13554.51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4805.6000000000004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501265.23</v>
      </c>
      <c r="D19" s="41">
        <f>SUM(D9:D18)</f>
        <v>27694.34</v>
      </c>
      <c r="E19" s="41">
        <f>SUM(E9:E18)</f>
        <v>558449.89</v>
      </c>
      <c r="F19" s="41">
        <f>SUM(F9:F18)</f>
        <v>0</v>
      </c>
      <c r="G19" s="41">
        <f>SUM(G9:G18)</f>
        <v>530935.09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22202.85999999999</v>
      </c>
      <c r="E22" s="95">
        <f>'DOE25'!H23</f>
        <v>526174.48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48971.88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14557.490000000002</v>
      </c>
      <c r="D24" s="95">
        <f>'DOE25'!G25</f>
        <v>17.440000000000001</v>
      </c>
      <c r="E24" s="95">
        <f>'DOE25'!H25</f>
        <v>6691.81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1883.88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5474.04</v>
      </c>
      <c r="E30" s="95">
        <f>'DOE25'!H31</f>
        <v>25583.599999999999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65413.249999999993</v>
      </c>
      <c r="D32" s="41">
        <f>SUM(D22:D31)</f>
        <v>27694.339999999989</v>
      </c>
      <c r="E32" s="41">
        <f>SUM(E22:E31)</f>
        <v>558449.89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102217.98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175000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530935.09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158634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435851.98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530935.09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501265.23</v>
      </c>
      <c r="D43" s="41">
        <f>D42+D32</f>
        <v>27694.339999999989</v>
      </c>
      <c r="E43" s="41">
        <f>E42+E32</f>
        <v>558449.89</v>
      </c>
      <c r="F43" s="41">
        <f>F42+F32</f>
        <v>0</v>
      </c>
      <c r="G43" s="41">
        <f>G42+G32</f>
        <v>530935.09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10357954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14727.97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1105.7099999999998</v>
      </c>
      <c r="D51" s="95">
        <f>'DOE25'!G88</f>
        <v>10.96</v>
      </c>
      <c r="E51" s="95">
        <f>'DOE25'!H88</f>
        <v>0</v>
      </c>
      <c r="F51" s="95">
        <f>'DOE25'!I88</f>
        <v>0</v>
      </c>
      <c r="G51" s="95">
        <f>'DOE25'!J88</f>
        <v>946.33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290658.93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16205.56</v>
      </c>
      <c r="D53" s="95">
        <f>SUM('DOE25'!G90:G102)</f>
        <v>0</v>
      </c>
      <c r="E53" s="95">
        <f>SUM('DOE25'!H90:H102)</f>
        <v>33808.14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32039.239999999998</v>
      </c>
      <c r="D54" s="130">
        <f>SUM(D49:D53)</f>
        <v>290669.89</v>
      </c>
      <c r="E54" s="130">
        <f>SUM(E49:E53)</f>
        <v>33808.14</v>
      </c>
      <c r="F54" s="130">
        <f>SUM(F49:F53)</f>
        <v>0</v>
      </c>
      <c r="G54" s="130">
        <f>SUM(G49:G53)</f>
        <v>946.33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10389993.24</v>
      </c>
      <c r="D55" s="22">
        <f>D48+D54</f>
        <v>290669.89</v>
      </c>
      <c r="E55" s="22">
        <f>E48+E54</f>
        <v>33808.14</v>
      </c>
      <c r="F55" s="22">
        <f>F48+F54</f>
        <v>0</v>
      </c>
      <c r="G55" s="22">
        <f>G48+G54</f>
        <v>946.33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4437749.09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2290303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160955.91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6889008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265601.44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88762.08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8814.7999999999993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7643.55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363178.32</v>
      </c>
      <c r="D70" s="130">
        <f>SUM(D64:D69)</f>
        <v>7643.55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7252186.3200000003</v>
      </c>
      <c r="D73" s="130">
        <f>SUM(D71:D72)+D70+D62</f>
        <v>7643.55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82442.92</v>
      </c>
      <c r="D80" s="95">
        <f>SUM('DOE25'!G145:G153)</f>
        <v>272048.56</v>
      </c>
      <c r="E80" s="95">
        <f>SUM('DOE25'!H145:H153)</f>
        <v>1027036.76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82442.92</v>
      </c>
      <c r="D83" s="131">
        <f>SUM(D77:D82)</f>
        <v>272048.56</v>
      </c>
      <c r="E83" s="131">
        <f>SUM(E77:E82)</f>
        <v>1027036.76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29708.75</v>
      </c>
      <c r="E88" s="95">
        <f>'DOE25'!H171</f>
        <v>0</v>
      </c>
      <c r="F88" s="95">
        <f>'DOE25'!I171</f>
        <v>0</v>
      </c>
      <c r="G88" s="95">
        <f>'DOE25'!J171</f>
        <v>200000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90000</v>
      </c>
      <c r="D92" s="95">
        <f>SUM('DOE25'!G178:G179)</f>
        <v>0</v>
      </c>
      <c r="E92" s="95">
        <f>SUM('DOE25'!H178:H179)</f>
        <v>159108.06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90000</v>
      </c>
      <c r="D95" s="86">
        <f>SUM(D85:D94)</f>
        <v>29708.75</v>
      </c>
      <c r="E95" s="86">
        <f>SUM(E85:E94)</f>
        <v>159108.06</v>
      </c>
      <c r="F95" s="86">
        <f>SUM(F85:F94)</f>
        <v>0</v>
      </c>
      <c r="G95" s="86">
        <f>SUM(G85:G94)</f>
        <v>200000</v>
      </c>
    </row>
    <row r="96" spans="1:7" ht="12.75" thickTop="1" thickBot="1" x14ac:dyDescent="0.25">
      <c r="A96" s="33" t="s">
        <v>796</v>
      </c>
      <c r="C96" s="86">
        <f>C55+C73+C83+C95</f>
        <v>17814622.480000004</v>
      </c>
      <c r="D96" s="86">
        <f>D55+D73+D83+D95</f>
        <v>600070.75</v>
      </c>
      <c r="E96" s="86">
        <f>E55+E73+E83+E95</f>
        <v>1219952.96</v>
      </c>
      <c r="F96" s="86">
        <f>F55+F73+F83+F95</f>
        <v>0</v>
      </c>
      <c r="G96" s="86">
        <f>G55+G73+G95</f>
        <v>200946.33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8132723.6099999994</v>
      </c>
      <c r="D101" s="24" t="s">
        <v>312</v>
      </c>
      <c r="E101" s="95">
        <f>('DOE25'!L268)+('DOE25'!L287)+('DOE25'!L306)</f>
        <v>76275.58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1932949.08</v>
      </c>
      <c r="D102" s="24" t="s">
        <v>312</v>
      </c>
      <c r="E102" s="95">
        <f>('DOE25'!L269)+('DOE25'!L288)+('DOE25'!L307)</f>
        <v>622968.8899999999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159890.43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315908.12</v>
      </c>
      <c r="D104" s="24" t="s">
        <v>312</v>
      </c>
      <c r="E104" s="95">
        <f>+('DOE25'!L271)+('DOE25'!L290)+('DOE25'!L309)</f>
        <v>43963.11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9148.77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10550620.009999998</v>
      </c>
      <c r="D107" s="86">
        <f>SUM(D101:D106)</f>
        <v>0</v>
      </c>
      <c r="E107" s="86">
        <f>SUM(E101:E106)</f>
        <v>743207.57999999984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1475280.8000000003</v>
      </c>
      <c r="D110" s="24" t="s">
        <v>312</v>
      </c>
      <c r="E110" s="95">
        <f>+('DOE25'!L273)+('DOE25'!L292)+('DOE25'!L311)</f>
        <v>187882.16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825583.95000000007</v>
      </c>
      <c r="D111" s="24" t="s">
        <v>312</v>
      </c>
      <c r="E111" s="95">
        <f>+('DOE25'!L274)+('DOE25'!L293)+('DOE25'!L312)</f>
        <v>120496.90999999999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346136.75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1111647.6600000001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283961.84999999998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1446313.93</v>
      </c>
      <c r="D115" s="24" t="s">
        <v>312</v>
      </c>
      <c r="E115" s="95">
        <f>+('DOE25'!L278)+('DOE25'!L297)+('DOE25'!L316)</f>
        <v>7977.13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953954.78</v>
      </c>
      <c r="D116" s="24" t="s">
        <v>312</v>
      </c>
      <c r="E116" s="95">
        <f>+('DOE25'!L279)+('DOE25'!L298)+('DOE25'!L317)</f>
        <v>9258.25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600070.75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6442879.7200000007</v>
      </c>
      <c r="D120" s="86">
        <f>SUM(D110:D119)</f>
        <v>600070.75</v>
      </c>
      <c r="E120" s="86">
        <f>SUM(E110:E119)</f>
        <v>325614.45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130383</v>
      </c>
      <c r="D122" s="24" t="s">
        <v>312</v>
      </c>
      <c r="E122" s="129">
        <f>'DOE25'!L328</f>
        <v>151130.93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500000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59875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90000</v>
      </c>
    </row>
    <row r="127" spans="1:7" x14ac:dyDescent="0.2">
      <c r="A127" t="s">
        <v>256</v>
      </c>
      <c r="B127" s="32" t="s">
        <v>257</v>
      </c>
      <c r="C127" s="95">
        <f>'DOE25'!L255</f>
        <v>29708.75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178.04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200768.29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-946.3300000000163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919966.75</v>
      </c>
      <c r="D136" s="141">
        <f>SUM(D122:D135)</f>
        <v>0</v>
      </c>
      <c r="E136" s="141">
        <f>SUM(E122:E135)</f>
        <v>151130.93</v>
      </c>
      <c r="F136" s="141">
        <f>SUM(F122:F135)</f>
        <v>0</v>
      </c>
      <c r="G136" s="141">
        <f>SUM(G122:G135)</f>
        <v>90000</v>
      </c>
    </row>
    <row r="137" spans="1:9" ht="12.75" thickTop="1" thickBot="1" x14ac:dyDescent="0.25">
      <c r="A137" s="33" t="s">
        <v>267</v>
      </c>
      <c r="C137" s="86">
        <f>(C107+C120+C136)</f>
        <v>17913466.479999997</v>
      </c>
      <c r="D137" s="86">
        <f>(D107+D120+D136)</f>
        <v>600070.75</v>
      </c>
      <c r="E137" s="86">
        <f>(E107+E120+E136)</f>
        <v>1219952.9599999997</v>
      </c>
      <c r="F137" s="86">
        <f>(F107+F120+F136)</f>
        <v>0</v>
      </c>
      <c r="G137" s="86">
        <f>(G107+G120+G136)</f>
        <v>90000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8/97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7500000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500000</v>
      </c>
    </row>
    <row r="151" spans="1:7" x14ac:dyDescent="0.2">
      <c r="A151" s="22" t="s">
        <v>35</v>
      </c>
      <c r="B151" s="137">
        <f>'DOE25'!F488</f>
        <v>1000000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1000000</v>
      </c>
    </row>
    <row r="152" spans="1:7" x14ac:dyDescent="0.2">
      <c r="A152" s="22" t="s">
        <v>36</v>
      </c>
      <c r="B152" s="137">
        <f>'DOE25'!F489</f>
        <v>48000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48000</v>
      </c>
    </row>
    <row r="153" spans="1:7" x14ac:dyDescent="0.2">
      <c r="A153" s="22" t="s">
        <v>37</v>
      </c>
      <c r="B153" s="137">
        <f>'DOE25'!F490</f>
        <v>1048000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1048000</v>
      </c>
    </row>
    <row r="154" spans="1:7" x14ac:dyDescent="0.2">
      <c r="A154" s="22" t="s">
        <v>38</v>
      </c>
      <c r="B154" s="137">
        <f>'DOE25'!F491</f>
        <v>500000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500000</v>
      </c>
    </row>
    <row r="155" spans="1:7" x14ac:dyDescent="0.2">
      <c r="A155" s="22" t="s">
        <v>39</v>
      </c>
      <c r="B155" s="137">
        <f>'DOE25'!F492</f>
        <v>36000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36000</v>
      </c>
    </row>
    <row r="156" spans="1:7" x14ac:dyDescent="0.2">
      <c r="A156" s="22" t="s">
        <v>269</v>
      </c>
      <c r="B156" s="137">
        <f>'DOE25'!F493</f>
        <v>536000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536000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C52C-778A-435A-B327-7D76CC882D9C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Shaker Regional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12526</v>
      </c>
    </row>
    <row r="5" spans="1:4" x14ac:dyDescent="0.2">
      <c r="B5" t="s">
        <v>735</v>
      </c>
      <c r="C5" s="179">
        <f>IF('DOE25'!G655+'DOE25'!G660=0,0,ROUND('DOE25'!G662,0))</f>
        <v>12560</v>
      </c>
    </row>
    <row r="6" spans="1:4" x14ac:dyDescent="0.2">
      <c r="B6" t="s">
        <v>62</v>
      </c>
      <c r="C6" s="179">
        <f>IF('DOE25'!H655+'DOE25'!H660=0,0,ROUND('DOE25'!H662,0))</f>
        <v>11687</v>
      </c>
    </row>
    <row r="7" spans="1:4" x14ac:dyDescent="0.2">
      <c r="B7" t="s">
        <v>736</v>
      </c>
      <c r="C7" s="179">
        <f>IF('DOE25'!I655+'DOE25'!I660=0,0,ROUND('DOE25'!I662,0))</f>
        <v>12272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8208999</v>
      </c>
      <c r="D10" s="182">
        <f>ROUND((C10/$C$28)*100,1)</f>
        <v>44.5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2555918</v>
      </c>
      <c r="D11" s="182">
        <f>ROUND((C11/$C$28)*100,1)</f>
        <v>13.9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159890</v>
      </c>
      <c r="D12" s="182">
        <f>ROUND((C12/$C$28)*100,1)</f>
        <v>0.9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359871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1663163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946081</v>
      </c>
      <c r="D16" s="182">
        <f t="shared" si="0"/>
        <v>5.0999999999999996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346137</v>
      </c>
      <c r="D17" s="182">
        <f t="shared" si="0"/>
        <v>1.9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1111648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283962</v>
      </c>
      <c r="D19" s="182">
        <f t="shared" si="0"/>
        <v>1.5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1454291</v>
      </c>
      <c r="D20" s="182">
        <f t="shared" si="0"/>
        <v>7.9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963213</v>
      </c>
      <c r="D21" s="182">
        <f t="shared" si="0"/>
        <v>5.2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9149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59875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309412.07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18431609.07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281514</v>
      </c>
    </row>
    <row r="30" spans="1:4" x14ac:dyDescent="0.2">
      <c r="B30" s="187" t="s">
        <v>760</v>
      </c>
      <c r="C30" s="180">
        <f>SUM(C28:C29)</f>
        <v>18713123.07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500000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10357954</v>
      </c>
      <c r="D35" s="182">
        <f t="shared" ref="D35:D40" si="1">ROUND((C35/$C$41)*100,1)</f>
        <v>54.3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66804.670000001788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6889008</v>
      </c>
      <c r="D37" s="182">
        <f t="shared" si="1"/>
        <v>36.1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370822</v>
      </c>
      <c r="D38" s="182">
        <f t="shared" si="1"/>
        <v>1.9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1381528</v>
      </c>
      <c r="D39" s="182">
        <f t="shared" si="1"/>
        <v>7.2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19066116.670000002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CE4A-1A79-431F-81AA-23F9594356F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Shaker Regional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2011-10-03T16:03:16Z</cp:lastPrinted>
  <dcterms:created xsi:type="dcterms:W3CDTF">1997-12-04T19:04:30Z</dcterms:created>
  <dcterms:modified xsi:type="dcterms:W3CDTF">2025-01-10T20:33:42Z</dcterms:modified>
</cp:coreProperties>
</file>