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3EC58153-19D8-43F9-91C9-563B0BE2A9E8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E156306C-C2DA-464C-B2AA-F751E612894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2" l="1"/>
  <c r="C40" i="12" s="1"/>
  <c r="B37" i="12"/>
  <c r="B40" i="12" s="1"/>
  <c r="A40" i="12" s="1"/>
  <c r="C28" i="12"/>
  <c r="B28" i="12"/>
  <c r="B31" i="12" s="1"/>
  <c r="C19" i="12"/>
  <c r="C29" i="12"/>
  <c r="B29" i="12"/>
  <c r="B20" i="12"/>
  <c r="B19" i="12"/>
  <c r="C21" i="12"/>
  <c r="C20" i="12"/>
  <c r="B10" i="12"/>
  <c r="B13" i="12" s="1"/>
  <c r="B21" i="12"/>
  <c r="C12" i="12"/>
  <c r="C10" i="12"/>
  <c r="B12" i="12"/>
  <c r="L219" i="1"/>
  <c r="K549" i="1"/>
  <c r="L549" i="1" s="1"/>
  <c r="K548" i="1"/>
  <c r="I488" i="1"/>
  <c r="H372" i="1"/>
  <c r="I25" i="1"/>
  <c r="F24" i="2" s="1"/>
  <c r="F32" i="2" s="1"/>
  <c r="I41" i="1"/>
  <c r="F40" i="2" s="1"/>
  <c r="H449" i="1"/>
  <c r="H450" i="1" s="1"/>
  <c r="H418" i="1"/>
  <c r="H419" i="1" s="1"/>
  <c r="J418" i="1"/>
  <c r="I418" i="1"/>
  <c r="I419" i="1" s="1"/>
  <c r="G418" i="1"/>
  <c r="F418" i="1"/>
  <c r="J102" i="1"/>
  <c r="J372" i="1"/>
  <c r="G372" i="1"/>
  <c r="G374" i="1" s="1"/>
  <c r="F372" i="1"/>
  <c r="L372" i="1" s="1"/>
  <c r="I372" i="1"/>
  <c r="H41" i="1"/>
  <c r="H147" i="1"/>
  <c r="H148" i="1"/>
  <c r="H146" i="1"/>
  <c r="K547" i="1"/>
  <c r="F24" i="1"/>
  <c r="C23" i="2" s="1"/>
  <c r="C32" i="2" s="1"/>
  <c r="G41" i="1"/>
  <c r="D40" i="2" s="1"/>
  <c r="D42" i="2" s="1"/>
  <c r="F49" i="1"/>
  <c r="F52" i="1" s="1"/>
  <c r="G89" i="1"/>
  <c r="J583" i="1"/>
  <c r="J588" i="1" s="1"/>
  <c r="H641" i="1" s="1"/>
  <c r="K582" i="1"/>
  <c r="J488" i="1"/>
  <c r="F151" i="2"/>
  <c r="H488" i="1"/>
  <c r="H490" i="1"/>
  <c r="D153" i="2"/>
  <c r="G488" i="1"/>
  <c r="K488" i="1" s="1"/>
  <c r="F488" i="1"/>
  <c r="B151" i="2"/>
  <c r="F236" i="1"/>
  <c r="L236" i="1" s="1"/>
  <c r="L235" i="1"/>
  <c r="G239" i="1"/>
  <c r="B36" i="12"/>
  <c r="C9" i="12"/>
  <c r="C11" i="12" s="1"/>
  <c r="C13" i="12" s="1"/>
  <c r="B9" i="12"/>
  <c r="B11" i="12" s="1"/>
  <c r="G8" i="13"/>
  <c r="L196" i="1"/>
  <c r="C17" i="10" s="1"/>
  <c r="L195" i="1"/>
  <c r="C16" i="10" s="1"/>
  <c r="F6" i="13"/>
  <c r="G6" i="13"/>
  <c r="F5" i="13"/>
  <c r="C37" i="10"/>
  <c r="C60" i="2"/>
  <c r="B2" i="13"/>
  <c r="F8" i="13"/>
  <c r="E8" i="13" s="1"/>
  <c r="D39" i="13"/>
  <c r="F13" i="13"/>
  <c r="G13" i="13"/>
  <c r="L198" i="1"/>
  <c r="C19" i="10" s="1"/>
  <c r="L216" i="1"/>
  <c r="L234" i="1"/>
  <c r="F16" i="13"/>
  <c r="G16" i="13"/>
  <c r="L201" i="1"/>
  <c r="L237" i="1"/>
  <c r="G5" i="13"/>
  <c r="G33" i="13" s="1"/>
  <c r="L191" i="1"/>
  <c r="L203" i="1" s="1"/>
  <c r="L192" i="1"/>
  <c r="C13" i="10" s="1"/>
  <c r="L209" i="1"/>
  <c r="L210" i="1"/>
  <c r="L227" i="1"/>
  <c r="L228" i="1"/>
  <c r="F7" i="13"/>
  <c r="G7" i="13"/>
  <c r="L213" i="1"/>
  <c r="L231" i="1"/>
  <c r="F12" i="13"/>
  <c r="G12" i="13"/>
  <c r="L197" i="1"/>
  <c r="D12" i="13" s="1"/>
  <c r="C12" i="13" s="1"/>
  <c r="L215" i="1"/>
  <c r="L221" i="1" s="1"/>
  <c r="L233" i="1"/>
  <c r="F14" i="13"/>
  <c r="G14" i="13"/>
  <c r="F15" i="13"/>
  <c r="G15" i="13"/>
  <c r="L200" i="1"/>
  <c r="F652" i="1" s="1"/>
  <c r="F17" i="13"/>
  <c r="G17" i="13"/>
  <c r="L243" i="1"/>
  <c r="D17" i="13"/>
  <c r="C17" i="13"/>
  <c r="F18" i="13"/>
  <c r="D18" i="13" s="1"/>
  <c r="C18" i="13" s="1"/>
  <c r="G18" i="13"/>
  <c r="L244" i="1"/>
  <c r="F19" i="13"/>
  <c r="G19" i="13"/>
  <c r="L245" i="1"/>
  <c r="D19" i="13"/>
  <c r="C19" i="13" s="1"/>
  <c r="F29" i="13"/>
  <c r="G29" i="13"/>
  <c r="L350" i="1"/>
  <c r="L354" i="1" s="1"/>
  <c r="L351" i="1"/>
  <c r="D119" i="2" s="1"/>
  <c r="D120" i="2" s="1"/>
  <c r="D137" i="2" s="1"/>
  <c r="L352" i="1"/>
  <c r="F651" i="1" s="1"/>
  <c r="I359" i="1"/>
  <c r="I361" i="1" s="1"/>
  <c r="H624" i="1" s="1"/>
  <c r="L270" i="1"/>
  <c r="L282" i="1" s="1"/>
  <c r="L273" i="1"/>
  <c r="E110" i="2" s="1"/>
  <c r="E120" i="2" s="1"/>
  <c r="L275" i="1"/>
  <c r="E112" i="2" s="1"/>
  <c r="L276" i="1"/>
  <c r="L278" i="1"/>
  <c r="L280" i="1"/>
  <c r="L289" i="1"/>
  <c r="L290" i="1"/>
  <c r="L292" i="1"/>
  <c r="C15" i="10" s="1"/>
  <c r="L294" i="1"/>
  <c r="L295" i="1"/>
  <c r="E113" i="2" s="1"/>
  <c r="L297" i="1"/>
  <c r="L298" i="1"/>
  <c r="E116" i="2" s="1"/>
  <c r="L307" i="1"/>
  <c r="L308" i="1"/>
  <c r="L309" i="1"/>
  <c r="L311" i="1"/>
  <c r="L313" i="1"/>
  <c r="L314" i="1"/>
  <c r="L316" i="1"/>
  <c r="L317" i="1"/>
  <c r="L325" i="1"/>
  <c r="E106" i="2" s="1"/>
  <c r="L326" i="1"/>
  <c r="L327" i="1"/>
  <c r="L252" i="1"/>
  <c r="H25" i="13" s="1"/>
  <c r="L253" i="1"/>
  <c r="C124" i="2" s="1"/>
  <c r="L333" i="1"/>
  <c r="L334" i="1"/>
  <c r="L343" i="1" s="1"/>
  <c r="L247" i="1"/>
  <c r="L328" i="1"/>
  <c r="F22" i="13" s="1"/>
  <c r="C22" i="13" s="1"/>
  <c r="C11" i="13"/>
  <c r="C10" i="13"/>
  <c r="C9" i="13"/>
  <c r="L353" i="1"/>
  <c r="B4" i="12"/>
  <c r="C36" i="12"/>
  <c r="B27" i="12"/>
  <c r="A31" i="12" s="1"/>
  <c r="C27" i="12"/>
  <c r="C31" i="12"/>
  <c r="B22" i="12"/>
  <c r="A22" i="12" s="1"/>
  <c r="C22" i="12"/>
  <c r="B1" i="12"/>
  <c r="L380" i="1"/>
  <c r="L385" i="1" s="1"/>
  <c r="L381" i="1"/>
  <c r="L382" i="1"/>
  <c r="L383" i="1"/>
  <c r="L384" i="1"/>
  <c r="L387" i="1"/>
  <c r="L388" i="1"/>
  <c r="L389" i="1"/>
  <c r="L390" i="1"/>
  <c r="L391" i="1"/>
  <c r="L395" i="1"/>
  <c r="L396" i="1"/>
  <c r="L397" i="1"/>
  <c r="L398" i="1"/>
  <c r="L258" i="1"/>
  <c r="J52" i="1"/>
  <c r="G48" i="2"/>
  <c r="G51" i="2"/>
  <c r="G53" i="2"/>
  <c r="F2" i="11"/>
  <c r="L603" i="1"/>
  <c r="L604" i="1" s="1"/>
  <c r="L602" i="1"/>
  <c r="G653" i="1" s="1"/>
  <c r="L601" i="1"/>
  <c r="C40" i="10"/>
  <c r="G52" i="1"/>
  <c r="H52" i="1"/>
  <c r="I52" i="1"/>
  <c r="F71" i="1"/>
  <c r="F86" i="1"/>
  <c r="F103" i="1"/>
  <c r="G103" i="1"/>
  <c r="G104" i="1"/>
  <c r="H71" i="1"/>
  <c r="E49" i="2" s="1"/>
  <c r="H86" i="1"/>
  <c r="E50" i="2" s="1"/>
  <c r="H103" i="1"/>
  <c r="I103" i="1"/>
  <c r="I104" i="1" s="1"/>
  <c r="J103" i="1"/>
  <c r="J104" i="1" s="1"/>
  <c r="F113" i="1"/>
  <c r="F128" i="1"/>
  <c r="G113" i="1"/>
  <c r="G128" i="1"/>
  <c r="G132" i="1"/>
  <c r="H113" i="1"/>
  <c r="H128" i="1"/>
  <c r="H132" i="1"/>
  <c r="I113" i="1"/>
  <c r="I128" i="1"/>
  <c r="I132" i="1"/>
  <c r="J113" i="1"/>
  <c r="J128" i="1"/>
  <c r="J132" i="1" s="1"/>
  <c r="F139" i="1"/>
  <c r="C77" i="2" s="1"/>
  <c r="C83" i="2" s="1"/>
  <c r="F154" i="1"/>
  <c r="F161" i="1"/>
  <c r="G139" i="1"/>
  <c r="D77" i="2" s="1"/>
  <c r="D83" i="2" s="1"/>
  <c r="G154" i="1"/>
  <c r="G161" i="1"/>
  <c r="H139" i="1"/>
  <c r="I139" i="1"/>
  <c r="I161" i="1" s="1"/>
  <c r="I154" i="1"/>
  <c r="L242" i="1"/>
  <c r="L324" i="1"/>
  <c r="E105" i="2" s="1"/>
  <c r="C23" i="10"/>
  <c r="L246" i="1"/>
  <c r="C24" i="10" s="1"/>
  <c r="C25" i="10"/>
  <c r="L260" i="1"/>
  <c r="C26" i="10" s="1"/>
  <c r="L261" i="1"/>
  <c r="L341" i="1"/>
  <c r="L342" i="1"/>
  <c r="I655" i="1"/>
  <c r="I660" i="1"/>
  <c r="H651" i="1"/>
  <c r="I659" i="1"/>
  <c r="C42" i="10"/>
  <c r="L366" i="1"/>
  <c r="C29" i="10" s="1"/>
  <c r="L367" i="1"/>
  <c r="L368" i="1"/>
  <c r="L369" i="1"/>
  <c r="L370" i="1"/>
  <c r="L371" i="1"/>
  <c r="B2" i="10"/>
  <c r="L336" i="1"/>
  <c r="L337" i="1"/>
  <c r="L338" i="1"/>
  <c r="E129" i="2"/>
  <c r="L339" i="1"/>
  <c r="K343" i="1"/>
  <c r="K344" i="1" s="1"/>
  <c r="E124" i="2"/>
  <c r="E123" i="2"/>
  <c r="K262" i="1"/>
  <c r="J262" i="1"/>
  <c r="I262" i="1"/>
  <c r="H262" i="1"/>
  <c r="G262" i="1"/>
  <c r="F262" i="1"/>
  <c r="C123" i="2"/>
  <c r="A1" i="2"/>
  <c r="A2" i="2"/>
  <c r="C9" i="2"/>
  <c r="D9" i="2"/>
  <c r="D19" i="2" s="1"/>
  <c r="E9" i="2"/>
  <c r="E19" i="2" s="1"/>
  <c r="F9" i="2"/>
  <c r="I431" i="1"/>
  <c r="J9" i="1"/>
  <c r="G9" i="2" s="1"/>
  <c r="C10" i="2"/>
  <c r="D10" i="2"/>
  <c r="E10" i="2"/>
  <c r="F10" i="2"/>
  <c r="F19" i="2" s="1"/>
  <c r="I432" i="1"/>
  <c r="J10" i="1" s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C19" i="2" s="1"/>
  <c r="D18" i="2"/>
  <c r="E18" i="2"/>
  <c r="F18" i="2"/>
  <c r="I437" i="1"/>
  <c r="J18" i="1" s="1"/>
  <c r="G18" i="2" s="1"/>
  <c r="C22" i="2"/>
  <c r="D22" i="2"/>
  <c r="E22" i="2"/>
  <c r="E32" i="2" s="1"/>
  <c r="F22" i="2"/>
  <c r="I440" i="1"/>
  <c r="J23" i="1" s="1"/>
  <c r="D23" i="2"/>
  <c r="E23" i="2"/>
  <c r="F23" i="2"/>
  <c r="I441" i="1"/>
  <c r="J24" i="1" s="1"/>
  <c r="G23" i="2" s="1"/>
  <c r="C24" i="2"/>
  <c r="C25" i="2"/>
  <c r="C26" i="2"/>
  <c r="C27" i="2"/>
  <c r="C28" i="2"/>
  <c r="C29" i="2"/>
  <c r="C30" i="2"/>
  <c r="C31" i="2"/>
  <c r="C34" i="2"/>
  <c r="C42" i="2" s="1"/>
  <c r="C43" i="2" s="1"/>
  <c r="C35" i="2"/>
  <c r="C36" i="2"/>
  <c r="C37" i="2"/>
  <c r="C38" i="2"/>
  <c r="C40" i="2"/>
  <c r="C41" i="2"/>
  <c r="D24" i="2"/>
  <c r="E24" i="2"/>
  <c r="I442" i="1"/>
  <c r="J25" i="1"/>
  <c r="G24" i="2" s="1"/>
  <c r="D25" i="2"/>
  <c r="E25" i="2"/>
  <c r="F25" i="2"/>
  <c r="F26" i="2"/>
  <c r="F27" i="2"/>
  <c r="D28" i="2"/>
  <c r="D32" i="2" s="1"/>
  <c r="E28" i="2"/>
  <c r="F28" i="2"/>
  <c r="D29" i="2"/>
  <c r="E29" i="2"/>
  <c r="F29" i="2"/>
  <c r="D30" i="2"/>
  <c r="E30" i="2"/>
  <c r="F30" i="2"/>
  <c r="D31" i="2"/>
  <c r="E31" i="2"/>
  <c r="F31" i="2"/>
  <c r="I443" i="1"/>
  <c r="J32" i="1" s="1"/>
  <c r="G31" i="2" s="1"/>
  <c r="D34" i="2"/>
  <c r="E34" i="2"/>
  <c r="E42" i="2" s="1"/>
  <c r="E43" i="2" s="1"/>
  <c r="F34" i="2"/>
  <c r="D35" i="2"/>
  <c r="E35" i="2"/>
  <c r="F35" i="2"/>
  <c r="D36" i="2"/>
  <c r="E36" i="2"/>
  <c r="F36" i="2"/>
  <c r="F42" i="2" s="1"/>
  <c r="I446" i="1"/>
  <c r="J37" i="1" s="1"/>
  <c r="D37" i="2"/>
  <c r="E37" i="2"/>
  <c r="F37" i="2"/>
  <c r="I447" i="1"/>
  <c r="J38" i="1"/>
  <c r="G37" i="2" s="1"/>
  <c r="D38" i="2"/>
  <c r="E38" i="2"/>
  <c r="F38" i="2"/>
  <c r="I448" i="1"/>
  <c r="J40" i="1"/>
  <c r="G39" i="2" s="1"/>
  <c r="E40" i="2"/>
  <c r="D41" i="2"/>
  <c r="E41" i="2"/>
  <c r="F41" i="2"/>
  <c r="D48" i="2"/>
  <c r="E48" i="2"/>
  <c r="F48" i="2"/>
  <c r="C49" i="2"/>
  <c r="C50" i="2"/>
  <c r="C54" i="2" s="1"/>
  <c r="C51" i="2"/>
  <c r="D51" i="2"/>
  <c r="E51" i="2"/>
  <c r="F51" i="2"/>
  <c r="F54" i="2" s="1"/>
  <c r="D52" i="2"/>
  <c r="D54" i="2" s="1"/>
  <c r="C53" i="2"/>
  <c r="D53" i="2"/>
  <c r="E53" i="2"/>
  <c r="F53" i="2"/>
  <c r="C58" i="2"/>
  <c r="C59" i="2"/>
  <c r="C61" i="2"/>
  <c r="D61" i="2"/>
  <c r="E61" i="2"/>
  <c r="E62" i="2"/>
  <c r="F61" i="2"/>
  <c r="F62" i="2"/>
  <c r="G61" i="2"/>
  <c r="G62" i="2" s="1"/>
  <c r="D62" i="2"/>
  <c r="C64" i="2"/>
  <c r="F64" i="2"/>
  <c r="C65" i="2"/>
  <c r="C70" i="2" s="1"/>
  <c r="C73" i="2" s="1"/>
  <c r="F65" i="2"/>
  <c r="C66" i="2"/>
  <c r="C67" i="2"/>
  <c r="C68" i="2"/>
  <c r="E68" i="2"/>
  <c r="E70" i="2" s="1"/>
  <c r="E73" i="2" s="1"/>
  <c r="F68" i="2"/>
  <c r="F70" i="2" s="1"/>
  <c r="F73" i="2" s="1"/>
  <c r="C69" i="2"/>
  <c r="D69" i="2"/>
  <c r="D70" i="2"/>
  <c r="E69" i="2"/>
  <c r="E71" i="2"/>
  <c r="E72" i="2"/>
  <c r="E77" i="2"/>
  <c r="E83" i="2" s="1"/>
  <c r="E79" i="2"/>
  <c r="E80" i="2"/>
  <c r="E81" i="2"/>
  <c r="E88" i="2"/>
  <c r="E89" i="2"/>
  <c r="E90" i="2"/>
  <c r="E91" i="2"/>
  <c r="E92" i="2"/>
  <c r="E93" i="2"/>
  <c r="E94" i="2"/>
  <c r="E95" i="2"/>
  <c r="F69" i="2"/>
  <c r="G69" i="2"/>
  <c r="G70" i="2"/>
  <c r="C71" i="2"/>
  <c r="D71" i="2"/>
  <c r="D73" i="2"/>
  <c r="C72" i="2"/>
  <c r="F77" i="2"/>
  <c r="F83" i="2" s="1"/>
  <c r="C79" i="2"/>
  <c r="F79" i="2"/>
  <c r="C80" i="2"/>
  <c r="D80" i="2"/>
  <c r="F80" i="2"/>
  <c r="C81" i="2"/>
  <c r="D81" i="2"/>
  <c r="F81" i="2"/>
  <c r="C82" i="2"/>
  <c r="C85" i="2"/>
  <c r="F85" i="2"/>
  <c r="F95" i="2" s="1"/>
  <c r="C86" i="2"/>
  <c r="C95" i="2" s="1"/>
  <c r="F86" i="2"/>
  <c r="D88" i="2"/>
  <c r="F88" i="2"/>
  <c r="G88" i="2"/>
  <c r="C89" i="2"/>
  <c r="D89" i="2"/>
  <c r="F89" i="2"/>
  <c r="G89" i="2"/>
  <c r="C90" i="2"/>
  <c r="D90" i="2"/>
  <c r="G90" i="2"/>
  <c r="G95" i="2" s="1"/>
  <c r="C91" i="2"/>
  <c r="D91" i="2"/>
  <c r="D95" i="2" s="1"/>
  <c r="F91" i="2"/>
  <c r="C92" i="2"/>
  <c r="D92" i="2"/>
  <c r="F92" i="2"/>
  <c r="C93" i="2"/>
  <c r="D93" i="2"/>
  <c r="F93" i="2"/>
  <c r="C94" i="2"/>
  <c r="D94" i="2"/>
  <c r="F94" i="2"/>
  <c r="C105" i="2"/>
  <c r="C106" i="2"/>
  <c r="D107" i="2"/>
  <c r="F107" i="2"/>
  <c r="G107" i="2"/>
  <c r="C114" i="2"/>
  <c r="E115" i="2"/>
  <c r="F120" i="2"/>
  <c r="G120" i="2"/>
  <c r="C122" i="2"/>
  <c r="E122" i="2"/>
  <c r="F126" i="2"/>
  <c r="D126" i="2"/>
  <c r="D136" i="2"/>
  <c r="E126" i="2"/>
  <c r="E136" i="2" s="1"/>
  <c r="K411" i="1"/>
  <c r="K426" i="1" s="1"/>
  <c r="G126" i="2" s="1"/>
  <c r="G136" i="2" s="1"/>
  <c r="G137" i="2" s="1"/>
  <c r="K419" i="1"/>
  <c r="K425" i="1"/>
  <c r="L255" i="1"/>
  <c r="C127" i="2" s="1"/>
  <c r="E127" i="2"/>
  <c r="L256" i="1"/>
  <c r="C128" i="2" s="1"/>
  <c r="L257" i="1"/>
  <c r="C129" i="2" s="1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C150" i="2"/>
  <c r="D150" i="2"/>
  <c r="E150" i="2"/>
  <c r="F150" i="2"/>
  <c r="D151" i="2"/>
  <c r="E151" i="2"/>
  <c r="B152" i="2"/>
  <c r="G152" i="2" s="1"/>
  <c r="C152" i="2"/>
  <c r="D152" i="2"/>
  <c r="E152" i="2"/>
  <c r="F152" i="2"/>
  <c r="I490" i="1"/>
  <c r="E153" i="2"/>
  <c r="B154" i="2"/>
  <c r="C154" i="2"/>
  <c r="D154" i="2"/>
  <c r="E154" i="2"/>
  <c r="G154" i="2" s="1"/>
  <c r="F154" i="2"/>
  <c r="B155" i="2"/>
  <c r="G155" i="2" s="1"/>
  <c r="C155" i="2"/>
  <c r="D155" i="2"/>
  <c r="E155" i="2"/>
  <c r="F155" i="2"/>
  <c r="F493" i="1"/>
  <c r="B156" i="2"/>
  <c r="G493" i="1"/>
  <c r="C156" i="2" s="1"/>
  <c r="H493" i="1"/>
  <c r="D156" i="2"/>
  <c r="I493" i="1"/>
  <c r="K493" i="1" s="1"/>
  <c r="E156" i="2"/>
  <c r="J493" i="1"/>
  <c r="F156" i="2" s="1"/>
  <c r="F19" i="1"/>
  <c r="G607" i="1" s="1"/>
  <c r="G19" i="1"/>
  <c r="H19" i="1"/>
  <c r="G609" i="1" s="1"/>
  <c r="I19" i="1"/>
  <c r="G33" i="1"/>
  <c r="H33" i="1"/>
  <c r="I33" i="1"/>
  <c r="F43" i="1"/>
  <c r="H43" i="1"/>
  <c r="G614" i="1" s="1"/>
  <c r="F169" i="1"/>
  <c r="I169" i="1"/>
  <c r="F175" i="1"/>
  <c r="G175" i="1"/>
  <c r="G184" i="1" s="1"/>
  <c r="H175" i="1"/>
  <c r="H184" i="1"/>
  <c r="I175" i="1"/>
  <c r="I184" i="1" s="1"/>
  <c r="J175" i="1"/>
  <c r="J184" i="1" s="1"/>
  <c r="F180" i="1"/>
  <c r="G180" i="1"/>
  <c r="H180" i="1"/>
  <c r="I180" i="1"/>
  <c r="F203" i="1"/>
  <c r="I203" i="1"/>
  <c r="I249" i="1" s="1"/>
  <c r="I263" i="1" s="1"/>
  <c r="J203" i="1"/>
  <c r="J249" i="1" s="1"/>
  <c r="K203" i="1"/>
  <c r="J221" i="1"/>
  <c r="K221" i="1"/>
  <c r="J239" i="1"/>
  <c r="K239" i="1"/>
  <c r="F248" i="1"/>
  <c r="L248" i="1" s="1"/>
  <c r="G248" i="1"/>
  <c r="H248" i="1"/>
  <c r="I248" i="1"/>
  <c r="J248" i="1"/>
  <c r="K248" i="1"/>
  <c r="K249" i="1" s="1"/>
  <c r="K263" i="1" s="1"/>
  <c r="L262" i="1"/>
  <c r="F329" i="1"/>
  <c r="L329" i="1" s="1"/>
  <c r="G329" i="1"/>
  <c r="H329" i="1"/>
  <c r="I329" i="1"/>
  <c r="J329" i="1"/>
  <c r="K329" i="1"/>
  <c r="F354" i="1"/>
  <c r="G354" i="1"/>
  <c r="I354" i="1"/>
  <c r="G624" i="1" s="1"/>
  <c r="H360" i="1"/>
  <c r="I360" i="1" s="1"/>
  <c r="J354" i="1"/>
  <c r="K354" i="1"/>
  <c r="F361" i="1"/>
  <c r="G361" i="1"/>
  <c r="L373" i="1"/>
  <c r="H374" i="1"/>
  <c r="I374" i="1"/>
  <c r="J374" i="1"/>
  <c r="K374" i="1"/>
  <c r="F385" i="1"/>
  <c r="F400" i="1" s="1"/>
  <c r="H633" i="1" s="1"/>
  <c r="G385" i="1"/>
  <c r="G400" i="1" s="1"/>
  <c r="H635" i="1" s="1"/>
  <c r="I385" i="1"/>
  <c r="F393" i="1"/>
  <c r="G393" i="1"/>
  <c r="H393" i="1"/>
  <c r="F399" i="1"/>
  <c r="G399" i="1"/>
  <c r="H399" i="1"/>
  <c r="I399" i="1"/>
  <c r="L405" i="1"/>
  <c r="L406" i="1"/>
  <c r="L407" i="1"/>
  <c r="L408" i="1"/>
  <c r="L409" i="1"/>
  <c r="L410" i="1"/>
  <c r="F411" i="1"/>
  <c r="F426" i="1" s="1"/>
  <c r="G411" i="1"/>
  <c r="H411" i="1"/>
  <c r="H426" i="1" s="1"/>
  <c r="I411" i="1"/>
  <c r="I426" i="1" s="1"/>
  <c r="J411" i="1"/>
  <c r="L413" i="1"/>
  <c r="L414" i="1"/>
  <c r="L415" i="1"/>
  <c r="L416" i="1"/>
  <c r="L417" i="1"/>
  <c r="L418" i="1"/>
  <c r="L419" i="1"/>
  <c r="F419" i="1"/>
  <c r="G419" i="1"/>
  <c r="J419" i="1"/>
  <c r="L421" i="1"/>
  <c r="L422" i="1"/>
  <c r="L423" i="1"/>
  <c r="L424" i="1"/>
  <c r="L425" i="1" s="1"/>
  <c r="F425" i="1"/>
  <c r="G425" i="1"/>
  <c r="G426" i="1" s="1"/>
  <c r="H425" i="1"/>
  <c r="I425" i="1"/>
  <c r="J425" i="1"/>
  <c r="J426" i="1" s="1"/>
  <c r="F438" i="1"/>
  <c r="G629" i="1"/>
  <c r="G438" i="1"/>
  <c r="H438" i="1"/>
  <c r="G631" i="1"/>
  <c r="F444" i="1"/>
  <c r="F451" i="1" s="1"/>
  <c r="H629" i="1" s="1"/>
  <c r="J629" i="1" s="1"/>
  <c r="G444" i="1"/>
  <c r="G451" i="1" s="1"/>
  <c r="H630" i="1" s="1"/>
  <c r="H444" i="1"/>
  <c r="F450" i="1"/>
  <c r="G450" i="1"/>
  <c r="K485" i="1"/>
  <c r="K486" i="1"/>
  <c r="K487" i="1"/>
  <c r="K489" i="1"/>
  <c r="K491" i="1"/>
  <c r="K492" i="1"/>
  <c r="F507" i="1"/>
  <c r="G507" i="1"/>
  <c r="H507" i="1"/>
  <c r="I507" i="1"/>
  <c r="K514" i="1"/>
  <c r="J519" i="1"/>
  <c r="I524" i="1"/>
  <c r="J524" i="1"/>
  <c r="K524" i="1"/>
  <c r="F529" i="1"/>
  <c r="F535" i="1" s="1"/>
  <c r="G529" i="1"/>
  <c r="I529" i="1"/>
  <c r="J529" i="1"/>
  <c r="K529" i="1"/>
  <c r="F534" i="1"/>
  <c r="G534" i="1"/>
  <c r="I534" i="1"/>
  <c r="J534" i="1"/>
  <c r="K534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59" i="1"/>
  <c r="F560" i="1"/>
  <c r="G560" i="1"/>
  <c r="G561" i="1" s="1"/>
  <c r="H560" i="1"/>
  <c r="H561" i="1" s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3" i="1"/>
  <c r="K584" i="1"/>
  <c r="K585" i="1"/>
  <c r="K586" i="1"/>
  <c r="K587" i="1"/>
  <c r="H588" i="1"/>
  <c r="H639" i="1"/>
  <c r="I588" i="1"/>
  <c r="H640" i="1"/>
  <c r="K592" i="1"/>
  <c r="K593" i="1"/>
  <c r="F604" i="1"/>
  <c r="G604" i="1"/>
  <c r="H604" i="1"/>
  <c r="I604" i="1"/>
  <c r="J604" i="1"/>
  <c r="K604" i="1"/>
  <c r="G608" i="1"/>
  <c r="G610" i="1"/>
  <c r="G612" i="1"/>
  <c r="G630" i="1"/>
  <c r="J630" i="1" s="1"/>
  <c r="G633" i="1"/>
  <c r="J633" i="1" s="1"/>
  <c r="G634" i="1"/>
  <c r="G642" i="1"/>
  <c r="H642" i="1"/>
  <c r="J642" i="1"/>
  <c r="G643" i="1"/>
  <c r="J643" i="1" s="1"/>
  <c r="H643" i="1"/>
  <c r="G644" i="1"/>
  <c r="J644" i="1" s="1"/>
  <c r="H644" i="1"/>
  <c r="G645" i="1"/>
  <c r="J645" i="1" s="1"/>
  <c r="H645" i="1"/>
  <c r="G54" i="2"/>
  <c r="E13" i="13"/>
  <c r="C13" i="13" s="1"/>
  <c r="C62" i="2"/>
  <c r="G635" i="1"/>
  <c r="J635" i="1" s="1"/>
  <c r="L411" i="1"/>
  <c r="L399" i="1"/>
  <c r="C132" i="2" s="1"/>
  <c r="F184" i="1"/>
  <c r="G55" i="2"/>
  <c r="H104" i="1"/>
  <c r="H185" i="1" s="1"/>
  <c r="L226" i="1"/>
  <c r="C102" i="2" s="1"/>
  <c r="L190" i="1"/>
  <c r="G203" i="1"/>
  <c r="F132" i="1"/>
  <c r="C38" i="10" s="1"/>
  <c r="H154" i="1"/>
  <c r="H161" i="1"/>
  <c r="E103" i="2"/>
  <c r="L271" i="1"/>
  <c r="E104" i="2" s="1"/>
  <c r="D7" i="13"/>
  <c r="C7" i="13" s="1"/>
  <c r="G150" i="2"/>
  <c r="J490" i="1"/>
  <c r="F153" i="2" s="1"/>
  <c r="F490" i="1"/>
  <c r="L379" i="1"/>
  <c r="H385" i="1"/>
  <c r="H400" i="1"/>
  <c r="H634" i="1"/>
  <c r="J634" i="1"/>
  <c r="B153" i="2"/>
  <c r="I449" i="1"/>
  <c r="J41" i="1" s="1"/>
  <c r="G40" i="2" s="1"/>
  <c r="J320" i="1"/>
  <c r="J594" i="1" s="1"/>
  <c r="J595" i="1" s="1"/>
  <c r="L318" i="1"/>
  <c r="L315" i="1"/>
  <c r="G320" i="1"/>
  <c r="I320" i="1"/>
  <c r="L299" i="1"/>
  <c r="E117" i="2"/>
  <c r="J301" i="1"/>
  <c r="F31" i="13" s="1"/>
  <c r="I594" i="1"/>
  <c r="I595" i="1" s="1"/>
  <c r="G301" i="1"/>
  <c r="L296" i="1"/>
  <c r="L293" i="1"/>
  <c r="L312" i="1"/>
  <c r="E111" i="2" s="1"/>
  <c r="K301" i="1"/>
  <c r="I301" i="1"/>
  <c r="H320" i="1"/>
  <c r="K320" i="1"/>
  <c r="J550" i="1"/>
  <c r="K282" i="1"/>
  <c r="K330" i="1"/>
  <c r="H301" i="1"/>
  <c r="H330" i="1" s="1"/>
  <c r="H344" i="1" s="1"/>
  <c r="G550" i="1"/>
  <c r="L274" i="1"/>
  <c r="L279" i="1"/>
  <c r="J282" i="1"/>
  <c r="H550" i="1"/>
  <c r="I550" i="1"/>
  <c r="I561" i="1" s="1"/>
  <c r="L277" i="1"/>
  <c r="E114" i="2"/>
  <c r="F282" i="1"/>
  <c r="L268" i="1"/>
  <c r="G282" i="1"/>
  <c r="G330" i="1" s="1"/>
  <c r="G344" i="1" s="1"/>
  <c r="L287" i="1"/>
  <c r="E101" i="2" s="1"/>
  <c r="E107" i="2" s="1"/>
  <c r="E137" i="2" s="1"/>
  <c r="F301" i="1"/>
  <c r="F330" i="1" s="1"/>
  <c r="F344" i="1" s="1"/>
  <c r="L306" i="1"/>
  <c r="L320" i="1" s="1"/>
  <c r="F320" i="1"/>
  <c r="C18" i="12"/>
  <c r="L269" i="1"/>
  <c r="I282" i="1"/>
  <c r="I330" i="1" s="1"/>
  <c r="I344" i="1" s="1"/>
  <c r="H282" i="1"/>
  <c r="G519" i="1"/>
  <c r="L232" i="1"/>
  <c r="I239" i="1"/>
  <c r="L225" i="1"/>
  <c r="L239" i="1" s="1"/>
  <c r="F239" i="1"/>
  <c r="L212" i="1"/>
  <c r="L217" i="1"/>
  <c r="L214" i="1"/>
  <c r="I221" i="1"/>
  <c r="H354" i="1"/>
  <c r="L199" i="1"/>
  <c r="L189" i="1"/>
  <c r="C101" i="2" s="1"/>
  <c r="L194" i="1"/>
  <c r="D6" i="13" s="1"/>
  <c r="C6" i="13" s="1"/>
  <c r="L560" i="1"/>
  <c r="I514" i="1"/>
  <c r="L512" i="1"/>
  <c r="L514" i="1" s="1"/>
  <c r="F540" i="1"/>
  <c r="K540" i="1" s="1"/>
  <c r="H524" i="1"/>
  <c r="L513" i="1"/>
  <c r="F541" i="1" s="1"/>
  <c r="K541" i="1" s="1"/>
  <c r="J514" i="1"/>
  <c r="J535" i="1" s="1"/>
  <c r="G514" i="1"/>
  <c r="L533" i="1"/>
  <c r="H514" i="1"/>
  <c r="L532" i="1"/>
  <c r="J540" i="1" s="1"/>
  <c r="J542" i="1" s="1"/>
  <c r="I519" i="1"/>
  <c r="I535" i="1" s="1"/>
  <c r="L518" i="1"/>
  <c r="G541" i="1" s="1"/>
  <c r="H519" i="1"/>
  <c r="H535" i="1" s="1"/>
  <c r="G31" i="13"/>
  <c r="L288" i="1"/>
  <c r="L230" i="1"/>
  <c r="H239" i="1"/>
  <c r="L208" i="1"/>
  <c r="F221" i="1"/>
  <c r="F249" i="1"/>
  <c r="F263" i="1" s="1"/>
  <c r="B18" i="12"/>
  <c r="L207" i="1"/>
  <c r="G221" i="1"/>
  <c r="G249" i="1"/>
  <c r="G263" i="1" s="1"/>
  <c r="H221" i="1"/>
  <c r="L218" i="1"/>
  <c r="H203" i="1"/>
  <c r="H249" i="1"/>
  <c r="H263" i="1"/>
  <c r="L517" i="1"/>
  <c r="G540" i="1"/>
  <c r="L527" i="1"/>
  <c r="F519" i="1"/>
  <c r="L528" i="1"/>
  <c r="I541" i="1" s="1"/>
  <c r="I542" i="1" s="1"/>
  <c r="F514" i="1"/>
  <c r="L511" i="1"/>
  <c r="E102" i="2"/>
  <c r="C11" i="10"/>
  <c r="C110" i="2"/>
  <c r="G652" i="1"/>
  <c r="G640" i="1"/>
  <c r="J640" i="1" s="1"/>
  <c r="H534" i="1"/>
  <c r="L531" i="1"/>
  <c r="L526" i="1"/>
  <c r="H529" i="1"/>
  <c r="K519" i="1"/>
  <c r="K535" i="1"/>
  <c r="L516" i="1"/>
  <c r="L519" i="1" s="1"/>
  <c r="F539" i="1"/>
  <c r="F542" i="1" s="1"/>
  <c r="J539" i="1"/>
  <c r="I539" i="1"/>
  <c r="I540" i="1"/>
  <c r="L529" i="1"/>
  <c r="L534" i="1"/>
  <c r="J541" i="1"/>
  <c r="C20" i="10"/>
  <c r="D14" i="13"/>
  <c r="C14" i="13"/>
  <c r="C115" i="2"/>
  <c r="C117" i="2"/>
  <c r="E16" i="13"/>
  <c r="C16" i="13" s="1"/>
  <c r="L548" i="1"/>
  <c r="J330" i="1"/>
  <c r="J344" i="1" s="1"/>
  <c r="F550" i="1"/>
  <c r="F561" i="1" s="1"/>
  <c r="L547" i="1"/>
  <c r="L550" i="1" s="1"/>
  <c r="L561" i="1" s="1"/>
  <c r="D5" i="13"/>
  <c r="C5" i="13" s="1"/>
  <c r="C112" i="2"/>
  <c r="G524" i="1"/>
  <c r="G535" i="1"/>
  <c r="L522" i="1"/>
  <c r="H540" i="1" s="1"/>
  <c r="L523" i="1"/>
  <c r="H541" i="1" s="1"/>
  <c r="F524" i="1"/>
  <c r="L521" i="1"/>
  <c r="H539" i="1" s="1"/>
  <c r="H542" i="1" s="1"/>
  <c r="J609" i="1" l="1"/>
  <c r="G36" i="2"/>
  <c r="G42" i="2" s="1"/>
  <c r="J43" i="1"/>
  <c r="G185" i="1"/>
  <c r="H650" i="1"/>
  <c r="F43" i="2"/>
  <c r="G19" i="2"/>
  <c r="H33" i="13"/>
  <c r="C25" i="13"/>
  <c r="D31" i="13"/>
  <c r="C31" i="13" s="1"/>
  <c r="J263" i="1"/>
  <c r="H638" i="1"/>
  <c r="G22" i="2"/>
  <c r="G32" i="2" s="1"/>
  <c r="J33" i="1"/>
  <c r="C39" i="10"/>
  <c r="I651" i="1"/>
  <c r="L249" i="1"/>
  <c r="L263" i="1" s="1"/>
  <c r="F650" i="1"/>
  <c r="C8" i="13"/>
  <c r="E33" i="13"/>
  <c r="D35" i="13" s="1"/>
  <c r="H458" i="1"/>
  <c r="G619" i="1"/>
  <c r="G73" i="2"/>
  <c r="C107" i="2"/>
  <c r="G96" i="2"/>
  <c r="G462" i="1"/>
  <c r="C27" i="10"/>
  <c r="G625" i="1"/>
  <c r="J624" i="1"/>
  <c r="H637" i="1"/>
  <c r="J637" i="1" s="1"/>
  <c r="C21" i="10"/>
  <c r="C116" i="2"/>
  <c r="G641" i="1"/>
  <c r="J641" i="1" s="1"/>
  <c r="H652" i="1"/>
  <c r="I652" i="1" s="1"/>
  <c r="F104" i="1"/>
  <c r="F185" i="1" s="1"/>
  <c r="C35" i="10"/>
  <c r="C48" i="2"/>
  <c r="C55" i="2" s="1"/>
  <c r="C96" i="2" s="1"/>
  <c r="F55" i="2"/>
  <c r="F96" i="2" s="1"/>
  <c r="J185" i="1"/>
  <c r="C130" i="2"/>
  <c r="G151" i="2"/>
  <c r="D43" i="2"/>
  <c r="L426" i="1"/>
  <c r="H451" i="1"/>
  <c r="H631" i="1" s="1"/>
  <c r="J631" i="1" s="1"/>
  <c r="G156" i="2"/>
  <c r="F137" i="2"/>
  <c r="I185" i="1"/>
  <c r="D55" i="2"/>
  <c r="D96" i="2" s="1"/>
  <c r="E54" i="2"/>
  <c r="E55" i="2" s="1"/>
  <c r="E96" i="2" s="1"/>
  <c r="H361" i="1"/>
  <c r="D15" i="13"/>
  <c r="C15" i="13" s="1"/>
  <c r="F33" i="1"/>
  <c r="F44" i="1" s="1"/>
  <c r="H607" i="1" s="1"/>
  <c r="J607" i="1" s="1"/>
  <c r="C113" i="2"/>
  <c r="C32" i="10"/>
  <c r="K550" i="1"/>
  <c r="K561" i="1" s="1"/>
  <c r="C104" i="2"/>
  <c r="I450" i="1"/>
  <c r="H44" i="1"/>
  <c r="H609" i="1" s="1"/>
  <c r="F374" i="1"/>
  <c r="C18" i="10"/>
  <c r="F33" i="13"/>
  <c r="C103" i="2"/>
  <c r="A13" i="12"/>
  <c r="J19" i="1"/>
  <c r="G611" i="1" s="1"/>
  <c r="D29" i="13"/>
  <c r="C29" i="13" s="1"/>
  <c r="G639" i="1"/>
  <c r="J639" i="1" s="1"/>
  <c r="C151" i="2"/>
  <c r="L524" i="1"/>
  <c r="L535" i="1" s="1"/>
  <c r="H653" i="1"/>
  <c r="L374" i="1"/>
  <c r="G539" i="1"/>
  <c r="C10" i="10"/>
  <c r="C111" i="2"/>
  <c r="G651" i="1"/>
  <c r="I43" i="1"/>
  <c r="F122" i="2"/>
  <c r="F136" i="2" s="1"/>
  <c r="C12" i="10"/>
  <c r="I438" i="1"/>
  <c r="G632" i="1" s="1"/>
  <c r="L301" i="1"/>
  <c r="L330" i="1" s="1"/>
  <c r="L344" i="1" s="1"/>
  <c r="I444" i="1"/>
  <c r="I451" i="1" s="1"/>
  <c r="H632" i="1" s="1"/>
  <c r="G490" i="1"/>
  <c r="H594" i="1"/>
  <c r="G43" i="1"/>
  <c r="G623" i="1" l="1"/>
  <c r="H462" i="1"/>
  <c r="G626" i="1"/>
  <c r="I462" i="1"/>
  <c r="H460" i="1"/>
  <c r="H619" i="1"/>
  <c r="J619" i="1" s="1"/>
  <c r="J458" i="1"/>
  <c r="G636" i="1"/>
  <c r="G621" i="1"/>
  <c r="I392" i="1"/>
  <c r="D33" i="13"/>
  <c r="D36" i="13" s="1"/>
  <c r="K490" i="1"/>
  <c r="C153" i="2"/>
  <c r="G153" i="2" s="1"/>
  <c r="J632" i="1"/>
  <c r="G650" i="1"/>
  <c r="G654" i="1" s="1"/>
  <c r="H654" i="1"/>
  <c r="K539" i="1"/>
  <c r="K542" i="1" s="1"/>
  <c r="G542" i="1"/>
  <c r="F653" i="1"/>
  <c r="I653" i="1" s="1"/>
  <c r="K594" i="1"/>
  <c r="K595" i="1" s="1"/>
  <c r="G638" i="1" s="1"/>
  <c r="J638" i="1" s="1"/>
  <c r="H595" i="1"/>
  <c r="D12" i="10"/>
  <c r="F654" i="1"/>
  <c r="I458" i="1"/>
  <c r="G620" i="1"/>
  <c r="F462" i="1"/>
  <c r="G622" i="1"/>
  <c r="G613" i="1"/>
  <c r="G44" i="1"/>
  <c r="H608" i="1" s="1"/>
  <c r="J608" i="1" s="1"/>
  <c r="J611" i="1"/>
  <c r="C36" i="10"/>
  <c r="C41" i="10" s="1"/>
  <c r="G618" i="1"/>
  <c r="G458" i="1"/>
  <c r="G617" i="1"/>
  <c r="F458" i="1"/>
  <c r="G616" i="1"/>
  <c r="J44" i="1"/>
  <c r="H611" i="1" s="1"/>
  <c r="I44" i="1"/>
  <c r="H610" i="1" s="1"/>
  <c r="J610" i="1" s="1"/>
  <c r="G615" i="1"/>
  <c r="H625" i="1"/>
  <c r="J625" i="1" s="1"/>
  <c r="G464" i="1"/>
  <c r="C120" i="2"/>
  <c r="G43" i="2"/>
  <c r="C28" i="10"/>
  <c r="D10" i="10" s="1"/>
  <c r="J462" i="1"/>
  <c r="G628" i="1"/>
  <c r="D18" i="10"/>
  <c r="D40" i="10" l="1"/>
  <c r="D37" i="10"/>
  <c r="D38" i="10"/>
  <c r="D35" i="10"/>
  <c r="D39" i="10"/>
  <c r="J460" i="1"/>
  <c r="H621" i="1"/>
  <c r="H627" i="1"/>
  <c r="J628" i="1"/>
  <c r="F464" i="1"/>
  <c r="H622" i="1"/>
  <c r="J622" i="1" s="1"/>
  <c r="H628" i="1"/>
  <c r="J464" i="1"/>
  <c r="F460" i="1"/>
  <c r="H617" i="1"/>
  <c r="D27" i="10"/>
  <c r="D21" i="10"/>
  <c r="J617" i="1"/>
  <c r="H662" i="1"/>
  <c r="C6" i="10" s="1"/>
  <c r="H657" i="1"/>
  <c r="D22" i="10"/>
  <c r="D25" i="10"/>
  <c r="C30" i="10"/>
  <c r="D19" i="10"/>
  <c r="D17" i="10"/>
  <c r="D26" i="10"/>
  <c r="D24" i="10"/>
  <c r="D15" i="10"/>
  <c r="D11" i="10"/>
  <c r="D28" i="10" s="1"/>
  <c r="D20" i="10"/>
  <c r="D13" i="10"/>
  <c r="D23" i="10"/>
  <c r="D16" i="10"/>
  <c r="H618" i="1"/>
  <c r="J618" i="1" s="1"/>
  <c r="G460" i="1"/>
  <c r="G466" i="1" s="1"/>
  <c r="H613" i="1" s="1"/>
  <c r="J613" i="1" s="1"/>
  <c r="I460" i="1"/>
  <c r="H620" i="1"/>
  <c r="J620" i="1" s="1"/>
  <c r="G662" i="1"/>
  <c r="C5" i="10" s="1"/>
  <c r="G657" i="1"/>
  <c r="H466" i="1"/>
  <c r="H614" i="1" s="1"/>
  <c r="J614" i="1" s="1"/>
  <c r="I393" i="1"/>
  <c r="I400" i="1" s="1"/>
  <c r="L392" i="1"/>
  <c r="L393" i="1" s="1"/>
  <c r="J621" i="1"/>
  <c r="F662" i="1"/>
  <c r="C4" i="10" s="1"/>
  <c r="F657" i="1"/>
  <c r="I464" i="1"/>
  <c r="H626" i="1"/>
  <c r="J626" i="1" s="1"/>
  <c r="I650" i="1"/>
  <c r="I654" i="1" s="1"/>
  <c r="D36" i="10"/>
  <c r="H464" i="1"/>
  <c r="H623" i="1"/>
  <c r="J623" i="1" s="1"/>
  <c r="I657" i="1" l="1"/>
  <c r="I662" i="1"/>
  <c r="C7" i="10" s="1"/>
  <c r="J466" i="1"/>
  <c r="H616" i="1" s="1"/>
  <c r="J616" i="1" s="1"/>
  <c r="I466" i="1"/>
  <c r="H615" i="1" s="1"/>
  <c r="J615" i="1" s="1"/>
  <c r="D41" i="10"/>
  <c r="F466" i="1"/>
  <c r="H612" i="1" s="1"/>
  <c r="J612" i="1" s="1"/>
  <c r="C131" i="2"/>
  <c r="L400" i="1"/>
  <c r="H636" i="1" l="1"/>
  <c r="J636" i="1" s="1"/>
  <c r="G627" i="1"/>
  <c r="C133" i="2"/>
  <c r="C136" i="2" s="1"/>
  <c r="C137" i="2" s="1"/>
  <c r="J627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CB8FA9A-99BA-478A-9F55-733B79498902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821A5B9-1F67-4690-8833-A9D3AAC8D350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1D409F6-F620-4AAE-B2BB-D9C4EE0E9396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8FCCD37-DB80-4C63-800D-40AE4B3FB3E7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B2AECE54-2A13-4A8D-A83F-92A63C9C98E8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9CD1B46-8B3A-4A5C-9B83-FF418FC71D4A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6DB6F483-4534-4645-BC52-24BA297C6607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FEB8E0FB-A0F0-4B8A-A353-D1601D8C6504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033CC11F-34FD-48CD-B89F-9D4EAA78CFC8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DD79BE38-92B6-4753-B27D-726D28292FD3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9ACC46C6-081E-47FF-A935-426F29B370A0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8E060FE-6E1B-4103-919E-C8976AC7E663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<sst xmlns="http://schemas.openxmlformats.org/spreadsheetml/2006/main" count="3866" uniqueCount="900">
  <si>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</si>
  <si>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</si>
  <si>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</si>
  <si>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</si>
  <si>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</si>
  <si>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</si>
  <si>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</si>
  <si>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</si>
  <si>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</si>
  <si>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</si>
  <si>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</si>
  <si>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</si>
  <si>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</si>
  <si>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</si>
  <si>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</si>
  <si>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</si>
  <si>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</si>
  <si>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</si>
  <si>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</si>
  <si>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</si>
  <si>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</si>
  <si>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</si>
  <si>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</si>
  <si>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</si>
  <si>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</si>
  <si>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</si>
  <si>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</si>
  <si>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</si>
  <si>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</si>
  <si>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</si>
  <si>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</si>
  <si>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</si>
  <si>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</si>
  <si>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</si>
  <si>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</si>
  <si>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</si>
  <si>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</si>
  <si>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</si>
  <si>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</si>
  <si>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</si>
  <si>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</si>
  <si>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</si>
  <si>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</si>
  <si>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</si>
  <si>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</si>
  <si>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</si>
  <si>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</si>
  <si>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</si>
  <si>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</si>
  <si>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</si>
  <si>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</si>
  <si>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</si>
  <si>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</si>
  <si>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</si>
  <si>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</si>
  <si>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</si>
  <si>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</si>
  <si>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</si>
  <si>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</si>
  <si>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</si>
  <si>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</si>
  <si>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</si>
  <si>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</si>
  <si>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</si>
  <si>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</si>
  <si>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</si>
  <si>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</si>
  <si>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</si>
  <si>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</si>
  <si>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</si>
  <si>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</si>
  <si>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</si>
  <si>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</si>
  <si>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</si>
  <si>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</si>
  <si>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</si>
  <si>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</si>
  <si>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</si>
  <si>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</si>
  <si>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</si>
  <si>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</si>
  <si>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</si>
  <si>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</si>
  <si>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</si>
  <si>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</si>
  <si>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</si>
  <si>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</si>
  <si>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</si>
  <si>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</si>
  <si>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</si>
  <si>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</si>
  <si>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</si>
  <si>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</si>
  <si>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</si>
  <si>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</si>
  <si>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</si>
  <si>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</si>
  <si>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</si>
  <si>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</si>
  <si>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</si>
  <si>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</si>
  <si>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</si>
  <si>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</si>
  <si>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</si>
  <si>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</si>
  <si>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</si>
  <si>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</si>
  <si>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</si>
  <si>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</si>
  <si>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</si>
  <si>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</si>
  <si>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</si>
  <si>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</si>
  <si>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</si>
  <si>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</si>
  <si>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</si>
  <si>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</si>
  <si>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</si>
  <si>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</si>
  <si>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</si>
  <si>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</si>
  <si>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</si>
  <si>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</si>
  <si>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</si>
  <si>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</si>
  <si>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</si>
  <si>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</si>
  <si>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</si>
  <si>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</si>
  <si>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</si>
  <si>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</si>
  <si>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</si>
  <si>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</si>
  <si>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</si>
  <si>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</si>
  <si>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</si>
  <si>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</si>
  <si>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</si>
  <si>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</si>
  <si>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</si>
  <si>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</si>
  <si>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</si>
  <si>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</si>
  <si>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</si>
  <si>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</si>
  <si>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</si>
  <si>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</si>
  <si>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</si>
  <si>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</si>
  <si>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</si>
  <si>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</si>
  <si>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</si>
  <si>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</si>
  <si>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</si>
  <si>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</si>
  <si>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</si>
  <si>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</si>
  <si>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</si>
  <si>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</si>
  <si>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</si>
  <si>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</si>
  <si>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</si>
  <si>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</si>
  <si>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</si>
  <si>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</si>
  <si>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</si>
  <si>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</si>
  <si>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</si>
  <si>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</si>
  <si>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</si>
  <si>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</si>
  <si>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</si>
  <si>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</si>
  <si>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</si>
  <si>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</si>
  <si>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</si>
  <si>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</si>
  <si>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</si>
  <si>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</si>
  <si>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</si>
  <si>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</si>
  <si>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</si>
  <si>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</si>
  <si>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</si>
  <si>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</si>
  <si>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</si>
  <si>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</si>
  <si>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</si>
  <si>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</si>
  <si>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</si>
  <si>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</si>
  <si>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</si>
  <si>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</si>
  <si>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</si>
  <si>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</si>
  <si>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</si>
  <si>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</si>
  <si>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</si>
  <si>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</si>
  <si>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</si>
  <si>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</si>
  <si>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</si>
  <si>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</si>
  <si>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</si>
  <si>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</si>
  <si>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</si>
  <si>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</si>
  <si>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</si>
  <si>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</si>
  <si>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</si>
  <si>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</si>
  <si>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</si>
  <si>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</si>
  <si>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</si>
  <si>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</si>
  <si>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</si>
  <si>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</si>
  <si>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</si>
  <si>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</si>
  <si>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</si>
  <si>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</si>
  <si>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</si>
  <si>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</si>
  <si>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</si>
  <si>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</si>
  <si>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</si>
  <si>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</si>
  <si>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</si>
  <si>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</si>
  <si>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</si>
  <si>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</si>
  <si>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</si>
  <si>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</si>
  <si>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</si>
  <si>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</si>
  <si>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</si>
  <si>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</si>
  <si>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</si>
  <si>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</si>
  <si>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</si>
  <si>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</si>
  <si>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</si>
  <si>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</si>
  <si>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</si>
  <si>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</si>
  <si>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</si>
  <si>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</si>
  <si>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</si>
  <si>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</si>
  <si>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</si>
  <si>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</si>
  <si>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</si>
  <si>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</si>
  <si>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</si>
  <si>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</si>
  <si>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</si>
  <si>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</si>
  <si>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</si>
  <si>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</si>
  <si>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</si>
  <si>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</si>
  <si>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</si>
  <si>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</si>
  <si>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</si>
  <si>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</si>
  <si>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</si>
  <si>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</si>
  <si>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</si>
  <si>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</si>
  <si>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</si>
  <si>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</si>
  <si>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</si>
  <si>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</si>
  <si>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</si>
  <si>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</si>
  <si>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</si>
  <si>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</si>
  <si>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</si>
  <si>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</si>
  <si>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</si>
  <si>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</si>
  <si>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</si>
  <si>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</si>
  <si>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</si>
  <si>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</si>
  <si>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</si>
  <si>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</si>
  <si>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</si>
  <si>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</si>
  <si>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</si>
  <si>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</si>
  <si>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</si>
  <si>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</si>
  <si>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</si>
  <si>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</si>
  <si>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</si>
  <si>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</si>
  <si>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</si>
  <si>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</si>
  <si>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</si>
  <si>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</si>
  <si>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</si>
  <si>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</si>
  <si>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</si>
  <si>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</si>
  <si>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</si>
  <si>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</si>
  <si>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</si>
  <si>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</si>
  <si>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</si>
  <si>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</si>
  <si>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</si>
  <si>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</si>
  <si>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</si>
  <si>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</si>
  <si>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</si>
  <si>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</si>
  <si>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</si>
  <si>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</si>
  <si>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</si>
  <si>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</si>
  <si>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</si>
  <si>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</si>
  <si>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</si>
  <si>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</si>
  <si>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</si>
  <si>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</si>
  <si>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</si>
  <si>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</si>
  <si>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</si>
  <si>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</si>
  <si>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</si>
  <si>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</si>
  <si>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</si>
  <si>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</si>
  <si>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</si>
  <si>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</si>
  <si>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</si>
  <si>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</si>
  <si>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</si>
  <si>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</si>
  <si>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</si>
  <si>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</si>
  <si>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</si>
  <si>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</si>
  <si>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</si>
  <si>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</si>
  <si>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</si>
  <si>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</si>
  <si>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</si>
  <si>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</si>
  <si>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</si>
  <si>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</si>
  <si>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</si>
  <si>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</si>
  <si>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</si>
  <si>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</si>
  <si>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</si>
  <si>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</si>
  <si>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</si>
  <si>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</si>
  <si>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</si>
  <si>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</si>
  <si>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</si>
  <si>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</si>
  <si>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</si>
  <si>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</si>
  <si>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</si>
  <si>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</si>
  <si>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</si>
  <si>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</si>
  <si>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</si>
  <si>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</si>
  <si>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</si>
  <si>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</si>
  <si>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</si>
  <si>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</si>
  <si>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</si>
  <si>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</si>
  <si>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</si>
  <si>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</si>
  <si>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</si>
  <si>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</si>
  <si>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</si>
  <si>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</si>
  <si>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</si>
  <si>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</si>
  <si>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</si>
  <si>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</si>
  <si>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</si>
  <si>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</si>
  <si>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</si>
  <si>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</si>
  <si>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</si>
  <si>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</si>
  <si>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</si>
  <si>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</si>
  <si>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</si>
  <si>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</si>
  <si>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</si>
  <si>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</si>
  <si>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</si>
  <si>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</si>
  <si>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</si>
  <si>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</si>
  <si>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</si>
  <si>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</si>
  <si>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</si>
  <si>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</si>
  <si>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</si>
  <si>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</si>
  <si>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</si>
  <si>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</si>
  <si>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</si>
  <si>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</si>
  <si>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</si>
  <si>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</si>
  <si>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</si>
  <si>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</si>
  <si>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</si>
  <si>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</si>
  <si>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</si>
  <si>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</si>
  <si>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</si>
  <si>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</si>
  <si>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</si>
  <si>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</si>
  <si>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</si>
  <si>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</si>
  <si>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</si>
  <si>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</si>
  <si>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</si>
  <si>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</si>
  <si>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</si>
  <si>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</si>
  <si>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</si>
  <si>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</si>
  <si>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</si>
  <si>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</si>
  <si>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</si>
  <si>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</si>
  <si>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</si>
  <si>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</si>
  <si>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</si>
  <si>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</si>
  <si>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</si>
  <si>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</si>
  <si>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</si>
  <si>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</si>
  <si>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</si>
  <si>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</si>
  <si>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</si>
  <si>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</si>
  <si>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</si>
  <si>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</si>
  <si>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</si>
  <si>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</si>
  <si>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</si>
  <si>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</si>
  <si>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</si>
  <si>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</si>
  <si>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</si>
  <si>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</si>
  <si>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</si>
  <si>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</si>
  <si>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</si>
  <si>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</si>
  <si>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</si>
  <si>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</si>
  <si>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</si>
  <si>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</si>
  <si>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</si>
  <si>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</si>
  <si>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</si>
  <si>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</si>
  <si>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</si>
  <si>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</si>
  <si>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</si>
  <si>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</si>
  <si>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</si>
  <si>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</si>
  <si>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</si>
  <si>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</si>
  <si>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</si>
  <si>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</si>
  <si>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</si>
  <si>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</si>
  <si>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</si>
  <si>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</si>
  <si>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</si>
  <si>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</si>
  <si>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</si>
  <si>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</si>
  <si>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</si>
  <si>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</si>
  <si>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</si>
  <si>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</si>
  <si>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</si>
  <si>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</si>
  <si>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</si>
  <si>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</si>
  <si>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</si>
  <si>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</si>
  <si>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</si>
  <si>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</si>
  <si>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</si>
  <si>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</si>
  <si>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</si>
  <si>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</si>
  <si>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</si>
  <si>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</si>
  <si>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</si>
  <si>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</si>
  <si>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</si>
  <si>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</si>
  <si>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</si>
  <si>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</si>
  <si>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</si>
  <si>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</si>
  <si>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</si>
  <si>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</si>
  <si>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</si>
  <si>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</si>
  <si>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</si>
  <si>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</si>
  <si>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</si>
  <si>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</si>
  <si>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</si>
  <si>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</si>
  <si>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</si>
  <si>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</si>
  <si>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</si>
  <si>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</si>
  <si>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</si>
  <si>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</si>
  <si>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</si>
  <si>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</si>
  <si>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</si>
  <si>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</si>
  <si>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</si>
  <si>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</si>
  <si>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</si>
  <si>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</si>
  <si>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</si>
  <si>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</si>
  <si>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</si>
  <si>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</si>
  <si>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</si>
  <si>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</si>
  <si>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</si>
  <si>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</si>
  <si>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</si>
  <si>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</si>
  <si>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</si>
  <si>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</si>
  <si>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</si>
  <si>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</si>
  <si>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</si>
  <si>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</si>
  <si>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</si>
  <si>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</si>
  <si>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</si>
  <si>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</si>
  <si>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</si>
  <si>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</si>
  <si>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</si>
  <si>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</si>
  <si>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</si>
  <si>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</si>
  <si>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</si>
  <si>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</si>
  <si>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</si>
  <si>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</si>
  <si>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</si>
  <si>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</si>
  <si>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</si>
  <si>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</si>
  <si>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</si>
  <si>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</si>
  <si>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</si>
  <si>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</si>
  <si>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</si>
  <si>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</si>
  <si>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</si>
  <si>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</si>
  <si>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</si>
  <si>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</si>
  <si>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</si>
  <si>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</si>
  <si>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</si>
  <si>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</si>
  <si>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</si>
  <si>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</si>
  <si>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</si>
  <si>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</si>
  <si>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</si>
  <si>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</si>
  <si>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</si>
  <si>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</si>
  <si>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</si>
  <si>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</si>
  <si>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</si>
  <si>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</si>
  <si>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</si>
  <si>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</si>
  <si>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</si>
  <si>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</si>
  <si>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</si>
  <si>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</si>
  <si>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</si>
  <si>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</si>
  <si>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</si>
  <si>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</si>
  <si>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</si>
  <si>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</si>
  <si>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</si>
  <si>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</si>
  <si>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</si>
  <si>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</si>
  <si>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</si>
  <si>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</si>
  <si>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</si>
  <si>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</si>
  <si>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</si>
  <si>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</si>
  <si>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</si>
  <si>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</si>
  <si>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</si>
  <si>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</si>
  <si>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</si>
  <si>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</si>
  <si>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</si>
  <si>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</si>
  <si>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</si>
  <si>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</si>
  <si>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</si>
  <si>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</si>
  <si>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</si>
  <si>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</si>
  <si>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</si>
  <si>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</si>
  <si>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</si>
  <si>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</si>
  <si>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</si>
  <si>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</si>
  <si>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</si>
  <si>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</si>
  <si>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</si>
  <si>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</si>
  <si>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</si>
  <si>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</si>
  <si>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</si>
  <si>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</si>
  <si>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</si>
  <si>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</si>
  <si>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</si>
  <si>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</si>
  <si>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</si>
  <si>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</si>
  <si>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</si>
  <si>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</si>
  <si>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</si>
  <si>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</si>
  <si>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</si>
  <si>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</si>
  <si>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</si>
  <si>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</si>
  <si>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</si>
  <si>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</si>
  <si>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</si>
  <si>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</si>
  <si>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</si>
  <si>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</si>
  <si>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</si>
  <si>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</si>
  <si>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</si>
  <si>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</si>
  <si>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</si>
  <si>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</si>
  <si>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</si>
  <si>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</si>
  <si>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</si>
  <si>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</si>
  <si>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</si>
  <si>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</si>
  <si>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</si>
  <si>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</si>
  <si>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</si>
  <si>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</si>
  <si>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</si>
  <si>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</si>
  <si>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</si>
  <si>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</si>
  <si>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</si>
  <si>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</si>
  <si>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</si>
  <si>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</si>
  <si>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</si>
  <si>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</si>
  <si>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</si>
  <si>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</si>
  <si>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</si>
  <si>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</si>
  <si>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</si>
  <si>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</si>
  <si>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</si>
  <si>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</si>
  <si>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</si>
  <si>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</si>
  <si>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</si>
  <si>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</si>
  <si>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</si>
  <si>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</si>
  <si>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</si>
  <si>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</si>
  <si>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</si>
  <si>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</si>
  <si>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</si>
  <si>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</si>
  <si>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</si>
  <si>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</si>
  <si>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</si>
  <si>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</si>
  <si>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</si>
  <si>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</si>
  <si>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</si>
  <si>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</si>
  <si>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</si>
  <si>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</si>
  <si>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</si>
  <si>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</si>
  <si>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</si>
  <si>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</si>
  <si>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</si>
  <si>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</si>
  <si>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</si>
  <si>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</si>
  <si>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</si>
  <si>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</si>
  <si>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</si>
  <si>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</si>
  <si>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</si>
  <si>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</si>
  <si>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</si>
  <si>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</si>
  <si>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</si>
  <si>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</si>
  <si>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</si>
  <si>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</si>
  <si>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</si>
  <si>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</si>
  <si>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</si>
  <si>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</si>
  <si>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</si>
  <si>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</si>
  <si>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</si>
  <si>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</si>
  <si>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</si>
  <si>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</si>
  <si>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</si>
  <si>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</si>
  <si>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</si>
  <si>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</si>
  <si>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</si>
  <si>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</si>
  <si>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</si>
  <si>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</si>
  <si>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</si>
  <si>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</si>
  <si>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</si>
  <si>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</si>
  <si>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</si>
  <si>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</si>
  <si>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</si>
  <si>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</si>
  <si>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</si>
  <si>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</si>
  <si>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</si>
  <si>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</si>
  <si>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</si>
  <si>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</si>
  <si>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</si>
  <si>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</si>
  <si>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</si>
  <si>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</si>
  <si>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</si>
  <si>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</si>
  <si>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</si>
  <si>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</si>
  <si>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</si>
  <si>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</si>
  <si>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</si>
  <si>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</si>
  <si>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</si>
  <si>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</si>
  <si>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</si>
  <si>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</si>
  <si>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</si>
  <si>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</si>
  <si>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</si>
  <si>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</si>
  <si>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</si>
  <si>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</si>
  <si>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</si>
  <si>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</si>
  <si>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</si>
  <si>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</si>
  <si>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</si>
  <si>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</si>
  <si>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</si>
  <si>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</si>
  <si>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</si>
  <si>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</si>
  <si>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</si>
  <si>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</si>
  <si>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</si>
  <si>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</si>
  <si>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</si>
  <si>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</si>
  <si>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</si>
  <si>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</si>
  <si>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</si>
  <si>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</si>
  <si>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</si>
  <si>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</si>
  <si>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</si>
  <si>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</si>
  <si>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</si>
  <si>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</si>
  <si>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</si>
  <si>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</si>
  <si>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</si>
  <si>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</si>
  <si>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</si>
  <si>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</si>
  <si>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</si>
  <si>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</si>
  <si>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</si>
  <si>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</si>
  <si>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</si>
  <si>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</si>
  <si>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</si>
  <si>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</si>
  <si>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</si>
  <si>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</si>
  <si>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</si>
  <si>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</si>
  <si>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</si>
  <si>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</si>
  <si>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</si>
  <si>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</si>
  <si>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</si>
  <si>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</si>
  <si>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</si>
  <si>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</si>
  <si>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</si>
  <si>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</si>
  <si>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</si>
  <si>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</si>
  <si>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</si>
  <si>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</si>
  <si>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</si>
  <si>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</si>
  <si>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</si>
  <si>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</si>
  <si>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</si>
  <si>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</si>
  <si>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</si>
  <si>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</si>
  <si>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</si>
  <si>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</si>
  <si>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</si>
  <si>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</si>
  <si>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</si>
  <si>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</si>
  <si>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</si>
  <si>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</si>
  <si>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</si>
  <si>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</si>
  <si>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</si>
  <si>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</si>
  <si>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</si>
  <si>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</si>
  <si>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</si>
  <si>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</si>
  <si>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</si>
  <si>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</si>
  <si>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</si>
  <si>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</si>
  <si>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</si>
  <si>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</si>
  <si>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</si>
  <si>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</si>
  <si>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</si>
  <si>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</t>
  </si>
  <si>
    <t>07/08</t>
  </si>
  <si>
    <t>01/10</t>
  </si>
  <si>
    <t>08/18</t>
  </si>
  <si>
    <t>01/30</t>
  </si>
  <si>
    <t>Somersworth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</si>
</sst>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7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745B-C2CF-4D08-B991-0769B61533A9}">
  <sheetPr transitionEvaluation="1" transitionEntry="1" codeName="Sheet1">
    <tabColor indexed="56"/>
  </sheetPr>
  <dimension ref="A1:AQ666"/>
  <sheetViews>
    <sheetView tabSelected="1" zoomScale="75" zoomScaleNormal="11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A630" sqref="A63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5" t="s">
        <v>899</v>
      </c>
      <c r="B2" s="21">
        <v>491</v>
      </c>
      <c r="C2" s="21">
        <v>491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304</v>
      </c>
      <c r="G6" s="225" t="s">
        <v>305</v>
      </c>
      <c r="H6" s="225" t="s">
        <v>306</v>
      </c>
      <c r="I6" s="225" t="s">
        <v>307</v>
      </c>
      <c r="J6" s="225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5"/>
      <c r="G7" s="226"/>
      <c r="H7" s="225" t="s">
        <v>803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0</v>
      </c>
      <c r="G9" s="18">
        <v>0</v>
      </c>
      <c r="H9" s="18">
        <v>0</v>
      </c>
      <c r="I9" s="18">
        <v>0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>
        <v>0</v>
      </c>
      <c r="H12" s="18">
        <v>0</v>
      </c>
      <c r="I12" s="18">
        <v>6293203.5499999998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655169.85</v>
      </c>
      <c r="G13" s="18">
        <v>7490.48</v>
      </c>
      <c r="H13" s="18">
        <v>188344.95</v>
      </c>
      <c r="I13" s="18">
        <v>0</v>
      </c>
      <c r="J13" s="67">
        <f>SUM(I434)</f>
        <v>51454.84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655169.85</v>
      </c>
      <c r="G19" s="41">
        <f>SUM(G9:G18)</f>
        <v>7490.48</v>
      </c>
      <c r="H19" s="41">
        <f>SUM(H9:H18)</f>
        <v>188344.95</v>
      </c>
      <c r="I19" s="41">
        <f>SUM(I9:I18)</f>
        <v>6293203.5499999998</v>
      </c>
      <c r="J19" s="41">
        <f>SUM(J9:J18)</f>
        <v>51454.84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8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8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f>F13-F25</f>
        <v>79944.150000000023</v>
      </c>
      <c r="G24" s="18">
        <v>121948.97</v>
      </c>
      <c r="H24" s="18">
        <v>72381.81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575225.69999999995</v>
      </c>
      <c r="G25" s="18">
        <v>3768.39</v>
      </c>
      <c r="H25" s="18">
        <v>82219.210000000006</v>
      </c>
      <c r="I25" s="18">
        <f>2481123.04+768126.1</f>
        <v>3249249.14</v>
      </c>
      <c r="J25" s="67">
        <f>SUM(I442)</f>
        <v>1106.0999999999999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8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655169.85</v>
      </c>
      <c r="G33" s="41">
        <f>SUM(G23:G32)</f>
        <v>125717.36</v>
      </c>
      <c r="H33" s="41">
        <f>SUM(H23:H32)</f>
        <v>154601.02000000002</v>
      </c>
      <c r="I33" s="41">
        <f>SUM(I23:I32)</f>
        <v>3249249.14</v>
      </c>
      <c r="J33" s="41">
        <f>SUM(J23:J32)</f>
        <v>1106.0999999999999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f>-105476.52-12750.36</f>
        <v>-118226.88</v>
      </c>
      <c r="H41" s="18">
        <f>-10552.01+44295.94</f>
        <v>33743.93</v>
      </c>
      <c r="I41" s="18">
        <f>17369677.9-14325723.49</f>
        <v>3043954.4099999983</v>
      </c>
      <c r="J41" s="13">
        <f>SUM(I449)</f>
        <v>50348.74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0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-118226.88</v>
      </c>
      <c r="H43" s="41">
        <f>SUM(H35:H42)</f>
        <v>33743.93</v>
      </c>
      <c r="I43" s="41">
        <f>SUM(I35:I42)</f>
        <v>3043954.4099999983</v>
      </c>
      <c r="J43" s="41">
        <f>SUM(J35:J42)</f>
        <v>50348.74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655169.85</v>
      </c>
      <c r="G44" s="41">
        <f>G43+G33</f>
        <v>7490.4799999999959</v>
      </c>
      <c r="H44" s="41">
        <f>H43+H33</f>
        <v>188344.95</v>
      </c>
      <c r="I44" s="41">
        <f>I43+I33</f>
        <v>6293203.5499999989</v>
      </c>
      <c r="J44" s="41">
        <f>J43+J33</f>
        <v>51454.84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10976788-427149.28</f>
        <v>10549638.720000001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10549638.720000001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1541539.61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42551.86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16942.150000000001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1601033.62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69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0</v>
      </c>
      <c r="G88" s="18">
        <v>0</v>
      </c>
      <c r="H88" s="18">
        <v>0</v>
      </c>
      <c r="I88" s="18">
        <v>65365.77</v>
      </c>
      <c r="J88" s="18">
        <v>0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136337.63+7778.53+7479.7-7455.61+17416.51+118659.07</f>
        <v>280215.83000000007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1309.5999999999999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27267.99</v>
      </c>
      <c r="G102" s="18">
        <v>9305.75</v>
      </c>
      <c r="H102" s="18">
        <v>0</v>
      </c>
      <c r="I102" s="18">
        <v>0</v>
      </c>
      <c r="J102" s="18">
        <f>11395.9+2040+745+1627+3735.2+3350+2042+2042+5489+320+2200+4505+4519+17336+500</f>
        <v>61846.1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28577.59</v>
      </c>
      <c r="G103" s="41">
        <f>SUM(G88:G102)</f>
        <v>289521.58000000007</v>
      </c>
      <c r="H103" s="41">
        <f>SUM(H88:H102)</f>
        <v>0</v>
      </c>
      <c r="I103" s="41">
        <f>SUM(I88:I102)</f>
        <v>65365.77</v>
      </c>
      <c r="J103" s="41">
        <f>SUM(J88:J102)</f>
        <v>61846.1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12179249.93</v>
      </c>
      <c r="G104" s="41">
        <f>G52+G103</f>
        <v>289521.58000000007</v>
      </c>
      <c r="H104" s="41">
        <f>H52+H71+H86+H103</f>
        <v>0</v>
      </c>
      <c r="I104" s="41">
        <f>I52+I103</f>
        <v>65365.77</v>
      </c>
      <c r="J104" s="41">
        <f>J52+J103</f>
        <v>61846.1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7033640.8300000001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2074259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255108.17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>
        <v>3450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9363008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3450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950764.02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436053.49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98171.31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30690.13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7019.39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1515678.95</v>
      </c>
      <c r="G128" s="41">
        <f>SUM(G115:G127)</f>
        <v>7019.39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10878686.949999999</v>
      </c>
      <c r="G132" s="41">
        <f>G113+SUM(G128:G129)</f>
        <v>7019.39</v>
      </c>
      <c r="H132" s="41">
        <f>H113+SUM(H128:H131)</f>
        <v>0</v>
      </c>
      <c r="I132" s="41">
        <f>I113+I128</f>
        <v>0</v>
      </c>
      <c r="J132" s="41">
        <f>J113+J128</f>
        <v>3450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4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2420.88+360295.78+299934.82</f>
        <v>662651.48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-29051.63+159013.02-706.44-2283.66+19036.9+4875.18+108333.33+522.9+3361.18+800+8951.84+43266.4+115318.37+49929.53+84562.05+96457.31+3835.77-8541.73+14861.68+10134.31+12920.16+6740.9+6894.7+13061.61+34690.26-4000+5985.34+8445.44-475.35+2500</f>
        <v>769439.37000000011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f>33270.91+107969.77</f>
        <v>141240.68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324919.87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243416.78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243416.78</v>
      </c>
      <c r="G154" s="41">
        <f>SUM(G142:G153)</f>
        <v>324919.87</v>
      </c>
      <c r="H154" s="41">
        <f>SUM(H142:H153)</f>
        <v>1573331.53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243416.78</v>
      </c>
      <c r="G161" s="41">
        <f>G139+G154+SUM(G155:G160)</f>
        <v>324919.87</v>
      </c>
      <c r="H161" s="41">
        <f>H139+H154+SUM(H155:H160)</f>
        <v>1573331.53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4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0</v>
      </c>
      <c r="J171" s="18">
        <v>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5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6" t="s">
        <v>454</v>
      </c>
      <c r="E185" s="44"/>
      <c r="F185" s="47">
        <f>F104+F132+F161+F184</f>
        <v>23301353.66</v>
      </c>
      <c r="G185" s="47">
        <f>G104+G132+G161+G184</f>
        <v>621460.84000000008</v>
      </c>
      <c r="H185" s="47">
        <f>H104+H132+H161+H184</f>
        <v>1573331.53</v>
      </c>
      <c r="I185" s="47">
        <f>I104+I132+I161+I184</f>
        <v>65365.77</v>
      </c>
      <c r="J185" s="47">
        <f>J104+J132+J184</f>
        <v>65296.1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6" t="s">
        <v>724</v>
      </c>
      <c r="G186" s="176" t="s">
        <v>725</v>
      </c>
      <c r="H186" s="176" t="s">
        <v>726</v>
      </c>
      <c r="I186" s="176" t="s">
        <v>727</v>
      </c>
      <c r="J186" s="176" t="s">
        <v>728</v>
      </c>
      <c r="K186" s="176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1669450.7397999999</v>
      </c>
      <c r="G189" s="18">
        <v>947165.36219999997</v>
      </c>
      <c r="H189" s="18">
        <v>56925.036099999998</v>
      </c>
      <c r="I189" s="18">
        <v>120439.3</v>
      </c>
      <c r="J189" s="18">
        <v>76438.23</v>
      </c>
      <c r="K189" s="18">
        <v>0</v>
      </c>
      <c r="L189" s="19">
        <f>SUM(F189:K189)</f>
        <v>2870418.6680999999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871186.78</v>
      </c>
      <c r="G190" s="18">
        <v>564852.49</v>
      </c>
      <c r="H190" s="18">
        <v>386239.13760000002</v>
      </c>
      <c r="I190" s="18">
        <v>19963.419999999998</v>
      </c>
      <c r="J190" s="18">
        <v>492.33</v>
      </c>
      <c r="K190" s="18">
        <v>0</v>
      </c>
      <c r="L190" s="19">
        <f>SUM(F190:K190)</f>
        <v>1842734.1576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328705.33</v>
      </c>
      <c r="G194" s="18">
        <v>160551.92000000001</v>
      </c>
      <c r="H194" s="18">
        <v>122602.2331</v>
      </c>
      <c r="I194" s="18">
        <v>6965.57</v>
      </c>
      <c r="J194" s="18">
        <v>100</v>
      </c>
      <c r="K194" s="18">
        <v>4484.2950000000001</v>
      </c>
      <c r="L194" s="19">
        <f t="shared" ref="L194:L200" si="0">SUM(F194:K194)</f>
        <v>623409.34809999994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40531.14</v>
      </c>
      <c r="G195" s="18">
        <v>6351.02</v>
      </c>
      <c r="H195" s="18">
        <v>15664.8963</v>
      </c>
      <c r="I195" s="18">
        <v>12768.49</v>
      </c>
      <c r="J195" s="18">
        <v>0</v>
      </c>
      <c r="K195" s="18">
        <v>0</v>
      </c>
      <c r="L195" s="19">
        <f t="shared" si="0"/>
        <v>75315.546300000002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0</v>
      </c>
      <c r="G196" s="18">
        <v>0</v>
      </c>
      <c r="H196" s="18">
        <v>353917.93150000001</v>
      </c>
      <c r="I196" s="18">
        <v>2373.7239</v>
      </c>
      <c r="J196" s="18">
        <v>0</v>
      </c>
      <c r="K196" s="18">
        <v>1992.3427000000001</v>
      </c>
      <c r="L196" s="19">
        <f t="shared" si="0"/>
        <v>358283.99809999997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271872.65000000002</v>
      </c>
      <c r="G197" s="18">
        <v>118889.71</v>
      </c>
      <c r="H197" s="18">
        <v>13210.491099999999</v>
      </c>
      <c r="I197" s="18">
        <v>4067.67</v>
      </c>
      <c r="J197" s="18">
        <v>14977.99</v>
      </c>
      <c r="K197" s="18">
        <v>1370</v>
      </c>
      <c r="L197" s="19">
        <f t="shared" si="0"/>
        <v>424388.5111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201144.81520000001</v>
      </c>
      <c r="G199" s="18">
        <v>91269.998299999992</v>
      </c>
      <c r="H199" s="18">
        <v>193407.34960000002</v>
      </c>
      <c r="I199" s="18">
        <v>129906.56710000001</v>
      </c>
      <c r="J199" s="18">
        <v>0</v>
      </c>
      <c r="K199" s="18">
        <v>0</v>
      </c>
      <c r="L199" s="19">
        <f t="shared" si="0"/>
        <v>615728.73019999999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372384.74440000003</v>
      </c>
      <c r="I200" s="18">
        <v>1669.8766000000001</v>
      </c>
      <c r="J200" s="18">
        <v>0</v>
      </c>
      <c r="K200" s="18">
        <v>0</v>
      </c>
      <c r="L200" s="19">
        <f t="shared" si="0"/>
        <v>374054.62100000004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82073.910600000003</v>
      </c>
      <c r="I201" s="18">
        <v>0</v>
      </c>
      <c r="J201" s="18">
        <v>0</v>
      </c>
      <c r="K201" s="18">
        <v>0</v>
      </c>
      <c r="L201" s="19">
        <f>SUM(F201:K201)</f>
        <v>82073.910600000003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3382891.4550000001</v>
      </c>
      <c r="G203" s="41">
        <f t="shared" si="1"/>
        <v>1889080.5005000001</v>
      </c>
      <c r="H203" s="41">
        <f t="shared" si="1"/>
        <v>1596425.7303000002</v>
      </c>
      <c r="I203" s="41">
        <f t="shared" si="1"/>
        <v>298154.61760000006</v>
      </c>
      <c r="J203" s="41">
        <f t="shared" si="1"/>
        <v>92008.55</v>
      </c>
      <c r="K203" s="41">
        <f t="shared" si="1"/>
        <v>7846.6377000000002</v>
      </c>
      <c r="L203" s="41">
        <f t="shared" si="1"/>
        <v>7266407.4911000002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6" t="s">
        <v>724</v>
      </c>
      <c r="G204" s="176" t="s">
        <v>725</v>
      </c>
      <c r="H204" s="176" t="s">
        <v>726</v>
      </c>
      <c r="I204" s="176" t="s">
        <v>727</v>
      </c>
      <c r="J204" s="176" t="s">
        <v>728</v>
      </c>
      <c r="K204" s="176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1564945.2904000001</v>
      </c>
      <c r="G207" s="18">
        <v>744794.6436999999</v>
      </c>
      <c r="H207" s="18">
        <v>40261.044300000001</v>
      </c>
      <c r="I207" s="18">
        <v>78020.36</v>
      </c>
      <c r="J207" s="18">
        <v>49422.52</v>
      </c>
      <c r="K207" s="18">
        <v>0</v>
      </c>
      <c r="L207" s="19">
        <f>SUM(F207:K207)</f>
        <v>2477443.8584000003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675679.45</v>
      </c>
      <c r="G208" s="18">
        <v>466533.64</v>
      </c>
      <c r="H208" s="18">
        <v>622307.92879999999</v>
      </c>
      <c r="I208" s="18">
        <v>7655.3</v>
      </c>
      <c r="J208" s="18">
        <v>1803.29</v>
      </c>
      <c r="K208" s="18">
        <v>0</v>
      </c>
      <c r="L208" s="19">
        <f>SUM(F208:K208)</f>
        <v>1773979.6087999998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17358</v>
      </c>
      <c r="G210" s="18">
        <v>5822.32</v>
      </c>
      <c r="H210" s="18">
        <v>2478.44</v>
      </c>
      <c r="I210" s="18">
        <v>10438.200000000001</v>
      </c>
      <c r="J210" s="18">
        <v>1870</v>
      </c>
      <c r="K210" s="18">
        <v>0</v>
      </c>
      <c r="L210" s="19">
        <f>SUM(F210:K210)</f>
        <v>37966.959999999999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297832.42700000003</v>
      </c>
      <c r="G212" s="18">
        <v>178665.11490000002</v>
      </c>
      <c r="H212" s="18">
        <v>76943.995299999995</v>
      </c>
      <c r="I212" s="18">
        <v>2458.65</v>
      </c>
      <c r="J212" s="18">
        <v>0</v>
      </c>
      <c r="K212" s="18">
        <v>3690.085</v>
      </c>
      <c r="L212" s="19">
        <f t="shared" ref="L212:L218" si="2">SUM(F212:K212)</f>
        <v>559590.27220000001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37098.1</v>
      </c>
      <c r="G213" s="18">
        <v>8045.93</v>
      </c>
      <c r="H213" s="18">
        <v>13382.7469</v>
      </c>
      <c r="I213" s="18">
        <v>6581.2</v>
      </c>
      <c r="J213" s="18">
        <v>0</v>
      </c>
      <c r="K213" s="18">
        <v>0</v>
      </c>
      <c r="L213" s="19">
        <f t="shared" si="2"/>
        <v>65107.976899999994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0</v>
      </c>
      <c r="G214" s="18">
        <v>0</v>
      </c>
      <c r="H214" s="18">
        <v>296525.8345</v>
      </c>
      <c r="I214" s="18">
        <v>1988.7957000000001</v>
      </c>
      <c r="J214" s="18">
        <v>0</v>
      </c>
      <c r="K214" s="18">
        <v>1669.2601</v>
      </c>
      <c r="L214" s="19">
        <f t="shared" si="2"/>
        <v>300183.89030000003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193860.58</v>
      </c>
      <c r="G215" s="18">
        <v>57369.18</v>
      </c>
      <c r="H215" s="18">
        <v>9209.7793000000001</v>
      </c>
      <c r="I215" s="18">
        <v>3406.13</v>
      </c>
      <c r="J215" s="18">
        <v>1317.3</v>
      </c>
      <c r="K215" s="18">
        <v>1910</v>
      </c>
      <c r="L215" s="19">
        <f t="shared" si="2"/>
        <v>267072.96929999994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150028.4676</v>
      </c>
      <c r="G217" s="18">
        <v>66914.342899999989</v>
      </c>
      <c r="H217" s="18">
        <v>389278.15480000002</v>
      </c>
      <c r="I217" s="18">
        <v>104956.22730000001</v>
      </c>
      <c r="J217" s="18">
        <v>6792</v>
      </c>
      <c r="K217" s="18">
        <v>0</v>
      </c>
      <c r="L217" s="19">
        <f t="shared" si="2"/>
        <v>717969.19260000007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254555.55719999998</v>
      </c>
      <c r="I218" s="18">
        <v>1399.0858000000001</v>
      </c>
      <c r="J218" s="18">
        <v>0</v>
      </c>
      <c r="K218" s="18">
        <v>0</v>
      </c>
      <c r="L218" s="19">
        <f t="shared" si="2"/>
        <v>255954.64299999998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68764.627800000002</v>
      </c>
      <c r="I219" s="18">
        <v>0</v>
      </c>
      <c r="J219" s="18">
        <v>0</v>
      </c>
      <c r="K219" s="18">
        <v>0</v>
      </c>
      <c r="L219" s="19">
        <f>SUM(F219:K219)</f>
        <v>68764.627800000002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2936802.3150000004</v>
      </c>
      <c r="G221" s="41">
        <f>SUM(G207:G220)</f>
        <v>1528145.1714999999</v>
      </c>
      <c r="H221" s="41">
        <f>SUM(H207:H220)</f>
        <v>1773708.1088999996</v>
      </c>
      <c r="I221" s="41">
        <f>SUM(I207:I220)</f>
        <v>216903.94880000001</v>
      </c>
      <c r="J221" s="41">
        <f>SUM(J207:J220)</f>
        <v>61205.11</v>
      </c>
      <c r="K221" s="41">
        <f t="shared" si="3"/>
        <v>7269.3451000000005</v>
      </c>
      <c r="L221" s="41">
        <f t="shared" si="3"/>
        <v>6524033.9993000003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6" t="s">
        <v>724</v>
      </c>
      <c r="G222" s="176" t="s">
        <v>725</v>
      </c>
      <c r="H222" s="176" t="s">
        <v>726</v>
      </c>
      <c r="I222" s="176" t="s">
        <v>727</v>
      </c>
      <c r="J222" s="176" t="s">
        <v>728</v>
      </c>
      <c r="K222" s="176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1289559.4028</v>
      </c>
      <c r="G225" s="18">
        <v>739988.00919999997</v>
      </c>
      <c r="H225" s="18">
        <v>31830.889600000002</v>
      </c>
      <c r="I225" s="18">
        <v>55135.82</v>
      </c>
      <c r="J225" s="18">
        <v>3478.21</v>
      </c>
      <c r="K225" s="18">
        <v>0</v>
      </c>
      <c r="L225" s="19">
        <f>SUM(F225:K225)</f>
        <v>2119992.3316000002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621406.9</v>
      </c>
      <c r="G226" s="18">
        <v>407654.68</v>
      </c>
      <c r="H226" s="18">
        <v>800440.42359999998</v>
      </c>
      <c r="I226" s="18">
        <v>7773.32</v>
      </c>
      <c r="J226" s="18">
        <v>2081.9299999999998</v>
      </c>
      <c r="K226" s="18">
        <v>0</v>
      </c>
      <c r="L226" s="19">
        <f>SUM(F226:K226)</f>
        <v>1839357.2535999999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410792.09</v>
      </c>
      <c r="G227" s="18">
        <v>214647.48</v>
      </c>
      <c r="H227" s="18">
        <v>16136.64</v>
      </c>
      <c r="I227" s="18">
        <v>46580.2</v>
      </c>
      <c r="J227" s="18">
        <v>13744.57</v>
      </c>
      <c r="K227" s="18">
        <v>0</v>
      </c>
      <c r="L227" s="19">
        <f>SUM(F227:K227)</f>
        <v>701900.98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67755</v>
      </c>
      <c r="G228" s="18">
        <v>8636.77</v>
      </c>
      <c r="H228" s="18">
        <v>37586.85</v>
      </c>
      <c r="I228" s="18">
        <v>1532.76</v>
      </c>
      <c r="J228" s="18">
        <v>0</v>
      </c>
      <c r="K228" s="18">
        <v>4656</v>
      </c>
      <c r="L228" s="19">
        <f>SUM(F228:K228)</f>
        <v>120167.37999999999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205070.78</v>
      </c>
      <c r="G230" s="18">
        <v>89545.12</v>
      </c>
      <c r="H230" s="18">
        <v>81365.521600000007</v>
      </c>
      <c r="I230" s="18">
        <v>5348.73</v>
      </c>
      <c r="J230" s="18">
        <v>0</v>
      </c>
      <c r="K230" s="18">
        <v>3874.12</v>
      </c>
      <c r="L230" s="19">
        <f t="shared" ref="L230:L236" si="4">SUM(F230:K230)</f>
        <v>385204.27159999998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79166.740000000005</v>
      </c>
      <c r="G231" s="18">
        <v>27151.31</v>
      </c>
      <c r="H231" s="18">
        <v>14731.3668</v>
      </c>
      <c r="I231" s="18">
        <v>24280.400000000001</v>
      </c>
      <c r="J231" s="18">
        <v>5651.84</v>
      </c>
      <c r="K231" s="18">
        <v>0</v>
      </c>
      <c r="L231" s="19">
        <f t="shared" si="4"/>
        <v>150981.6568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306091.18400000001</v>
      </c>
      <c r="I232" s="18">
        <v>2052.9504000000002</v>
      </c>
      <c r="J232" s="18">
        <v>0</v>
      </c>
      <c r="K232" s="18">
        <v>1723.1072000000001</v>
      </c>
      <c r="L232" s="19">
        <f t="shared" si="4"/>
        <v>309867.24160000001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363303.2</v>
      </c>
      <c r="G233" s="18">
        <v>133765.5</v>
      </c>
      <c r="H233" s="18">
        <v>16006.6996</v>
      </c>
      <c r="I233" s="18">
        <v>18451.310000000001</v>
      </c>
      <c r="J233" s="18">
        <v>24951.27</v>
      </c>
      <c r="K233" s="18">
        <v>3809</v>
      </c>
      <c r="L233" s="19">
        <f t="shared" si="4"/>
        <v>560286.97960000008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260392.6972</v>
      </c>
      <c r="G235" s="18">
        <v>133006.99880000003</v>
      </c>
      <c r="H235" s="18">
        <v>155545.9656</v>
      </c>
      <c r="I235" s="18">
        <v>372147.14559999999</v>
      </c>
      <c r="J235" s="18">
        <v>0</v>
      </c>
      <c r="K235" s="18">
        <v>0</v>
      </c>
      <c r="L235" s="19">
        <f t="shared" si="4"/>
        <v>921092.80719999992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0</f>
        <v>0</v>
      </c>
      <c r="G236" s="18">
        <v>0</v>
      </c>
      <c r="H236" s="18">
        <v>317717.61840000004</v>
      </c>
      <c r="I236" s="18">
        <v>1444.2176000000002</v>
      </c>
      <c r="J236" s="18">
        <v>0</v>
      </c>
      <c r="K236" s="18">
        <v>0</v>
      </c>
      <c r="L236" s="19">
        <f t="shared" si="4"/>
        <v>319161.83600000001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70982.8416</v>
      </c>
      <c r="I237" s="18">
        <v>0</v>
      </c>
      <c r="J237" s="18">
        <v>0</v>
      </c>
      <c r="K237" s="18">
        <v>0</v>
      </c>
      <c r="L237" s="19">
        <f>SUM(F237:K237)</f>
        <v>70982.8416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3297446.81</v>
      </c>
      <c r="G239" s="41">
        <f t="shared" si="5"/>
        <v>1754395.868</v>
      </c>
      <c r="H239" s="41">
        <f t="shared" si="5"/>
        <v>1848436.0007999998</v>
      </c>
      <c r="I239" s="41">
        <f t="shared" si="5"/>
        <v>534746.85359999991</v>
      </c>
      <c r="J239" s="41">
        <f t="shared" si="5"/>
        <v>49907.82</v>
      </c>
      <c r="K239" s="41">
        <f t="shared" si="5"/>
        <v>14062.227199999999</v>
      </c>
      <c r="L239" s="41">
        <f t="shared" si="5"/>
        <v>7498995.5795999998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6" t="s">
        <v>724</v>
      </c>
      <c r="G240" s="176" t="s">
        <v>725</v>
      </c>
      <c r="H240" s="176" t="s">
        <v>726</v>
      </c>
      <c r="I240" s="176" t="s">
        <v>727</v>
      </c>
      <c r="J240" s="176" t="s">
        <v>728</v>
      </c>
      <c r="K240" s="176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9617140.5800000001</v>
      </c>
      <c r="G249" s="41">
        <f t="shared" si="8"/>
        <v>5171621.54</v>
      </c>
      <c r="H249" s="41">
        <f t="shared" si="8"/>
        <v>5218569.84</v>
      </c>
      <c r="I249" s="41">
        <f t="shared" si="8"/>
        <v>1049805.42</v>
      </c>
      <c r="J249" s="41">
        <f t="shared" si="8"/>
        <v>203121.48</v>
      </c>
      <c r="K249" s="41">
        <f t="shared" si="8"/>
        <v>29178.21</v>
      </c>
      <c r="L249" s="41">
        <f t="shared" si="8"/>
        <v>21289437.07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1793284.59</v>
      </c>
      <c r="L252" s="19">
        <f>SUM(F252:K252)</f>
        <v>1793284.59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218632</v>
      </c>
      <c r="L253" s="19">
        <f>SUM(F253:K253)</f>
        <v>218632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2011916.59</v>
      </c>
      <c r="L262" s="41">
        <f t="shared" si="9"/>
        <v>2011916.59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9617140.5800000001</v>
      </c>
      <c r="G263" s="42">
        <f t="shared" si="11"/>
        <v>5171621.54</v>
      </c>
      <c r="H263" s="42">
        <f t="shared" si="11"/>
        <v>5218569.84</v>
      </c>
      <c r="I263" s="42">
        <f t="shared" si="11"/>
        <v>1049805.42</v>
      </c>
      <c r="J263" s="42">
        <f t="shared" si="11"/>
        <v>203121.48</v>
      </c>
      <c r="K263" s="42">
        <f t="shared" si="11"/>
        <v>2041094.8</v>
      </c>
      <c r="L263" s="42">
        <f t="shared" si="11"/>
        <v>23301353.66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6" t="s">
        <v>724</v>
      </c>
      <c r="G265" s="176" t="s">
        <v>725</v>
      </c>
      <c r="H265" s="176" t="s">
        <v>726</v>
      </c>
      <c r="I265" s="176" t="s">
        <v>727</v>
      </c>
      <c r="J265" s="176" t="s">
        <v>728</v>
      </c>
      <c r="K265" s="176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64217.601638225249</v>
      </c>
      <c r="G268" s="18">
        <v>4445.0695904436852</v>
      </c>
      <c r="H268" s="18">
        <v>22130.183788395905</v>
      </c>
      <c r="I268" s="18">
        <v>3136.2576791808874</v>
      </c>
      <c r="J268" s="18">
        <v>9891.6076791808882</v>
      </c>
      <c r="K268" s="18">
        <v>0</v>
      </c>
      <c r="L268" s="19">
        <f>SUM(F268:K268)</f>
        <v>103820.72037542661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244341.99</v>
      </c>
      <c r="G269" s="18">
        <v>120389.54</v>
      </c>
      <c r="H269" s="18">
        <v>49630.22</v>
      </c>
      <c r="I269" s="18">
        <v>17064.53</v>
      </c>
      <c r="J269" s="18">
        <v>28713.439999999999</v>
      </c>
      <c r="K269" s="18">
        <v>69</v>
      </c>
      <c r="L269" s="19">
        <f>SUM(F269:K269)</f>
        <v>460208.72000000003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17075</v>
      </c>
      <c r="G271" s="18">
        <v>2682.23</v>
      </c>
      <c r="H271" s="18">
        <v>6609.6</v>
      </c>
      <c r="I271" s="18">
        <v>14358.2</v>
      </c>
      <c r="J271" s="18">
        <v>0</v>
      </c>
      <c r="K271" s="18">
        <v>0</v>
      </c>
      <c r="L271" s="19">
        <f>SUM(F271:K271)</f>
        <v>40725.03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14000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14000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76969.308724832226</v>
      </c>
      <c r="I274" s="18">
        <v>812.32</v>
      </c>
      <c r="J274" s="18">
        <v>0</v>
      </c>
      <c r="K274" s="18">
        <v>0</v>
      </c>
      <c r="L274" s="19">
        <f t="shared" si="12"/>
        <v>77781.628724832233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58278.78</v>
      </c>
      <c r="G277" s="18">
        <v>3693.49</v>
      </c>
      <c r="H277" s="18">
        <v>290.7</v>
      </c>
      <c r="I277" s="18">
        <v>2890.33</v>
      </c>
      <c r="J277" s="18">
        <v>0</v>
      </c>
      <c r="K277" s="18">
        <v>18667.975771812082</v>
      </c>
      <c r="L277" s="19">
        <f t="shared" si="12"/>
        <v>83821.27577181207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40405.629385665525</v>
      </c>
      <c r="I279" s="18">
        <v>0</v>
      </c>
      <c r="J279" s="18">
        <v>0</v>
      </c>
      <c r="K279" s="18">
        <v>0</v>
      </c>
      <c r="L279" s="19">
        <f t="shared" si="12"/>
        <v>40405.629385665525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397913.37163822528</v>
      </c>
      <c r="G282" s="42">
        <f t="shared" si="13"/>
        <v>131210.32959044367</v>
      </c>
      <c r="H282" s="42">
        <f t="shared" si="13"/>
        <v>196035.64189889369</v>
      </c>
      <c r="I282" s="42">
        <f t="shared" si="13"/>
        <v>38261.637679180887</v>
      </c>
      <c r="J282" s="42">
        <f t="shared" si="13"/>
        <v>38605.047679180891</v>
      </c>
      <c r="K282" s="42">
        <f t="shared" si="13"/>
        <v>18736.975771812082</v>
      </c>
      <c r="L282" s="41">
        <f t="shared" si="13"/>
        <v>820763.00425773649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6" t="s">
        <v>724</v>
      </c>
      <c r="G284" s="176" t="s">
        <v>725</v>
      </c>
      <c r="H284" s="176" t="s">
        <v>726</v>
      </c>
      <c r="I284" s="176" t="s">
        <v>727</v>
      </c>
      <c r="J284" s="176" t="s">
        <v>728</v>
      </c>
      <c r="K284" s="176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44515.355449374292</v>
      </c>
      <c r="G287" s="18">
        <v>2935.9878043230947</v>
      </c>
      <c r="H287" s="18">
        <v>6095.6994766780435</v>
      </c>
      <c r="I287" s="18">
        <v>1084.6486689419796</v>
      </c>
      <c r="J287" s="18">
        <v>671.46866894197956</v>
      </c>
      <c r="K287" s="18">
        <v>0</v>
      </c>
      <c r="L287" s="19">
        <f>SUM(F287:K287)</f>
        <v>55303.160068259385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8987.61</v>
      </c>
      <c r="G288" s="18">
        <v>0</v>
      </c>
      <c r="H288" s="18">
        <v>2100</v>
      </c>
      <c r="I288" s="18">
        <v>3538.23</v>
      </c>
      <c r="J288" s="18">
        <v>0</v>
      </c>
      <c r="K288" s="18">
        <v>0</v>
      </c>
      <c r="L288" s="19">
        <f>SUM(F288:K288)</f>
        <v>14625.84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80938.27</v>
      </c>
      <c r="G290" s="18">
        <v>18092.189999999999</v>
      </c>
      <c r="H290" s="18">
        <v>0</v>
      </c>
      <c r="I290" s="18">
        <v>44536.52</v>
      </c>
      <c r="J290" s="18">
        <v>0</v>
      </c>
      <c r="K290" s="18">
        <v>0</v>
      </c>
      <c r="L290" s="19">
        <f>SUM(F290:K290)</f>
        <v>143566.98000000001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41148.931275167786</v>
      </c>
      <c r="I293" s="18">
        <v>0</v>
      </c>
      <c r="J293" s="18">
        <v>0</v>
      </c>
      <c r="K293" s="18">
        <v>0</v>
      </c>
      <c r="L293" s="19">
        <f t="shared" si="14"/>
        <v>41148.931275167786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4075.7042281879194</v>
      </c>
      <c r="L296" s="19">
        <f t="shared" si="14"/>
        <v>4075.7042281879194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996</v>
      </c>
      <c r="I298" s="18">
        <v>0</v>
      </c>
      <c r="J298" s="18">
        <v>0</v>
      </c>
      <c r="K298" s="18">
        <v>0</v>
      </c>
      <c r="L298" s="19">
        <f t="shared" si="14"/>
        <v>996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33522.941706484642</v>
      </c>
      <c r="I299" s="18">
        <v>0</v>
      </c>
      <c r="J299" s="18">
        <v>0</v>
      </c>
      <c r="K299" s="18">
        <v>0</v>
      </c>
      <c r="L299" s="19">
        <f>SUM(F299:K299)</f>
        <v>33522.941706484642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134441.2354493743</v>
      </c>
      <c r="G301" s="42">
        <f t="shared" si="15"/>
        <v>21028.177804323095</v>
      </c>
      <c r="H301" s="42">
        <f t="shared" si="15"/>
        <v>83863.572458330484</v>
      </c>
      <c r="I301" s="42">
        <f t="shared" si="15"/>
        <v>49159.398668941976</v>
      </c>
      <c r="J301" s="42">
        <f t="shared" si="15"/>
        <v>671.46866894197956</v>
      </c>
      <c r="K301" s="42">
        <f t="shared" si="15"/>
        <v>4075.7042281879194</v>
      </c>
      <c r="L301" s="41">
        <f t="shared" si="15"/>
        <v>293239.55727809976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6" t="s">
        <v>724</v>
      </c>
      <c r="G303" s="176" t="s">
        <v>725</v>
      </c>
      <c r="H303" s="176" t="s">
        <v>726</v>
      </c>
      <c r="I303" s="176" t="s">
        <v>727</v>
      </c>
      <c r="J303" s="176" t="s">
        <v>728</v>
      </c>
      <c r="K303" s="176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44256.672912400456</v>
      </c>
      <c r="G306" s="18">
        <v>3054.7226052332194</v>
      </c>
      <c r="H306" s="18">
        <v>6342.2167349260526</v>
      </c>
      <c r="I306" s="18">
        <v>1185.9436518771331</v>
      </c>
      <c r="J306" s="18">
        <v>698.62365187713306</v>
      </c>
      <c r="K306" s="18">
        <v>0</v>
      </c>
      <c r="L306" s="19">
        <f>SUM(F306:K306)</f>
        <v>55538.179556313997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29883.07</v>
      </c>
      <c r="G308" s="18">
        <v>6512.91</v>
      </c>
      <c r="H308" s="18">
        <v>9174.91</v>
      </c>
      <c r="I308" s="18">
        <v>152455.95000000001</v>
      </c>
      <c r="J308" s="18">
        <v>105477.73</v>
      </c>
      <c r="K308" s="18">
        <v>1854.46</v>
      </c>
      <c r="L308" s="19">
        <f>SUM(F308:K308)</f>
        <v>305359.03000000003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6460.47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6460.47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0</v>
      </c>
      <c r="H312" s="18">
        <v>5824.51</v>
      </c>
      <c r="I312" s="18">
        <v>0</v>
      </c>
      <c r="J312" s="18">
        <v>0</v>
      </c>
      <c r="K312" s="18">
        <v>332.5</v>
      </c>
      <c r="L312" s="19">
        <f t="shared" si="16"/>
        <v>6157.01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6639.69</v>
      </c>
      <c r="L315" s="19">
        <f t="shared" si="16"/>
        <v>6639.69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34878.648907849827</v>
      </c>
      <c r="I318" s="18">
        <v>0</v>
      </c>
      <c r="J318" s="18">
        <v>0</v>
      </c>
      <c r="K318" s="18">
        <v>0</v>
      </c>
      <c r="L318" s="19">
        <f>SUM(F318:K318)</f>
        <v>34878.648907849827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74139.742912400456</v>
      </c>
      <c r="G320" s="42">
        <f t="shared" si="17"/>
        <v>9567.6326052332188</v>
      </c>
      <c r="H320" s="42">
        <f t="shared" si="17"/>
        <v>62680.755642775883</v>
      </c>
      <c r="I320" s="42">
        <f t="shared" si="17"/>
        <v>153641.89365187715</v>
      </c>
      <c r="J320" s="42">
        <f t="shared" si="17"/>
        <v>106176.35365187713</v>
      </c>
      <c r="K320" s="42">
        <f t="shared" si="17"/>
        <v>8826.65</v>
      </c>
      <c r="L320" s="41">
        <f t="shared" si="17"/>
        <v>415033.02846416389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6" t="s">
        <v>724</v>
      </c>
      <c r="G322" s="176" t="s">
        <v>725</v>
      </c>
      <c r="H322" s="176" t="s">
        <v>726</v>
      </c>
      <c r="I322" s="176" t="s">
        <v>727</v>
      </c>
      <c r="J322" s="176" t="s">
        <v>728</v>
      </c>
      <c r="K322" s="176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606494.35000000009</v>
      </c>
      <c r="G330" s="41">
        <f t="shared" si="20"/>
        <v>161806.13999999998</v>
      </c>
      <c r="H330" s="41">
        <f t="shared" si="20"/>
        <v>342579.97000000009</v>
      </c>
      <c r="I330" s="41">
        <f t="shared" si="20"/>
        <v>241062.93000000002</v>
      </c>
      <c r="J330" s="41">
        <f t="shared" si="20"/>
        <v>145452.87</v>
      </c>
      <c r="K330" s="41">
        <f t="shared" si="20"/>
        <v>31639.33</v>
      </c>
      <c r="L330" s="41">
        <f t="shared" si="20"/>
        <v>1529035.59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606494.35000000009</v>
      </c>
      <c r="G344" s="41">
        <f>G330</f>
        <v>161806.13999999998</v>
      </c>
      <c r="H344" s="41">
        <f>H330</f>
        <v>342579.97000000009</v>
      </c>
      <c r="I344" s="41">
        <f>I330</f>
        <v>241062.93000000002</v>
      </c>
      <c r="J344" s="41">
        <f>J330</f>
        <v>145452.87</v>
      </c>
      <c r="K344" s="47">
        <f>K330+K343</f>
        <v>31639.33</v>
      </c>
      <c r="L344" s="41">
        <f>L330+L343</f>
        <v>1529035.59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6" t="s">
        <v>724</v>
      </c>
      <c r="G346" s="176" t="s">
        <v>725</v>
      </c>
      <c r="H346" s="176" t="s">
        <v>726</v>
      </c>
      <c r="I346" s="176" t="s">
        <v>727</v>
      </c>
      <c r="J346" s="176" t="s">
        <v>728</v>
      </c>
      <c r="K346" s="176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383.47540000000004</v>
      </c>
      <c r="G350" s="18">
        <v>60.239699999999999</v>
      </c>
      <c r="H350" s="18">
        <v>234214.42889999997</v>
      </c>
      <c r="I350" s="18">
        <v>202563.83039999998</v>
      </c>
      <c r="J350" s="18">
        <v>0</v>
      </c>
      <c r="K350" s="18">
        <v>0</v>
      </c>
      <c r="L350" s="13">
        <f>SUM(F350:K350)</f>
        <v>437221.97439999995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321.29020000000003</v>
      </c>
      <c r="G351" s="18">
        <v>50.4711</v>
      </c>
      <c r="H351" s="18">
        <v>196233.71069999997</v>
      </c>
      <c r="I351" s="18">
        <v>0</v>
      </c>
      <c r="J351" s="18">
        <v>0</v>
      </c>
      <c r="K351" s="18">
        <v>0</v>
      </c>
      <c r="L351" s="19">
        <f>SUM(F351:K351)</f>
        <v>196605.47199999998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331.65440000000001</v>
      </c>
      <c r="G352" s="18">
        <v>52.099200000000003</v>
      </c>
      <c r="H352" s="18">
        <v>0</v>
      </c>
      <c r="I352" s="18">
        <v>0</v>
      </c>
      <c r="J352" s="18">
        <v>0</v>
      </c>
      <c r="K352" s="18">
        <v>0</v>
      </c>
      <c r="L352" s="19">
        <f>SUM(F352:K352)</f>
        <v>383.75360000000001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1036.42</v>
      </c>
      <c r="G354" s="47">
        <f t="shared" si="22"/>
        <v>162.81</v>
      </c>
      <c r="H354" s="47">
        <f t="shared" si="22"/>
        <v>430448.13959999994</v>
      </c>
      <c r="I354" s="47">
        <f t="shared" si="22"/>
        <v>202563.83039999998</v>
      </c>
      <c r="J354" s="47">
        <f t="shared" si="22"/>
        <v>0</v>
      </c>
      <c r="K354" s="47">
        <f t="shared" si="22"/>
        <v>0</v>
      </c>
      <c r="L354" s="47">
        <f t="shared" si="22"/>
        <v>634211.19999999995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>
        <v>0</v>
      </c>
      <c r="H359" s="18">
        <v>0</v>
      </c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0</v>
      </c>
      <c r="G360" s="63">
        <v>0</v>
      </c>
      <c r="H360" s="63">
        <f>I354</f>
        <v>202563.83039999998</v>
      </c>
      <c r="I360" s="56">
        <f>SUM(F360:H360)</f>
        <v>202563.83039999998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202563.83039999998</v>
      </c>
      <c r="I361" s="47">
        <f>SUM(I359:I360)</f>
        <v>202563.83039999998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6" t="s">
        <v>724</v>
      </c>
      <c r="G363" s="176" t="s">
        <v>725</v>
      </c>
      <c r="H363" s="176" t="s">
        <v>726</v>
      </c>
      <c r="I363" s="176" t="s">
        <v>727</v>
      </c>
      <c r="J363" s="176" t="s">
        <v>728</v>
      </c>
      <c r="K363" s="176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f>68640</f>
        <v>68640</v>
      </c>
      <c r="G372" s="18">
        <f>5250.98+5896.34</f>
        <v>11147.32</v>
      </c>
      <c r="H372" s="18">
        <f>303.65+2830.35+175+940.41+179922.55+77044.22+12418567.19+554991.35+20172.35+8064.11+307645.83</f>
        <v>13570657.009999998</v>
      </c>
      <c r="I372" s="18">
        <f>49497.94</f>
        <v>49497.94</v>
      </c>
      <c r="J372" s="18">
        <f>5042+450000+55724.39+180380.6</f>
        <v>691146.99</v>
      </c>
      <c r="K372" s="18">
        <v>0</v>
      </c>
      <c r="L372" s="13">
        <f t="shared" si="23"/>
        <v>14391089.259999998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68640</v>
      </c>
      <c r="G374" s="139">
        <f t="shared" ref="G374:L374" si="24">SUM(G366:G373)</f>
        <v>11147.32</v>
      </c>
      <c r="H374" s="139">
        <f t="shared" si="24"/>
        <v>13570657.009999998</v>
      </c>
      <c r="I374" s="41">
        <f t="shared" si="24"/>
        <v>49497.94</v>
      </c>
      <c r="J374" s="47">
        <f t="shared" si="24"/>
        <v>691146.99</v>
      </c>
      <c r="K374" s="47">
        <f t="shared" si="24"/>
        <v>0</v>
      </c>
      <c r="L374" s="47">
        <f t="shared" si="24"/>
        <v>14391089.259999998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0</v>
      </c>
      <c r="I380" s="18">
        <v>0</v>
      </c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0</v>
      </c>
      <c r="I381" s="18">
        <v>0</v>
      </c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0</v>
      </c>
      <c r="I382" s="18">
        <v>0</v>
      </c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0</v>
      </c>
      <c r="H384" s="18">
        <v>0</v>
      </c>
      <c r="I384" s="18">
        <v>0</v>
      </c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59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f>J185</f>
        <v>65296.1</v>
      </c>
      <c r="J392" s="24" t="s">
        <v>312</v>
      </c>
      <c r="K392" s="24" t="s">
        <v>312</v>
      </c>
      <c r="L392" s="56">
        <f t="shared" si="26"/>
        <v>65296.1</v>
      </c>
      <c r="M392" s="8"/>
    </row>
    <row r="393" spans="1:13" s="3" customFormat="1" ht="12" customHeight="1" thickTop="1" x14ac:dyDescent="0.15">
      <c r="A393" s="159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65296.1</v>
      </c>
      <c r="J393" s="45" t="s">
        <v>312</v>
      </c>
      <c r="K393" s="45" t="s">
        <v>312</v>
      </c>
      <c r="L393" s="47">
        <f>SUM(L387:L392)</f>
        <v>65296.1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59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65296.1</v>
      </c>
      <c r="J400" s="24" t="s">
        <v>312</v>
      </c>
      <c r="K400" s="24" t="s">
        <v>312</v>
      </c>
      <c r="L400" s="47">
        <f>L385+L393+L399</f>
        <v>65296.1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6" t="s">
        <v>724</v>
      </c>
      <c r="G401" s="176" t="s">
        <v>725</v>
      </c>
      <c r="H401" s="176" t="s">
        <v>726</v>
      </c>
      <c r="I401" s="176" t="s">
        <v>727</v>
      </c>
      <c r="J401" s="176" t="s">
        <v>728</v>
      </c>
      <c r="K401" s="176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59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f>14421.6+996+2088+2088+1378+2088</f>
        <v>23059.599999999999</v>
      </c>
      <c r="G418" s="18">
        <f>7052.64+12.5+76.19+159.74+159.74+105.42+159.74+167.46+167.46</f>
        <v>8060.8899999999994</v>
      </c>
      <c r="H418" s="18">
        <f>325+260+65+520+125+585+585+585+520+780+60+800+480+960+1112.4+1878+180+840+1080+705.2+488.1+150.3+2745.9+461.7+461.7+5550</f>
        <v>22303.3</v>
      </c>
      <c r="I418" s="18">
        <f>5076.18+136.57+271.69+874.24</f>
        <v>6358.6799999999994</v>
      </c>
      <c r="J418" s="18">
        <f>15198.34+150</f>
        <v>15348.34</v>
      </c>
      <c r="K418" s="18">
        <v>0</v>
      </c>
      <c r="L418" s="56">
        <f t="shared" si="29"/>
        <v>75130.81</v>
      </c>
      <c r="M418" s="8"/>
    </row>
    <row r="419" spans="1:21" s="3" customFormat="1" ht="12" customHeight="1" thickTop="1" x14ac:dyDescent="0.15">
      <c r="A419" s="159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23059.599999999999</v>
      </c>
      <c r="G419" s="47">
        <f t="shared" si="30"/>
        <v>8060.8899999999994</v>
      </c>
      <c r="H419" s="47">
        <f t="shared" si="30"/>
        <v>22303.3</v>
      </c>
      <c r="I419" s="47">
        <f t="shared" si="30"/>
        <v>6358.6799999999994</v>
      </c>
      <c r="J419" s="47">
        <f t="shared" si="30"/>
        <v>15348.34</v>
      </c>
      <c r="K419" s="47">
        <f t="shared" si="30"/>
        <v>0</v>
      </c>
      <c r="L419" s="47">
        <f t="shared" si="30"/>
        <v>75130.81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8"/>
    </row>
    <row r="425" spans="1:21" ht="12" customHeight="1" thickTop="1" thickBot="1" x14ac:dyDescent="0.25">
      <c r="A425" s="159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23059.599999999999</v>
      </c>
      <c r="G426" s="47">
        <f t="shared" si="32"/>
        <v>8060.8899999999994</v>
      </c>
      <c r="H426" s="47">
        <f t="shared" si="32"/>
        <v>22303.3</v>
      </c>
      <c r="I426" s="47">
        <f t="shared" si="32"/>
        <v>6358.6799999999994</v>
      </c>
      <c r="J426" s="47">
        <f t="shared" si="32"/>
        <v>15348.34</v>
      </c>
      <c r="K426" s="47">
        <f t="shared" si="32"/>
        <v>0</v>
      </c>
      <c r="L426" s="47">
        <f t="shared" si="32"/>
        <v>75130.81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0</v>
      </c>
      <c r="G432" s="18">
        <v>0</v>
      </c>
      <c r="H432" s="18">
        <v>0</v>
      </c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0</v>
      </c>
      <c r="H433" s="18">
        <v>0</v>
      </c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51454.84</v>
      </c>
      <c r="I434" s="56">
        <f t="shared" si="33"/>
        <v>51454.84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51454.84</v>
      </c>
      <c r="I438" s="13">
        <f>SUM(I431:I437)</f>
        <v>51454.84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1106.0999999999999</v>
      </c>
      <c r="I442" s="56">
        <f>SUM(F442:H442)</f>
        <v>1106.0999999999999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1106.0999999999999</v>
      </c>
      <c r="I444" s="72">
        <f>SUM(I440:I443)</f>
        <v>1106.0999999999999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0</v>
      </c>
      <c r="G449" s="18">
        <v>0</v>
      </c>
      <c r="H449" s="18">
        <f>H438-H444</f>
        <v>50348.74</v>
      </c>
      <c r="I449" s="56">
        <f>SUM(F449:H449)</f>
        <v>50348.74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50348.74</v>
      </c>
      <c r="I450" s="83">
        <f>SUM(I446:I449)</f>
        <v>50348.74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6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51454.84</v>
      </c>
      <c r="I451" s="42">
        <f>I444+I450</f>
        <v>51454.84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8" t="s">
        <v>883</v>
      </c>
      <c r="B455" s="105">
        <v>19</v>
      </c>
      <c r="C455" s="111">
        <v>1</v>
      </c>
      <c r="D455" s="2" t="s">
        <v>456</v>
      </c>
      <c r="E455" s="111"/>
      <c r="F455" s="18"/>
      <c r="G455" s="18">
        <v>-105476.52</v>
      </c>
      <c r="H455" s="18">
        <v>-10552.01</v>
      </c>
      <c r="I455" s="18">
        <v>17369677.899999999</v>
      </c>
      <c r="J455" s="18">
        <v>60183.45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23301353.66</v>
      </c>
      <c r="G458" s="18">
        <f>G185</f>
        <v>621460.84000000008</v>
      </c>
      <c r="H458" s="18">
        <f>H185</f>
        <v>1573331.53</v>
      </c>
      <c r="I458" s="18">
        <f>I185</f>
        <v>65365.77</v>
      </c>
      <c r="J458" s="18">
        <f>J185</f>
        <v>65296.1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0</v>
      </c>
      <c r="G459" s="18">
        <v>0</v>
      </c>
      <c r="H459" s="18">
        <v>0</v>
      </c>
      <c r="I459" s="18">
        <v>0</v>
      </c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23301353.66</v>
      </c>
      <c r="G460" s="53">
        <f>SUM(G458:G459)</f>
        <v>621460.84000000008</v>
      </c>
      <c r="H460" s="53">
        <f>SUM(H458:H459)</f>
        <v>1573331.53</v>
      </c>
      <c r="I460" s="53">
        <f>SUM(I458:I459)</f>
        <v>65365.77</v>
      </c>
      <c r="J460" s="53">
        <f>SUM(J458:J459)</f>
        <v>65296.1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23301353.66</v>
      </c>
      <c r="G462" s="18">
        <f>L354</f>
        <v>634211.19999999995</v>
      </c>
      <c r="H462" s="18">
        <f>L344</f>
        <v>1529035.59</v>
      </c>
      <c r="I462" s="18">
        <f>L374</f>
        <v>14391089.259999998</v>
      </c>
      <c r="J462" s="18">
        <f>L426</f>
        <v>75130.81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23301353.66</v>
      </c>
      <c r="G464" s="53">
        <f>SUM(G462:G463)</f>
        <v>634211.19999999995</v>
      </c>
      <c r="H464" s="53">
        <f>SUM(H462:H463)</f>
        <v>1529035.59</v>
      </c>
      <c r="I464" s="53">
        <f>SUM(I462:I463)</f>
        <v>14391089.259999998</v>
      </c>
      <c r="J464" s="53">
        <f>SUM(J462:J463)</f>
        <v>75130.81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9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-118226.87999999989</v>
      </c>
      <c r="H466" s="53">
        <f>(H455+H460)- H464</f>
        <v>33743.929999999935</v>
      </c>
      <c r="I466" s="53">
        <f>(I455+I460)- I464</f>
        <v>3043954.41</v>
      </c>
      <c r="J466" s="53">
        <f>(J455+J460)- J464</f>
        <v>50348.739999999991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4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3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3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3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0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3">
        <v>1</v>
      </c>
      <c r="G480" s="153">
        <v>2</v>
      </c>
      <c r="H480" s="153">
        <v>3</v>
      </c>
      <c r="I480" s="153">
        <v>4</v>
      </c>
      <c r="J480" s="153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4" t="s">
        <v>894</v>
      </c>
      <c r="G481" s="154" t="s">
        <v>894</v>
      </c>
      <c r="H481" s="154" t="s">
        <v>895</v>
      </c>
      <c r="I481" s="154" t="s">
        <v>896</v>
      </c>
      <c r="J481" s="154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4" t="s">
        <v>894</v>
      </c>
      <c r="G482" s="154" t="s">
        <v>894</v>
      </c>
      <c r="H482" s="154" t="s">
        <v>897</v>
      </c>
      <c r="I482" s="154" t="s">
        <v>898</v>
      </c>
      <c r="J482" s="154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5300000</v>
      </c>
      <c r="G483" s="18">
        <v>310000</v>
      </c>
      <c r="H483" s="18">
        <v>1338545</v>
      </c>
      <c r="I483" s="18">
        <v>18953000</v>
      </c>
      <c r="J483" s="18">
        <v>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5.63</v>
      </c>
      <c r="G484" s="18">
        <v>5.2</v>
      </c>
      <c r="H484" s="18">
        <v>3.68</v>
      </c>
      <c r="I484" s="18">
        <v>3.73</v>
      </c>
      <c r="J484" s="18">
        <v>0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1855000</v>
      </c>
      <c r="G485" s="18">
        <v>150000</v>
      </c>
      <c r="H485" s="18">
        <v>1205000</v>
      </c>
      <c r="I485" s="18">
        <v>18953000</v>
      </c>
      <c r="J485" s="18">
        <v>0</v>
      </c>
      <c r="K485" s="53">
        <f>SUM(F485:J485)</f>
        <v>22163000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265000</v>
      </c>
      <c r="G487" s="18">
        <v>15000</v>
      </c>
      <c r="H487" s="18">
        <v>135000</v>
      </c>
      <c r="I487" s="18">
        <v>1378284.66</v>
      </c>
      <c r="J487" s="18">
        <v>0</v>
      </c>
      <c r="K487" s="53">
        <f t="shared" si="34"/>
        <v>1793284.66</v>
      </c>
      <c r="L487" s="24" t="s">
        <v>312</v>
      </c>
    </row>
    <row r="488" spans="1:12" s="52" customFormat="1" ht="12" customHeight="1" x14ac:dyDescent="0.2">
      <c r="A488" s="200" t="s">
        <v>656</v>
      </c>
      <c r="B488" s="201">
        <v>20</v>
      </c>
      <c r="C488" s="202">
        <v>9</v>
      </c>
      <c r="D488" s="203" t="s">
        <v>456</v>
      </c>
      <c r="E488" s="202"/>
      <c r="F488" s="204">
        <f>F485-F487</f>
        <v>1590000</v>
      </c>
      <c r="G488" s="204">
        <f>G485-G487</f>
        <v>135000</v>
      </c>
      <c r="H488" s="204">
        <f>H485-H487</f>
        <v>1070000</v>
      </c>
      <c r="I488" s="204">
        <f>I485-I487</f>
        <v>17574715.34</v>
      </c>
      <c r="J488" s="204">
        <f>J483</f>
        <v>0</v>
      </c>
      <c r="K488" s="205">
        <f t="shared" si="34"/>
        <v>20369715.34</v>
      </c>
      <c r="L488" s="206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0</v>
      </c>
      <c r="H489" s="18">
        <v>0</v>
      </c>
      <c r="I489" s="18">
        <v>0</v>
      </c>
      <c r="J489" s="18">
        <v>0</v>
      </c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5">
        <v>11</v>
      </c>
      <c r="D490" s="39" t="s">
        <v>456</v>
      </c>
      <c r="E490" s="195"/>
      <c r="F490" s="42">
        <f>SUM(F488:F489)</f>
        <v>1590000</v>
      </c>
      <c r="G490" s="42">
        <f>SUM(G488:G489)</f>
        <v>135000</v>
      </c>
      <c r="H490" s="42">
        <f>SUM(H488:H489)</f>
        <v>1070000</v>
      </c>
      <c r="I490" s="42">
        <f>SUM(I488:I489)</f>
        <v>17574715.34</v>
      </c>
      <c r="J490" s="42">
        <f>SUM(J488:J489)</f>
        <v>0</v>
      </c>
      <c r="K490" s="42">
        <f t="shared" si="34"/>
        <v>20369715.34</v>
      </c>
      <c r="L490" s="45" t="s">
        <v>312</v>
      </c>
    </row>
    <row r="491" spans="1:12" s="52" customFormat="1" ht="12" customHeight="1" x14ac:dyDescent="0.2">
      <c r="A491" s="200" t="s">
        <v>685</v>
      </c>
      <c r="B491" s="201">
        <v>20</v>
      </c>
      <c r="C491" s="202">
        <v>12</v>
      </c>
      <c r="D491" s="203" t="s">
        <v>456</v>
      </c>
      <c r="E491" s="202"/>
      <c r="F491" s="204">
        <v>265000</v>
      </c>
      <c r="G491" s="204">
        <v>15000</v>
      </c>
      <c r="H491" s="204">
        <v>135000</v>
      </c>
      <c r="I491" s="204">
        <v>1322512</v>
      </c>
      <c r="J491" s="204">
        <v>0</v>
      </c>
      <c r="K491" s="205">
        <f t="shared" si="34"/>
        <v>1737512</v>
      </c>
      <c r="L491" s="206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83806</v>
      </c>
      <c r="G492" s="18">
        <v>6694</v>
      </c>
      <c r="H492" s="18">
        <v>52125</v>
      </c>
      <c r="I492" s="18">
        <v>111550</v>
      </c>
      <c r="J492" s="18">
        <v>0</v>
      </c>
      <c r="K492" s="53">
        <f t="shared" si="34"/>
        <v>254175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5">
        <v>14</v>
      </c>
      <c r="D493" s="39" t="s">
        <v>456</v>
      </c>
      <c r="E493" s="195"/>
      <c r="F493" s="42">
        <f>SUM(F491:F492)</f>
        <v>348806</v>
      </c>
      <c r="G493" s="42">
        <f>SUM(G491:G492)</f>
        <v>21694</v>
      </c>
      <c r="H493" s="42">
        <f>SUM(H491:H492)</f>
        <v>187125</v>
      </c>
      <c r="I493" s="42">
        <f>SUM(I491:I492)</f>
        <v>1434062</v>
      </c>
      <c r="J493" s="42">
        <f>SUM(J491:J492)</f>
        <v>0</v>
      </c>
      <c r="K493" s="42">
        <f t="shared" si="34"/>
        <v>1991687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6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0</v>
      </c>
      <c r="G501" s="24" t="s">
        <v>312</v>
      </c>
      <c r="H501" s="18">
        <v>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0</v>
      </c>
      <c r="G502" s="24" t="s">
        <v>312</v>
      </c>
      <c r="H502" s="18">
        <v>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0</v>
      </c>
      <c r="G503" s="24" t="s">
        <v>312</v>
      </c>
      <c r="H503" s="18">
        <v>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0</v>
      </c>
      <c r="G504" s="24" t="s">
        <v>312</v>
      </c>
      <c r="H504" s="18">
        <v>0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>
        <v>0</v>
      </c>
      <c r="G505" s="24" t="s">
        <v>312</v>
      </c>
      <c r="H505" s="18">
        <v>0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>
        <v>0</v>
      </c>
      <c r="H506" s="24" t="s">
        <v>312</v>
      </c>
      <c r="I506" s="18">
        <v>0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6" t="s">
        <v>724</v>
      </c>
      <c r="G508" s="176" t="s">
        <v>725</v>
      </c>
      <c r="H508" s="176" t="s">
        <v>726</v>
      </c>
      <c r="I508" s="176" t="s">
        <v>727</v>
      </c>
      <c r="J508" s="176" t="s">
        <v>728</v>
      </c>
      <c r="K508" s="176" t="s">
        <v>729</v>
      </c>
      <c r="L508" s="106"/>
    </row>
    <row r="509" spans="1:12" s="52" customFormat="1" ht="12" customHeight="1" x14ac:dyDescent="0.2">
      <c r="A509" s="177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1115528.77</v>
      </c>
      <c r="G511" s="18">
        <v>685242.03</v>
      </c>
      <c r="H511" s="18">
        <v>433129.01179999998</v>
      </c>
      <c r="I511" s="18">
        <v>37027.949999999997</v>
      </c>
      <c r="J511" s="18">
        <v>29205.77</v>
      </c>
      <c r="K511" s="18">
        <v>69</v>
      </c>
      <c r="L511" s="88">
        <f>SUM(F511:K511)</f>
        <v>2300202.5318000005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684667.06</v>
      </c>
      <c r="G512" s="18">
        <v>466533.64</v>
      </c>
      <c r="H512" s="18">
        <v>629518.30339999998</v>
      </c>
      <c r="I512" s="18">
        <v>11193.53</v>
      </c>
      <c r="J512" s="18">
        <v>1803.29</v>
      </c>
      <c r="K512" s="18">
        <v>0</v>
      </c>
      <c r="L512" s="88">
        <f>SUM(F512:K512)</f>
        <v>1793715.8234000003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621406.9</v>
      </c>
      <c r="G513" s="18">
        <v>407654.68</v>
      </c>
      <c r="H513" s="18">
        <v>798070.39480000001</v>
      </c>
      <c r="I513" s="18">
        <v>7773.32</v>
      </c>
      <c r="J513" s="18">
        <v>2081.9299999999998</v>
      </c>
      <c r="K513" s="18">
        <v>0</v>
      </c>
      <c r="L513" s="88">
        <f>SUM(F513:K513)</f>
        <v>1836987.2248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5">
        <v>4</v>
      </c>
      <c r="D514" s="196" t="s">
        <v>456</v>
      </c>
      <c r="E514" s="195"/>
      <c r="F514" s="108">
        <f>SUM(F511:F513)</f>
        <v>2421602.73</v>
      </c>
      <c r="G514" s="108">
        <f t="shared" ref="G514:L514" si="35">SUM(G511:G513)</f>
        <v>1559430.3499999999</v>
      </c>
      <c r="H514" s="108">
        <f t="shared" si="35"/>
        <v>1860717.71</v>
      </c>
      <c r="I514" s="108">
        <f t="shared" si="35"/>
        <v>55994.799999999996</v>
      </c>
      <c r="J514" s="108">
        <f t="shared" si="35"/>
        <v>33090.99</v>
      </c>
      <c r="K514" s="108">
        <f t="shared" si="35"/>
        <v>69</v>
      </c>
      <c r="L514" s="89">
        <f t="shared" si="35"/>
        <v>5930905.580000001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137900.21</v>
      </c>
      <c r="G516" s="18">
        <v>64966.8</v>
      </c>
      <c r="H516" s="18">
        <v>38477.67</v>
      </c>
      <c r="I516" s="18">
        <v>63388.202999999994</v>
      </c>
      <c r="J516" s="18">
        <v>0</v>
      </c>
      <c r="K516" s="18">
        <v>4404.2950000000001</v>
      </c>
      <c r="L516" s="88">
        <f>SUM(F516:K516)</f>
        <v>309137.17799999996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111537.7</v>
      </c>
      <c r="G517" s="18">
        <v>23160.47</v>
      </c>
      <c r="H517" s="18">
        <v>0</v>
      </c>
      <c r="I517" s="18">
        <v>52055.169000000002</v>
      </c>
      <c r="J517" s="18">
        <v>0</v>
      </c>
      <c r="K517" s="18">
        <v>3690.085</v>
      </c>
      <c r="L517" s="88">
        <f>SUM(F517:K517)</f>
        <v>190443.42399999997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0</v>
      </c>
      <c r="G518" s="18">
        <v>0</v>
      </c>
      <c r="H518" s="18">
        <v>6460.47</v>
      </c>
      <c r="I518" s="18">
        <v>53200.608</v>
      </c>
      <c r="J518" s="18">
        <v>0</v>
      </c>
      <c r="K518" s="18">
        <v>3809.12</v>
      </c>
      <c r="L518" s="88">
        <f>SUM(F518:K518)</f>
        <v>63470.198000000004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7" t="s">
        <v>456</v>
      </c>
      <c r="E519" s="107"/>
      <c r="F519" s="89">
        <f>SUM(F516:F518)</f>
        <v>249437.90999999997</v>
      </c>
      <c r="G519" s="89">
        <f t="shared" ref="G519:L519" si="36">SUM(G516:G518)</f>
        <v>88127.27</v>
      </c>
      <c r="H519" s="89">
        <f t="shared" si="36"/>
        <v>44938.14</v>
      </c>
      <c r="I519" s="89">
        <f t="shared" si="36"/>
        <v>168643.98</v>
      </c>
      <c r="J519" s="89">
        <f t="shared" si="36"/>
        <v>0</v>
      </c>
      <c r="K519" s="89">
        <f t="shared" si="36"/>
        <v>11903.5</v>
      </c>
      <c r="L519" s="89">
        <f t="shared" si="36"/>
        <v>563050.79999999993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48167.677198858924</v>
      </c>
      <c r="G521" s="18">
        <v>23347.719101682022</v>
      </c>
      <c r="H521" s="18">
        <v>182.22400000000005</v>
      </c>
      <c r="I521" s="18">
        <v>0</v>
      </c>
      <c r="J521" s="18">
        <v>0</v>
      </c>
      <c r="K521" s="18">
        <v>0</v>
      </c>
      <c r="L521" s="88">
        <f>SUM(F521:K521)</f>
        <v>71697.620300540948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38294.291436881795</v>
      </c>
      <c r="G522" s="18">
        <v>17075.808301409263</v>
      </c>
      <c r="H522" s="18">
        <v>79.311000000000007</v>
      </c>
      <c r="I522" s="18">
        <v>0</v>
      </c>
      <c r="J522" s="18">
        <v>0</v>
      </c>
      <c r="K522" s="18">
        <v>0</v>
      </c>
      <c r="L522" s="88">
        <f>SUM(F522:K522)</f>
        <v>55449.410738291059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37979.410063877986</v>
      </c>
      <c r="G523" s="18">
        <v>19116.781601454724</v>
      </c>
      <c r="H523" s="18">
        <v>185.39200000000002</v>
      </c>
      <c r="I523" s="18">
        <v>0</v>
      </c>
      <c r="J523" s="18">
        <v>0</v>
      </c>
      <c r="K523" s="18">
        <v>0</v>
      </c>
      <c r="L523" s="88">
        <f>SUM(F523:K523)</f>
        <v>57281.583665332706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7" t="s">
        <v>456</v>
      </c>
      <c r="E524" s="107"/>
      <c r="F524" s="89">
        <f>SUM(F521:F523)</f>
        <v>124441.37869961871</v>
      </c>
      <c r="G524" s="89">
        <f t="shared" ref="G524:L524" si="37">SUM(G521:G523)</f>
        <v>59540.309004546012</v>
      </c>
      <c r="H524" s="89">
        <f t="shared" si="37"/>
        <v>446.92700000000013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184428.61470416471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4" t="s">
        <v>312</v>
      </c>
      <c r="G525" s="194" t="s">
        <v>312</v>
      </c>
      <c r="H525" s="194" t="s">
        <v>312</v>
      </c>
      <c r="I525" s="194" t="s">
        <v>312</v>
      </c>
      <c r="J525" s="194" t="s">
        <v>312</v>
      </c>
      <c r="K525" s="194" t="s">
        <v>312</v>
      </c>
      <c r="L525" s="194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>
        <v>0</v>
      </c>
      <c r="G526" s="18">
        <v>0</v>
      </c>
      <c r="H526" s="18">
        <v>332.90379999999999</v>
      </c>
      <c r="I526" s="18">
        <v>0</v>
      </c>
      <c r="J526" s="18">
        <v>0</v>
      </c>
      <c r="K526" s="18">
        <v>0</v>
      </c>
      <c r="L526" s="88">
        <f>SUM(F526:K526)</f>
        <v>332.90379999999999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>
        <v>0</v>
      </c>
      <c r="G527" s="18">
        <v>0</v>
      </c>
      <c r="H527" s="18">
        <v>278.9194</v>
      </c>
      <c r="I527" s="18">
        <v>0</v>
      </c>
      <c r="J527" s="18">
        <v>0</v>
      </c>
      <c r="K527" s="18">
        <v>0</v>
      </c>
      <c r="L527" s="88">
        <f>SUM(F527:K527)</f>
        <v>278.9194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>
        <v>0</v>
      </c>
      <c r="G528" s="18">
        <v>0</v>
      </c>
      <c r="H528" s="18">
        <v>287.91680000000002</v>
      </c>
      <c r="I528" s="18">
        <v>0</v>
      </c>
      <c r="J528" s="18">
        <v>0</v>
      </c>
      <c r="K528" s="18">
        <v>0</v>
      </c>
      <c r="L528" s="88">
        <f>SUM(F528:K528)</f>
        <v>287.91680000000002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7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899.74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899.74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0</v>
      </c>
      <c r="G531" s="18">
        <v>0</v>
      </c>
      <c r="H531" s="18">
        <v>191265.9204</v>
      </c>
      <c r="I531" s="18">
        <v>0</v>
      </c>
      <c r="J531" s="18">
        <v>0</v>
      </c>
      <c r="K531" s="18">
        <v>0</v>
      </c>
      <c r="L531" s="88">
        <f>SUM(F531:K531)</f>
        <v>191265.9204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0</v>
      </c>
      <c r="G532" s="18">
        <v>0</v>
      </c>
      <c r="H532" s="18">
        <v>160249.82519999999</v>
      </c>
      <c r="I532" s="18">
        <v>0</v>
      </c>
      <c r="J532" s="18">
        <v>0</v>
      </c>
      <c r="K532" s="18">
        <v>0</v>
      </c>
      <c r="L532" s="88">
        <f>SUM(F532:K532)</f>
        <v>160249.82519999999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0</v>
      </c>
      <c r="G533" s="18">
        <v>0</v>
      </c>
      <c r="H533" s="18">
        <v>165419.17439999999</v>
      </c>
      <c r="I533" s="18">
        <v>0</v>
      </c>
      <c r="J533" s="18">
        <v>0</v>
      </c>
      <c r="K533" s="18">
        <v>0</v>
      </c>
      <c r="L533" s="88">
        <f>SUM(F533:K533)</f>
        <v>165419.17439999999</v>
      </c>
      <c r="M533" s="8"/>
    </row>
    <row r="534" spans="1:13" s="3" customFormat="1" ht="12" customHeight="1" thickTop="1" thickBot="1" x14ac:dyDescent="0.2">
      <c r="A534" s="130" t="s">
        <v>71</v>
      </c>
      <c r="B534" s="191">
        <v>21</v>
      </c>
      <c r="C534" s="191">
        <v>20</v>
      </c>
      <c r="D534" s="192" t="s">
        <v>456</v>
      </c>
      <c r="E534" s="191"/>
      <c r="F534" s="193">
        <f>SUM(F531:F533)</f>
        <v>0</v>
      </c>
      <c r="G534" s="193">
        <f t="shared" ref="G534:L534" si="39">SUM(G531:G533)</f>
        <v>0</v>
      </c>
      <c r="H534" s="193">
        <f t="shared" si="39"/>
        <v>516934.92000000004</v>
      </c>
      <c r="I534" s="193">
        <f t="shared" si="39"/>
        <v>0</v>
      </c>
      <c r="J534" s="193">
        <f t="shared" si="39"/>
        <v>0</v>
      </c>
      <c r="K534" s="193">
        <f t="shared" si="39"/>
        <v>0</v>
      </c>
      <c r="L534" s="193">
        <f t="shared" si="39"/>
        <v>516934.92000000004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7" t="s">
        <v>456</v>
      </c>
      <c r="E535" s="107"/>
      <c r="F535" s="89">
        <f>F514+F519+F524+F529+F534</f>
        <v>2795482.018699619</v>
      </c>
      <c r="G535" s="89">
        <f t="shared" ref="G535:L535" si="40">G514+G519+G524+G529+G534</f>
        <v>1707097.9290045458</v>
      </c>
      <c r="H535" s="89">
        <f t="shared" si="40"/>
        <v>2423937.4369999999</v>
      </c>
      <c r="I535" s="89">
        <f t="shared" si="40"/>
        <v>224638.78</v>
      </c>
      <c r="J535" s="89">
        <f t="shared" si="40"/>
        <v>33090.99</v>
      </c>
      <c r="K535" s="89">
        <f t="shared" si="40"/>
        <v>11972.5</v>
      </c>
      <c r="L535" s="89">
        <f t="shared" si="40"/>
        <v>7196219.6547041656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2300202.5318000005</v>
      </c>
      <c r="G539" s="87">
        <f>L516</f>
        <v>309137.17799999996</v>
      </c>
      <c r="H539" s="87">
        <f>L521</f>
        <v>71697.620300540948</v>
      </c>
      <c r="I539" s="87">
        <f>L526</f>
        <v>332.90379999999999</v>
      </c>
      <c r="J539" s="87">
        <f>L531</f>
        <v>191265.9204</v>
      </c>
      <c r="K539" s="87">
        <f>SUM(F539:J539)</f>
        <v>2872636.1543005416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1793715.8234000003</v>
      </c>
      <c r="G540" s="87">
        <f>L517</f>
        <v>190443.42399999997</v>
      </c>
      <c r="H540" s="87">
        <f>L522</f>
        <v>55449.410738291059</v>
      </c>
      <c r="I540" s="87">
        <f>L527</f>
        <v>278.9194</v>
      </c>
      <c r="J540" s="87">
        <f>L532</f>
        <v>160249.82519999999</v>
      </c>
      <c r="K540" s="87">
        <f>SUM(F540:J540)</f>
        <v>2200137.4027382913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1836987.2248</v>
      </c>
      <c r="G541" s="87">
        <f>L518</f>
        <v>63470.198000000004</v>
      </c>
      <c r="H541" s="87">
        <f>L523</f>
        <v>57281.583665332706</v>
      </c>
      <c r="I541" s="87">
        <f>L528</f>
        <v>287.91680000000002</v>
      </c>
      <c r="J541" s="87">
        <f>L533</f>
        <v>165419.17439999999</v>
      </c>
      <c r="K541" s="87">
        <f>SUM(F541:J541)</f>
        <v>2123446.0976653327</v>
      </c>
      <c r="L541" s="24" t="s">
        <v>312</v>
      </c>
      <c r="M541" s="8"/>
    </row>
    <row r="542" spans="1:13" s="3" customFormat="1" ht="12" customHeight="1" thickTop="1" x14ac:dyDescent="0.15">
      <c r="A542" s="171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5930905.580000001</v>
      </c>
      <c r="G542" s="89">
        <f t="shared" si="41"/>
        <v>563050.79999999993</v>
      </c>
      <c r="H542" s="89">
        <f t="shared" si="41"/>
        <v>184428.61470416471</v>
      </c>
      <c r="I542" s="89">
        <f t="shared" si="41"/>
        <v>899.74</v>
      </c>
      <c r="J542" s="89">
        <f t="shared" si="41"/>
        <v>516934.92000000004</v>
      </c>
      <c r="K542" s="89">
        <f t="shared" si="41"/>
        <v>7196219.6547041647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6" t="s">
        <v>724</v>
      </c>
      <c r="G544" s="176" t="s">
        <v>725</v>
      </c>
      <c r="H544" s="176" t="s">
        <v>726</v>
      </c>
      <c r="I544" s="176" t="s">
        <v>727</v>
      </c>
      <c r="J544" s="176" t="s">
        <v>728</v>
      </c>
      <c r="K544" s="176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1084143.69</v>
      </c>
      <c r="G547" s="18">
        <v>673800.95</v>
      </c>
      <c r="H547" s="18">
        <v>426728.32180000003</v>
      </c>
      <c r="I547" s="18">
        <v>32392.09</v>
      </c>
      <c r="J547" s="18">
        <v>29205.77</v>
      </c>
      <c r="K547" s="18">
        <f>K269</f>
        <v>69</v>
      </c>
      <c r="L547" s="88">
        <f>SUM(F547:K547)</f>
        <v>2246339.8217999996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651127.06000000006</v>
      </c>
      <c r="G548" s="18">
        <v>460608.23</v>
      </c>
      <c r="H548" s="18">
        <v>627301.04339999997</v>
      </c>
      <c r="I548" s="18">
        <v>10447.51</v>
      </c>
      <c r="J548" s="18">
        <v>1803.29</v>
      </c>
      <c r="K548" s="18">
        <f>K288</f>
        <v>0</v>
      </c>
      <c r="L548" s="88">
        <f>SUM(F548:K548)</f>
        <v>1751287.1333999999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577992.88</v>
      </c>
      <c r="G549" s="18">
        <v>384815.82</v>
      </c>
      <c r="H549" s="18">
        <v>798070.39480000001</v>
      </c>
      <c r="I549" s="18">
        <v>6887.66</v>
      </c>
      <c r="J549" s="18">
        <v>2081.9299999999998</v>
      </c>
      <c r="K549" s="18">
        <f>K307</f>
        <v>0</v>
      </c>
      <c r="L549" s="88">
        <f>SUM(F549:K549)</f>
        <v>1769848.6847999999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5">
        <v>4</v>
      </c>
      <c r="D550" s="196" t="s">
        <v>456</v>
      </c>
      <c r="E550" s="195"/>
      <c r="F550" s="108">
        <f t="shared" ref="F550:L550" si="42">SUM(F547:F549)</f>
        <v>2313263.63</v>
      </c>
      <c r="G550" s="108">
        <f t="shared" si="42"/>
        <v>1519225</v>
      </c>
      <c r="H550" s="108">
        <f t="shared" si="42"/>
        <v>1852099.7599999998</v>
      </c>
      <c r="I550" s="108">
        <f t="shared" si="42"/>
        <v>49727.259999999995</v>
      </c>
      <c r="J550" s="108">
        <f t="shared" si="42"/>
        <v>33090.99</v>
      </c>
      <c r="K550" s="108">
        <f t="shared" si="42"/>
        <v>69</v>
      </c>
      <c r="L550" s="89">
        <f t="shared" si="42"/>
        <v>5767475.6399999997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31385.08</v>
      </c>
      <c r="G552" s="18">
        <v>11441.08</v>
      </c>
      <c r="H552" s="18">
        <v>0</v>
      </c>
      <c r="I552" s="18">
        <v>460.39</v>
      </c>
      <c r="J552" s="18">
        <v>0</v>
      </c>
      <c r="K552" s="18">
        <v>0</v>
      </c>
      <c r="L552" s="88">
        <f>SUM(F552:K552)</f>
        <v>43286.55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33540</v>
      </c>
      <c r="G553" s="18">
        <v>5925.41</v>
      </c>
      <c r="H553" s="18">
        <v>0</v>
      </c>
      <c r="I553" s="18">
        <v>155.63999999999999</v>
      </c>
      <c r="J553" s="18">
        <v>0</v>
      </c>
      <c r="K553" s="18">
        <v>0</v>
      </c>
      <c r="L553" s="88">
        <f>SUM(F553:K553)</f>
        <v>39621.050000000003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43414.02</v>
      </c>
      <c r="G554" s="18">
        <v>22838.86</v>
      </c>
      <c r="H554" s="18">
        <v>0</v>
      </c>
      <c r="I554" s="18">
        <v>885.66</v>
      </c>
      <c r="J554" s="18">
        <v>0</v>
      </c>
      <c r="K554" s="18">
        <v>0</v>
      </c>
      <c r="L554" s="88">
        <f>SUM(F554:K554)</f>
        <v>67138.540000000008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6" t="s">
        <v>456</v>
      </c>
      <c r="E555" s="107"/>
      <c r="F555" s="89">
        <f t="shared" ref="F555:L555" si="43">SUM(F552:F554)</f>
        <v>108339.1</v>
      </c>
      <c r="G555" s="89">
        <f t="shared" si="43"/>
        <v>40205.35</v>
      </c>
      <c r="H555" s="89">
        <f t="shared" si="43"/>
        <v>0</v>
      </c>
      <c r="I555" s="89">
        <f t="shared" si="43"/>
        <v>1501.69</v>
      </c>
      <c r="J555" s="89">
        <f t="shared" si="43"/>
        <v>0</v>
      </c>
      <c r="K555" s="89">
        <f t="shared" si="43"/>
        <v>0</v>
      </c>
      <c r="L555" s="89">
        <f t="shared" si="43"/>
        <v>150046.14000000001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0</v>
      </c>
      <c r="G557" s="18">
        <v>0</v>
      </c>
      <c r="H557" s="18">
        <v>6400.69</v>
      </c>
      <c r="I557" s="18">
        <v>4175.47</v>
      </c>
      <c r="J557" s="18">
        <v>0</v>
      </c>
      <c r="K557" s="18">
        <v>0</v>
      </c>
      <c r="L557" s="88">
        <f>SUM(F557:K557)</f>
        <v>10576.16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0</v>
      </c>
      <c r="G558" s="18">
        <v>0</v>
      </c>
      <c r="H558" s="18">
        <v>2217.2600000000002</v>
      </c>
      <c r="I558" s="18">
        <v>590.38</v>
      </c>
      <c r="J558" s="18">
        <v>0</v>
      </c>
      <c r="K558" s="18">
        <v>0</v>
      </c>
      <c r="L558" s="88">
        <f>SUM(F558:K558)</f>
        <v>2807.6400000000003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1">
        <v>22</v>
      </c>
      <c r="C560" s="191">
        <v>12</v>
      </c>
      <c r="D560" s="197" t="s">
        <v>456</v>
      </c>
      <c r="E560" s="191"/>
      <c r="F560" s="193">
        <f>SUM(F557:F559)</f>
        <v>0</v>
      </c>
      <c r="G560" s="193">
        <f t="shared" ref="G560:L560" si="44">SUM(G557:G559)</f>
        <v>0</v>
      </c>
      <c r="H560" s="193">
        <f t="shared" si="44"/>
        <v>8617.9500000000007</v>
      </c>
      <c r="I560" s="193">
        <f t="shared" si="44"/>
        <v>4765.8500000000004</v>
      </c>
      <c r="J560" s="193">
        <f t="shared" si="44"/>
        <v>0</v>
      </c>
      <c r="K560" s="193">
        <f t="shared" si="44"/>
        <v>0</v>
      </c>
      <c r="L560" s="193">
        <f t="shared" si="44"/>
        <v>13383.8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7" t="s">
        <v>456</v>
      </c>
      <c r="E561" s="107"/>
      <c r="F561" s="89">
        <f>F550+F555+F560</f>
        <v>2421602.73</v>
      </c>
      <c r="G561" s="89">
        <f t="shared" ref="G561:L561" si="45">G550+G555+G560</f>
        <v>1559430.35</v>
      </c>
      <c r="H561" s="89">
        <f t="shared" si="45"/>
        <v>1860717.7099999997</v>
      </c>
      <c r="I561" s="89">
        <f t="shared" si="45"/>
        <v>55994.799999999996</v>
      </c>
      <c r="J561" s="89">
        <f t="shared" si="45"/>
        <v>33090.99</v>
      </c>
      <c r="K561" s="89">
        <f t="shared" si="45"/>
        <v>69</v>
      </c>
      <c r="L561" s="89">
        <f t="shared" si="45"/>
        <v>5930905.5799999991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>
        <v>0</v>
      </c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0</v>
      </c>
      <c r="H569" s="18">
        <v>0</v>
      </c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5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5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375127.89990000002</v>
      </c>
      <c r="G572" s="18">
        <v>616143.99369999999</v>
      </c>
      <c r="H572" s="18">
        <v>796366.43640000001</v>
      </c>
      <c r="I572" s="87">
        <f t="shared" si="46"/>
        <v>1787638.33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5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9379.98</v>
      </c>
      <c r="I574" s="87">
        <f t="shared" si="46"/>
        <v>9379.98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2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6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182788.70060000001</v>
      </c>
      <c r="I581" s="18">
        <v>91406.717799999999</v>
      </c>
      <c r="J581" s="18">
        <v>94355.32160000001</v>
      </c>
      <c r="K581" s="104">
        <f t="shared" ref="K581:K587" si="47">SUM(H581:J581)</f>
        <v>368550.74000000005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191265.9204</v>
      </c>
      <c r="I582" s="18">
        <v>160249.82519999999</v>
      </c>
      <c r="J582" s="18">
        <v>165419.17439999999</v>
      </c>
      <c r="K582" s="104">
        <f t="shared" si="47"/>
        <v>516934.92000000004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f>37800+304.27</f>
        <v>38104.269999999997</v>
      </c>
      <c r="K583" s="104">
        <f t="shared" si="47"/>
        <v>38104.269999999997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4298.1000000000004</v>
      </c>
      <c r="J584" s="18">
        <v>21283.07</v>
      </c>
      <c r="K584" s="104">
        <f t="shared" si="47"/>
        <v>25581.17</v>
      </c>
      <c r="L584" s="24" t="s">
        <v>312</v>
      </c>
      <c r="M584" s="8"/>
    </row>
    <row r="585" spans="1:13" s="3" customFormat="1" ht="12" customHeight="1" x14ac:dyDescent="0.15">
      <c r="A585" s="170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0</v>
      </c>
      <c r="I585" s="18">
        <v>0</v>
      </c>
      <c r="J585" s="18">
        <v>0</v>
      </c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7">
        <v>2700</v>
      </c>
      <c r="G588" s="148" t="s">
        <v>97</v>
      </c>
      <c r="H588" s="108">
        <f>SUM(H581:H587)</f>
        <v>374054.62100000004</v>
      </c>
      <c r="I588" s="108">
        <f>SUM(I581:I587)</f>
        <v>255954.64300000001</v>
      </c>
      <c r="J588" s="108">
        <f>SUM(J581:J587)</f>
        <v>319161.83600000001</v>
      </c>
      <c r="K588" s="108">
        <f>SUM(K581:K587)</f>
        <v>949171.10000000021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130613.59767918089</v>
      </c>
      <c r="I594" s="18">
        <f>J221+J301</f>
        <v>61876.578668941977</v>
      </c>
      <c r="J594" s="18">
        <f>J239+J320</f>
        <v>156084.17365187712</v>
      </c>
      <c r="K594" s="104">
        <f>SUM(H594:J594)</f>
        <v>348574.35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8" t="s">
        <v>500</v>
      </c>
      <c r="G595" s="147">
        <v>700</v>
      </c>
      <c r="H595" s="108">
        <f>SUM(H592:H594)</f>
        <v>130613.59767918089</v>
      </c>
      <c r="I595" s="108">
        <f>SUM(I592:I594)</f>
        <v>61876.578668941977</v>
      </c>
      <c r="J595" s="108">
        <f>SUM(J592:J594)</f>
        <v>156084.17365187712</v>
      </c>
      <c r="K595" s="108">
        <f>SUM(K592:K594)</f>
        <v>348574.35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6" t="s">
        <v>724</v>
      </c>
      <c r="G599" s="176" t="s">
        <v>725</v>
      </c>
      <c r="H599" s="176" t="s">
        <v>726</v>
      </c>
      <c r="I599" s="176" t="s">
        <v>727</v>
      </c>
      <c r="J599" s="176" t="s">
        <v>728</v>
      </c>
      <c r="K599" s="176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18">
        <v>0</v>
      </c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18">
        <v>0</v>
      </c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49" t="s">
        <v>53</v>
      </c>
      <c r="G606" s="150"/>
      <c r="H606" s="150"/>
      <c r="I606" s="149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655169.85</v>
      </c>
      <c r="H607" s="109">
        <f>SUM(F44)</f>
        <v>655169.85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7490.48</v>
      </c>
      <c r="H608" s="109">
        <f>SUM(G44)</f>
        <v>7490.4799999999959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188344.95</v>
      </c>
      <c r="H609" s="109">
        <f>SUM(H44)</f>
        <v>188344.95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6293203.5499999998</v>
      </c>
      <c r="H610" s="109">
        <f>SUM(I44)</f>
        <v>6293203.5499999989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51454.84</v>
      </c>
      <c r="H611" s="109">
        <f>SUM(J44)</f>
        <v>51454.84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-118226.88</v>
      </c>
      <c r="H613" s="109">
        <f>G466</f>
        <v>-118226.87999999989</v>
      </c>
      <c r="I613" s="121" t="s">
        <v>108</v>
      </c>
      <c r="J613" s="109">
        <f t="shared" si="49"/>
        <v>-1.1641532182693481E-10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33743.93</v>
      </c>
      <c r="H614" s="109">
        <f>H466</f>
        <v>33743.929999999935</v>
      </c>
      <c r="I614" s="121" t="s">
        <v>110</v>
      </c>
      <c r="J614" s="109">
        <f t="shared" si="49"/>
        <v>6.5483618527650833E-11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3043954.4099999983</v>
      </c>
      <c r="H615" s="109">
        <f>I466</f>
        <v>3043954.41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50348.74</v>
      </c>
      <c r="H616" s="109">
        <f>J466</f>
        <v>50348.739999999991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23301353.66</v>
      </c>
      <c r="H617" s="104">
        <f>SUM(F458)</f>
        <v>23301353.66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621460.84000000008</v>
      </c>
      <c r="H618" s="104">
        <f>SUM(G458)</f>
        <v>621460.84000000008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1573331.53</v>
      </c>
      <c r="H619" s="104">
        <f>SUM(H458)</f>
        <v>1573331.53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65365.77</v>
      </c>
      <c r="H620" s="104">
        <f>SUM(I458)</f>
        <v>65365.77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65296.1</v>
      </c>
      <c r="H621" s="104">
        <f>SUM(J458)</f>
        <v>65296.1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23301353.66</v>
      </c>
      <c r="H622" s="104">
        <f>SUM(F462)</f>
        <v>23301353.66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1529035.59</v>
      </c>
      <c r="H623" s="104">
        <f>SUM(H462)</f>
        <v>1529035.59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202563.83039999998</v>
      </c>
      <c r="H624" s="104">
        <f>I361</f>
        <v>202563.83039999998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634211.19999999995</v>
      </c>
      <c r="H625" s="104">
        <f>SUM(G462)</f>
        <v>634211.19999999995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14391089.259999998</v>
      </c>
      <c r="H626" s="104">
        <f>SUM(I462)</f>
        <v>14391089.259999998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8" customFormat="1" ht="12" customHeight="1" x14ac:dyDescent="0.15">
      <c r="A627" s="160"/>
      <c r="B627" s="161"/>
      <c r="C627" s="161"/>
      <c r="D627" s="161"/>
      <c r="E627" s="161"/>
      <c r="F627" s="162" t="s">
        <v>501</v>
      </c>
      <c r="G627" s="150">
        <f>SUM(L400)</f>
        <v>65296.1</v>
      </c>
      <c r="H627" s="163">
        <f>SUM(J458)</f>
        <v>65296.1</v>
      </c>
      <c r="I627" s="164" t="s">
        <v>119</v>
      </c>
      <c r="J627" s="150">
        <f t="shared" si="49"/>
        <v>0</v>
      </c>
      <c r="K627" s="165"/>
      <c r="L627" s="166"/>
      <c r="M627" s="167"/>
    </row>
    <row r="628" spans="1:13" s="168" customFormat="1" ht="12" customHeight="1" x14ac:dyDescent="0.15">
      <c r="A628" s="160"/>
      <c r="B628" s="161"/>
      <c r="C628" s="161"/>
      <c r="D628" s="161"/>
      <c r="E628" s="161"/>
      <c r="F628" s="162" t="s">
        <v>502</v>
      </c>
      <c r="G628" s="150">
        <f>SUM(L426)</f>
        <v>75130.81</v>
      </c>
      <c r="H628" s="163">
        <f>SUM(J462)</f>
        <v>75130.81</v>
      </c>
      <c r="I628" s="164" t="s">
        <v>126</v>
      </c>
      <c r="J628" s="150">
        <f t="shared" si="49"/>
        <v>0</v>
      </c>
      <c r="K628" s="165"/>
      <c r="L628" s="166"/>
      <c r="M628" s="167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51454.84</v>
      </c>
      <c r="H631" s="104">
        <f>SUM(H451)</f>
        <v>51454.84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51454.84</v>
      </c>
      <c r="H632" s="104">
        <f>SUM(I451)</f>
        <v>51454.84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65296.1</v>
      </c>
      <c r="H636" s="104">
        <f>L400</f>
        <v>65296.1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949171.10000000021</v>
      </c>
      <c r="H637" s="104">
        <f>L200+L218+L236</f>
        <v>949171.1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348574.35</v>
      </c>
      <c r="H638" s="104">
        <f>(J249+J330)-(J247+J328)</f>
        <v>348574.35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374054.62100000004</v>
      </c>
      <c r="H639" s="104">
        <f>H588</f>
        <v>374054.62100000004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255954.64299999998</v>
      </c>
      <c r="H640" s="104">
        <f>I588</f>
        <v>255954.64300000001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319161.83600000001</v>
      </c>
      <c r="H641" s="104">
        <f>J588</f>
        <v>319161.83600000001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8524392.4697577376</v>
      </c>
      <c r="G650" s="19">
        <f>(L221+L301+L351)</f>
        <v>7013879.0285780998</v>
      </c>
      <c r="H650" s="19">
        <f>(L239+L320+L352)</f>
        <v>7914412.3616641639</v>
      </c>
      <c r="I650" s="19">
        <f>SUM(F650:H650)</f>
        <v>23452683.860000003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199594.70416007724</v>
      </c>
      <c r="G651" s="19">
        <f>(L351/IF(SUM(L350:L352)=0,1,SUM(L350:L352))*(SUM(G89:G102)))</f>
        <v>89751.689800000022</v>
      </c>
      <c r="H651" s="19">
        <f>(L352/IF(SUM(L350:L352)=0,1,SUM(L350:L352))*(SUM(G89:G102)))</f>
        <v>175.1860399228018</v>
      </c>
      <c r="I651" s="19">
        <f>SUM(F651:H651)</f>
        <v>289521.58000000007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414460.25038566557</v>
      </c>
      <c r="G652" s="19">
        <f>(L218+L298)-(J218+J298)</f>
        <v>256950.64299999998</v>
      </c>
      <c r="H652" s="19">
        <f>(L236+L317)-(J236+J317)</f>
        <v>319161.83600000001</v>
      </c>
      <c r="I652" s="19">
        <f>SUM(F652:H652)</f>
        <v>990572.7293856655</v>
      </c>
      <c r="J652"/>
      <c r="K652" s="13"/>
      <c r="L652" s="13"/>
      <c r="M652" s="9"/>
    </row>
    <row r="653" spans="1:13" s="3" customFormat="1" ht="12" customHeight="1" x14ac:dyDescent="0.15">
      <c r="A653" s="198" t="s">
        <v>142</v>
      </c>
      <c r="B653" s="168"/>
      <c r="C653" s="168"/>
      <c r="D653" s="168"/>
      <c r="E653" s="168"/>
      <c r="F653" s="199">
        <f>SUM(F565:F577)+SUM(H592:H594)+SUM(L601)</f>
        <v>505741.49757918093</v>
      </c>
      <c r="G653" s="199">
        <f>SUM(G565:G577)+SUM(I592:I594)+L602</f>
        <v>678020.57236894197</v>
      </c>
      <c r="H653" s="199">
        <f>SUM(H565:H577)+SUM(J592:J594)+L603</f>
        <v>961830.59005187708</v>
      </c>
      <c r="I653" s="19">
        <f>SUM(F653:H653)</f>
        <v>2145592.66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7404596.0176328141</v>
      </c>
      <c r="G654" s="19">
        <f>G650-SUM(G651:G653)</f>
        <v>5989156.1234091576</v>
      </c>
      <c r="H654" s="19">
        <f>H650-SUM(H651:H653)</f>
        <v>6633244.7495723637</v>
      </c>
      <c r="I654" s="19">
        <f>I650-SUM(I651:I653)</f>
        <v>20026996.890614338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7">
        <v>579.65</v>
      </c>
      <c r="G655" s="248">
        <v>541.32000000000005</v>
      </c>
      <c r="H655" s="248">
        <v>555.61</v>
      </c>
      <c r="I655" s="19">
        <f>SUM(F655:H655)</f>
        <v>1676.58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12774.25</v>
      </c>
      <c r="G657" s="19">
        <f>ROUND(G654/G655,2)</f>
        <v>11063.98</v>
      </c>
      <c r="H657" s="19">
        <f>ROUND(H654/H655,2)</f>
        <v>11938.67</v>
      </c>
      <c r="I657" s="19">
        <f>ROUND(I654/I655,2)</f>
        <v>11945.15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16.72</v>
      </c>
      <c r="I660" s="19">
        <f>SUM(F660:H660)</f>
        <v>16.72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12774.25</v>
      </c>
      <c r="G662" s="19">
        <f>ROUND((G654+G659)/(G655+G660),2)</f>
        <v>11063.98</v>
      </c>
      <c r="H662" s="19">
        <f>ROUND((H654+H659)/(H655+H660),2)</f>
        <v>11589.9</v>
      </c>
      <c r="I662" s="19">
        <f>ROUND((I654+I659)/(I655+I660),2)</f>
        <v>11827.2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7DCD-D9FE-4007-AA0C-BC047A5FE5BE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816</v>
      </c>
      <c r="B1" s="232" t="str">
        <f>'DOE25'!A2</f>
        <v>Somersworth SD</v>
      </c>
      <c r="C1" s="238" t="s">
        <v>870</v>
      </c>
    </row>
    <row r="2" spans="1:3" x14ac:dyDescent="0.2">
      <c r="A2" s="233"/>
      <c r="B2" s="232"/>
    </row>
    <row r="3" spans="1:3" x14ac:dyDescent="0.2">
      <c r="A3" s="273" t="s">
        <v>815</v>
      </c>
      <c r="B3" s="273"/>
      <c r="C3" s="273"/>
    </row>
    <row r="4" spans="1:3" x14ac:dyDescent="0.2">
      <c r="A4" s="236"/>
      <c r="B4" s="237" t="str">
        <f>'DOE25'!H1</f>
        <v>DOE 25  2010-2011</v>
      </c>
      <c r="C4" s="236"/>
    </row>
    <row r="5" spans="1:3" x14ac:dyDescent="0.2">
      <c r="A5" s="233"/>
      <c r="B5" s="232"/>
    </row>
    <row r="6" spans="1:3" x14ac:dyDescent="0.2">
      <c r="A6" s="227"/>
      <c r="B6" s="272" t="s">
        <v>814</v>
      </c>
      <c r="C6" s="272"/>
    </row>
    <row r="7" spans="1:3" x14ac:dyDescent="0.2">
      <c r="A7" s="239" t="s">
        <v>817</v>
      </c>
      <c r="B7" s="270" t="s">
        <v>813</v>
      </c>
      <c r="C7" s="271"/>
    </row>
    <row r="8" spans="1:3" x14ac:dyDescent="0.2">
      <c r="B8" s="228" t="s">
        <v>54</v>
      </c>
      <c r="C8" s="228" t="s">
        <v>807</v>
      </c>
    </row>
    <row r="9" spans="1:3" x14ac:dyDescent="0.2">
      <c r="A9" s="33" t="s">
        <v>808</v>
      </c>
      <c r="B9" s="229">
        <f>'DOE25'!F189+'DOE25'!F207+'DOE25'!F225+'DOE25'!F268+'DOE25'!F287+'DOE25'!F306</f>
        <v>4676945.0629999992</v>
      </c>
      <c r="C9" s="229">
        <f>'DOE25'!G189+'DOE25'!G207+'DOE25'!G225+'DOE25'!G268+'DOE25'!G287+'DOE25'!G306</f>
        <v>2442383.7950999993</v>
      </c>
    </row>
    <row r="10" spans="1:3" x14ac:dyDescent="0.2">
      <c r="A10" t="s">
        <v>810</v>
      </c>
      <c r="B10" s="240">
        <f>29956.62+4096027.2+121565.13+31172.05</f>
        <v>4278721</v>
      </c>
      <c r="C10" s="240">
        <f>4742.61+2120315.5+10.26+1672.65+6.31+10010.1+535.87</f>
        <v>2137293.2999999998</v>
      </c>
    </row>
    <row r="11" spans="1:3" x14ac:dyDescent="0.2">
      <c r="A11" t="s">
        <v>811</v>
      </c>
      <c r="B11" s="240">
        <f>B9-B10-B12</f>
        <v>183455.55299999914</v>
      </c>
      <c r="C11" s="240">
        <f>C9-C10-C12</f>
        <v>288096.80509999947</v>
      </c>
    </row>
    <row r="12" spans="1:3" x14ac:dyDescent="0.2">
      <c r="A12" t="s">
        <v>812</v>
      </c>
      <c r="B12" s="240">
        <f>1166.67+213601.84</f>
        <v>214768.51</v>
      </c>
      <c r="C12" s="240">
        <f>196.1+16797.59</f>
        <v>16993.689999999999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4676945.0629999992</v>
      </c>
      <c r="C13" s="231">
        <f>SUM(C10:C12)</f>
        <v>2442383.7950999993</v>
      </c>
    </row>
    <row r="14" spans="1:3" x14ac:dyDescent="0.2">
      <c r="B14" s="230"/>
      <c r="C14" s="230"/>
    </row>
    <row r="15" spans="1:3" x14ac:dyDescent="0.2">
      <c r="B15" s="272" t="s">
        <v>814</v>
      </c>
      <c r="C15" s="272"/>
    </row>
    <row r="16" spans="1:3" x14ac:dyDescent="0.2">
      <c r="A16" s="239" t="s">
        <v>818</v>
      </c>
      <c r="B16" s="270" t="s">
        <v>738</v>
      </c>
      <c r="C16" s="271"/>
    </row>
    <row r="17" spans="1:3" x14ac:dyDescent="0.2">
      <c r="B17" s="228" t="s">
        <v>54</v>
      </c>
      <c r="C17" s="228" t="s">
        <v>807</v>
      </c>
    </row>
    <row r="18" spans="1:3" x14ac:dyDescent="0.2">
      <c r="A18" s="33" t="s">
        <v>808</v>
      </c>
      <c r="B18" s="229">
        <f>'DOE25'!F190+'DOE25'!F208+'DOE25'!F226+'DOE25'!F269+'DOE25'!F288+'DOE25'!F307</f>
        <v>2421602.73</v>
      </c>
      <c r="C18" s="229">
        <f>'DOE25'!G190+'DOE25'!G208+'DOE25'!G226+'DOE25'!G269+'DOE25'!G288+'DOE25'!G307</f>
        <v>1559430.35</v>
      </c>
    </row>
    <row r="19" spans="1:3" x14ac:dyDescent="0.2">
      <c r="A19" t="s">
        <v>810</v>
      </c>
      <c r="B19" s="240">
        <f>56204.94+935495.17+16650+236679.6+31385.08+76954.02</f>
        <v>1353368.8100000003</v>
      </c>
      <c r="C19" s="240">
        <f>11816.72+509067.27+213.34+11441.08+28764.27+82854.14+18939.04+9968.27+8628.09</f>
        <v>681692.22000000009</v>
      </c>
    </row>
    <row r="20" spans="1:3" x14ac:dyDescent="0.2">
      <c r="A20" t="s">
        <v>811</v>
      </c>
      <c r="B20" s="240">
        <f>42453.07+125707.01+184614.62+542964.26+79051.44</f>
        <v>974790.39999999991</v>
      </c>
      <c r="C20" s="240">
        <f>20549.83+96001.36+107951.68+566779.52+35353.05</f>
        <v>826635.44000000006</v>
      </c>
    </row>
    <row r="21" spans="1:3" x14ac:dyDescent="0.2">
      <c r="A21" t="s">
        <v>812</v>
      </c>
      <c r="B21" s="240">
        <f>25970.96+34185.56+33287</f>
        <v>93443.51999999999</v>
      </c>
      <c r="C21" s="240">
        <f>19926.19+20859.5+10317</f>
        <v>51102.69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2421602.73</v>
      </c>
      <c r="C22" s="231">
        <f>SUM(C19:C21)</f>
        <v>1559430.35</v>
      </c>
    </row>
    <row r="23" spans="1:3" x14ac:dyDescent="0.2">
      <c r="B23" s="230"/>
      <c r="C23" s="230"/>
    </row>
    <row r="24" spans="1:3" x14ac:dyDescent="0.2">
      <c r="B24" s="272" t="s">
        <v>814</v>
      </c>
      <c r="C24" s="272"/>
    </row>
    <row r="25" spans="1:3" x14ac:dyDescent="0.2">
      <c r="A25" s="239" t="s">
        <v>819</v>
      </c>
      <c r="B25" s="270" t="s">
        <v>739</v>
      </c>
      <c r="C25" s="271"/>
    </row>
    <row r="26" spans="1:3" x14ac:dyDescent="0.2">
      <c r="B26" s="228" t="s">
        <v>54</v>
      </c>
      <c r="C26" s="228" t="s">
        <v>807</v>
      </c>
    </row>
    <row r="27" spans="1:3" x14ac:dyDescent="0.2">
      <c r="A27" s="33" t="s">
        <v>808</v>
      </c>
      <c r="B27" s="234">
        <f>'DOE25'!F191+'DOE25'!F209+'DOE25'!F227+'DOE25'!F270+'DOE25'!F289+'DOE25'!F308</f>
        <v>440675.16000000003</v>
      </c>
      <c r="C27" s="234">
        <f>'DOE25'!G191+'DOE25'!G209+'DOE25'!G227+'DOE25'!G270+'DOE25'!G289+'DOE25'!G308</f>
        <v>221160.39</v>
      </c>
    </row>
    <row r="28" spans="1:3" x14ac:dyDescent="0.2">
      <c r="A28" t="s">
        <v>810</v>
      </c>
      <c r="B28" s="240">
        <f>404717.04+13516.07+16367</f>
        <v>434600.11</v>
      </c>
      <c r="C28" s="240">
        <f>205969.23+62.72+0.42+1238.02+4245.54+1029.35</f>
        <v>212545.28000000003</v>
      </c>
    </row>
    <row r="29" spans="1:3" x14ac:dyDescent="0.2">
      <c r="A29" t="s">
        <v>811</v>
      </c>
      <c r="B29" s="240">
        <f>6075.05</f>
        <v>6075.05</v>
      </c>
      <c r="C29" s="240">
        <f>8615.11</f>
        <v>8615.11</v>
      </c>
    </row>
    <row r="30" spans="1:3" x14ac:dyDescent="0.2">
      <c r="A30" t="s">
        <v>812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440675.16</v>
      </c>
      <c r="C31" s="231">
        <f>SUM(C28:C30)</f>
        <v>221160.39</v>
      </c>
    </row>
    <row r="33" spans="1:3" x14ac:dyDescent="0.2">
      <c r="B33" s="272" t="s">
        <v>814</v>
      </c>
      <c r="C33" s="272"/>
    </row>
    <row r="34" spans="1:3" x14ac:dyDescent="0.2">
      <c r="A34" s="239" t="s">
        <v>820</v>
      </c>
      <c r="B34" s="270" t="s">
        <v>740</v>
      </c>
      <c r="C34" s="271"/>
    </row>
    <row r="35" spans="1:3" x14ac:dyDescent="0.2">
      <c r="B35" s="228" t="s">
        <v>54</v>
      </c>
      <c r="C35" s="228" t="s">
        <v>807</v>
      </c>
    </row>
    <row r="36" spans="1:3" x14ac:dyDescent="0.2">
      <c r="A36" s="33" t="s">
        <v>808</v>
      </c>
      <c r="B36" s="235">
        <f>'DOE25'!F192+'DOE25'!F210+'DOE25'!F228+'DOE25'!F271+'DOE25'!F290+'DOE25'!F309</f>
        <v>183126.27000000002</v>
      </c>
      <c r="C36" s="235">
        <f>'DOE25'!G192+'DOE25'!G210+'DOE25'!G228+'DOE25'!G271+'DOE25'!G290+'DOE25'!G309</f>
        <v>35233.509999999995</v>
      </c>
    </row>
    <row r="37" spans="1:3" x14ac:dyDescent="0.2">
      <c r="A37" t="s">
        <v>810</v>
      </c>
      <c r="B37" s="240">
        <f>17728+67385+17075+80938.27</f>
        <v>183126.27000000002</v>
      </c>
      <c r="C37" s="240">
        <f>20242.73+6678.29+1294.69+1306.04+1375.09+4887.2-550.53</f>
        <v>35233.51</v>
      </c>
    </row>
    <row r="38" spans="1:3" x14ac:dyDescent="0.2">
      <c r="A38" t="s">
        <v>811</v>
      </c>
      <c r="B38" s="240"/>
      <c r="C38" s="240"/>
    </row>
    <row r="39" spans="1:3" x14ac:dyDescent="0.2">
      <c r="A39" t="s">
        <v>812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183126.27000000002</v>
      </c>
      <c r="C40" s="231">
        <f>SUM(C37:C39)</f>
        <v>35233.51</v>
      </c>
    </row>
    <row r="41" spans="1:3" x14ac:dyDescent="0.2">
      <c r="B41" s="230"/>
      <c r="C41" s="230"/>
    </row>
    <row r="42" spans="1:3" x14ac:dyDescent="0.2">
      <c r="A42" s="33" t="s">
        <v>868</v>
      </c>
      <c r="B42" s="230"/>
      <c r="C42" s="230"/>
    </row>
    <row r="43" spans="1:3" x14ac:dyDescent="0.2">
      <c r="A43" t="s">
        <v>872</v>
      </c>
      <c r="B43" s="230"/>
      <c r="C43" s="230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4" t="s">
        <v>809</v>
      </c>
    </row>
    <row r="49" spans="1:1" x14ac:dyDescent="0.2">
      <c r="A49" s="268" t="s">
        <v>875</v>
      </c>
    </row>
    <row r="50" spans="1:1" x14ac:dyDescent="0.2">
      <c r="A50" s="268" t="s">
        <v>869</v>
      </c>
    </row>
    <row r="51" spans="1:1" x14ac:dyDescent="0.2">
      <c r="A51" s="268" t="s">
        <v>876</v>
      </c>
    </row>
    <row r="52" spans="1:1" x14ac:dyDescent="0.2">
      <c r="A52" s="269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F1BB-F1FF-4577-B0F2-28F9B2DFFA08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7"/>
      <c r="C1" s="277"/>
      <c r="D1" s="277"/>
      <c r="E1" s="277"/>
      <c r="F1" s="277"/>
      <c r="G1" s="277"/>
      <c r="H1" s="277"/>
      <c r="I1" s="180"/>
    </row>
    <row r="2" spans="1:9" x14ac:dyDescent="0.2">
      <c r="A2" s="33" t="s">
        <v>748</v>
      </c>
      <c r="B2" s="265" t="str">
        <f>'DOE25'!A2</f>
        <v>Somersworth SD</v>
      </c>
      <c r="C2" s="180"/>
      <c r="D2" s="180" t="s">
        <v>823</v>
      </c>
      <c r="E2" s="180" t="s">
        <v>825</v>
      </c>
      <c r="F2" s="274" t="s">
        <v>852</v>
      </c>
      <c r="G2" s="275"/>
      <c r="H2" s="276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824</v>
      </c>
      <c r="E3" s="180" t="s">
        <v>826</v>
      </c>
      <c r="F3" s="241" t="s">
        <v>866</v>
      </c>
      <c r="G3" s="217" t="s">
        <v>59</v>
      </c>
      <c r="H3" s="242" t="s">
        <v>829</v>
      </c>
    </row>
    <row r="4" spans="1:9" x14ac:dyDescent="0.2">
      <c r="A4" s="251" t="s">
        <v>831</v>
      </c>
      <c r="B4" s="251" t="s">
        <v>847</v>
      </c>
      <c r="C4" s="251" t="s">
        <v>822</v>
      </c>
      <c r="D4" s="251" t="s">
        <v>848</v>
      </c>
      <c r="E4" s="251" t="s">
        <v>848</v>
      </c>
      <c r="F4" s="250" t="s">
        <v>828</v>
      </c>
      <c r="G4" s="251" t="s">
        <v>842</v>
      </c>
      <c r="H4" s="252" t="s">
        <v>830</v>
      </c>
    </row>
    <row r="5" spans="1:9" x14ac:dyDescent="0.2">
      <c r="A5" s="32">
        <v>1000</v>
      </c>
      <c r="B5" t="s">
        <v>218</v>
      </c>
      <c r="C5" s="245">
        <f t="shared" ref="C5:C19" si="0">SUM(D5:H5)</f>
        <v>13783961.198100001</v>
      </c>
      <c r="D5" s="20">
        <f>SUM('DOE25'!L189:L192)+SUM('DOE25'!L207:L210)+SUM('DOE25'!L225:L228)-F5-G5</f>
        <v>13629974.118100001</v>
      </c>
      <c r="E5" s="243"/>
      <c r="F5" s="255">
        <f>SUM('DOE25'!J189:J192)+SUM('DOE25'!J207:J210)+SUM('DOE25'!J225:J228)</f>
        <v>149331.07999999999</v>
      </c>
      <c r="G5" s="53">
        <f>SUM('DOE25'!K189:K192)+SUM('DOE25'!K207:K210)+SUM('DOE25'!K225:K228)</f>
        <v>4656</v>
      </c>
      <c r="H5" s="259"/>
    </row>
    <row r="6" spans="1:9" x14ac:dyDescent="0.2">
      <c r="A6" s="32">
        <v>2100</v>
      </c>
      <c r="B6" t="s">
        <v>832</v>
      </c>
      <c r="C6" s="245">
        <f t="shared" si="0"/>
        <v>1568203.8919000002</v>
      </c>
      <c r="D6" s="20">
        <f>'DOE25'!L194+'DOE25'!L212+'DOE25'!L230-F6-G6</f>
        <v>1556055.3919000002</v>
      </c>
      <c r="E6" s="243"/>
      <c r="F6" s="255">
        <f>'DOE25'!J194+'DOE25'!J212+'DOE25'!J230</f>
        <v>100</v>
      </c>
      <c r="G6" s="53">
        <f>'DOE25'!K194+'DOE25'!K212+'DOE25'!K230</f>
        <v>12048.5</v>
      </c>
      <c r="H6" s="259"/>
    </row>
    <row r="7" spans="1:9" x14ac:dyDescent="0.2">
      <c r="A7" s="32">
        <v>2200</v>
      </c>
      <c r="B7" t="s">
        <v>865</v>
      </c>
      <c r="C7" s="245">
        <f t="shared" si="0"/>
        <v>291405.18</v>
      </c>
      <c r="D7" s="20">
        <f>'DOE25'!L195+'DOE25'!L213+'DOE25'!L231-F7-G7</f>
        <v>285753.33999999997</v>
      </c>
      <c r="E7" s="243"/>
      <c r="F7" s="255">
        <f>'DOE25'!J195+'DOE25'!J213+'DOE25'!J231</f>
        <v>5651.84</v>
      </c>
      <c r="G7" s="53">
        <f>'DOE25'!K195+'DOE25'!K213+'DOE25'!K231</f>
        <v>0</v>
      </c>
      <c r="H7" s="259"/>
    </row>
    <row r="8" spans="1:9" x14ac:dyDescent="0.2">
      <c r="A8" s="32">
        <v>2300</v>
      </c>
      <c r="B8" t="s">
        <v>833</v>
      </c>
      <c r="C8" s="245">
        <f t="shared" si="0"/>
        <v>688954.47216899146</v>
      </c>
      <c r="D8" s="243"/>
      <c r="E8" s="20">
        <f>'DOE25'!L196+'DOE25'!L214+'DOE25'!L232-F8-G8-D9-D11</f>
        <v>683569.7621689915</v>
      </c>
      <c r="F8" s="255">
        <f>'DOE25'!J196+'DOE25'!J214+'DOE25'!J232</f>
        <v>0</v>
      </c>
      <c r="G8" s="53">
        <f>'DOE25'!K196+'DOE25'!K214+'DOE25'!K232</f>
        <v>5384.71</v>
      </c>
      <c r="H8" s="259"/>
    </row>
    <row r="9" spans="1:9" x14ac:dyDescent="0.2">
      <c r="A9" s="32">
        <v>2310</v>
      </c>
      <c r="B9" t="s">
        <v>849</v>
      </c>
      <c r="C9" s="245">
        <f t="shared" si="0"/>
        <v>15172.7</v>
      </c>
      <c r="D9" s="244">
        <v>15172.7</v>
      </c>
      <c r="E9" s="243"/>
      <c r="F9" s="258"/>
      <c r="G9" s="256"/>
      <c r="H9" s="259"/>
    </row>
    <row r="10" spans="1:9" x14ac:dyDescent="0.2">
      <c r="A10" s="32">
        <v>2317</v>
      </c>
      <c r="B10" t="s">
        <v>850</v>
      </c>
      <c r="C10" s="245">
        <f t="shared" si="0"/>
        <v>4758</v>
      </c>
      <c r="D10" s="243"/>
      <c r="E10" s="244">
        <v>4758</v>
      </c>
      <c r="F10" s="258"/>
      <c r="G10" s="256"/>
      <c r="H10" s="259"/>
    </row>
    <row r="11" spans="1:9" x14ac:dyDescent="0.2">
      <c r="A11" s="32">
        <v>2321</v>
      </c>
      <c r="B11" t="s">
        <v>862</v>
      </c>
      <c r="C11" s="245">
        <f t="shared" si="0"/>
        <v>264207.95783100871</v>
      </c>
      <c r="D11" s="244">
        <v>264207.95783100871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746</v>
      </c>
      <c r="C12" s="245">
        <f t="shared" si="0"/>
        <v>1251748.46</v>
      </c>
      <c r="D12" s="20">
        <f>'DOE25'!L197+'DOE25'!L215+'DOE25'!L233-F12-G12</f>
        <v>1203412.8999999999</v>
      </c>
      <c r="E12" s="243"/>
      <c r="F12" s="255">
        <f>'DOE25'!J197+'DOE25'!J215+'DOE25'!J233</f>
        <v>41246.559999999998</v>
      </c>
      <c r="G12" s="53">
        <f>'DOE25'!K197+'DOE25'!K215+'DOE25'!K233</f>
        <v>7089</v>
      </c>
      <c r="H12" s="259"/>
    </row>
    <row r="13" spans="1:9" x14ac:dyDescent="0.2">
      <c r="A13" s="32">
        <v>2500</v>
      </c>
      <c r="B13" t="s">
        <v>834</v>
      </c>
      <c r="C13" s="245">
        <f t="shared" si="0"/>
        <v>0</v>
      </c>
      <c r="D13" s="243"/>
      <c r="E13" s="20">
        <f>'DOE25'!L198+'DOE25'!L216+'DOE25'!L234-F13-G13</f>
        <v>0</v>
      </c>
      <c r="F13" s="255">
        <f>'DOE25'!J198+'DOE25'!J216+'DOE25'!J234</f>
        <v>0</v>
      </c>
      <c r="G13" s="53">
        <f>'DOE25'!K198+'DOE25'!K216+'DOE25'!K234</f>
        <v>0</v>
      </c>
      <c r="H13" s="259"/>
    </row>
    <row r="14" spans="1:9" x14ac:dyDescent="0.2">
      <c r="A14" s="32">
        <v>2600</v>
      </c>
      <c r="B14" t="s">
        <v>863</v>
      </c>
      <c r="C14" s="245">
        <f t="shared" si="0"/>
        <v>2254790.73</v>
      </c>
      <c r="D14" s="20">
        <f>'DOE25'!L199+'DOE25'!L217+'DOE25'!L235-F14-G14</f>
        <v>2247998.73</v>
      </c>
      <c r="E14" s="243"/>
      <c r="F14" s="255">
        <f>'DOE25'!J199+'DOE25'!J217+'DOE25'!J235</f>
        <v>6792</v>
      </c>
      <c r="G14" s="53">
        <f>'DOE25'!K199+'DOE25'!K217+'DOE25'!K235</f>
        <v>0</v>
      </c>
      <c r="H14" s="259"/>
    </row>
    <row r="15" spans="1:9" x14ac:dyDescent="0.2">
      <c r="A15" s="32">
        <v>2700</v>
      </c>
      <c r="B15" t="s">
        <v>835</v>
      </c>
      <c r="C15" s="245">
        <f t="shared" si="0"/>
        <v>949171.1</v>
      </c>
      <c r="D15" s="20">
        <f>'DOE25'!L200+'DOE25'!L218+'DOE25'!L236-F15-G15</f>
        <v>949171.1</v>
      </c>
      <c r="E15" s="243"/>
      <c r="F15" s="255">
        <f>'DOE25'!J200+'DOE25'!J218+'DOE25'!J236</f>
        <v>0</v>
      </c>
      <c r="G15" s="53">
        <f>'DOE25'!K200+'DOE25'!K218+'DOE25'!K236</f>
        <v>0</v>
      </c>
      <c r="H15" s="259"/>
    </row>
    <row r="16" spans="1:9" x14ac:dyDescent="0.2">
      <c r="A16" s="32">
        <v>2800</v>
      </c>
      <c r="B16" t="s">
        <v>836</v>
      </c>
      <c r="C16" s="245">
        <f t="shared" si="0"/>
        <v>221821.38</v>
      </c>
      <c r="D16" s="243"/>
      <c r="E16" s="20">
        <f>'DOE25'!L201+'DOE25'!L219+'DOE25'!L237-F16-G16</f>
        <v>221821.38</v>
      </c>
      <c r="F16" s="255">
        <f>'DOE25'!J201+'DOE25'!J219+'DOE25'!J237</f>
        <v>0</v>
      </c>
      <c r="G16" s="53">
        <f>'DOE25'!K201+'DOE25'!K219+'DOE25'!K237</f>
        <v>0</v>
      </c>
      <c r="H16" s="259"/>
    </row>
    <row r="17" spans="1:8" x14ac:dyDescent="0.2">
      <c r="A17" s="32">
        <v>1600</v>
      </c>
      <c r="B17" t="s">
        <v>837</v>
      </c>
      <c r="C17" s="245">
        <f t="shared" si="0"/>
        <v>0</v>
      </c>
      <c r="D17" s="20">
        <f>'DOE25'!L243-F17-G17</f>
        <v>0</v>
      </c>
      <c r="E17" s="243"/>
      <c r="F17" s="255">
        <f>'DOE25'!J243</f>
        <v>0</v>
      </c>
      <c r="G17" s="53">
        <f>'DOE25'!K243</f>
        <v>0</v>
      </c>
      <c r="H17" s="259"/>
    </row>
    <row r="18" spans="1:8" x14ac:dyDescent="0.2">
      <c r="A18" s="32">
        <v>1700</v>
      </c>
      <c r="B18" t="s">
        <v>838</v>
      </c>
      <c r="C18" s="245">
        <f t="shared" si="0"/>
        <v>0</v>
      </c>
      <c r="D18" s="20">
        <f>'DOE25'!L244-F18-G18</f>
        <v>0</v>
      </c>
      <c r="E18" s="243"/>
      <c r="F18" s="255">
        <f>'DOE25'!J244</f>
        <v>0</v>
      </c>
      <c r="G18" s="53">
        <f>'DOE25'!K244</f>
        <v>0</v>
      </c>
      <c r="H18" s="259"/>
    </row>
    <row r="19" spans="1:8" x14ac:dyDescent="0.2">
      <c r="A19" s="32">
        <v>1800</v>
      </c>
      <c r="B19" t="s">
        <v>839</v>
      </c>
      <c r="C19" s="245">
        <f t="shared" si="0"/>
        <v>0</v>
      </c>
      <c r="D19" s="20">
        <f>'DOE25'!L245-F19-G19</f>
        <v>0</v>
      </c>
      <c r="E19" s="243"/>
      <c r="F19" s="255">
        <f>'DOE25'!J245</f>
        <v>0</v>
      </c>
      <c r="G19" s="53">
        <f>'DOE25'!K245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827</v>
      </c>
      <c r="F21" s="260"/>
      <c r="G21" s="52"/>
      <c r="H21" s="261"/>
    </row>
    <row r="22" spans="1:8" x14ac:dyDescent="0.2">
      <c r="A22" s="32">
        <v>4000</v>
      </c>
      <c r="B22" t="s">
        <v>864</v>
      </c>
      <c r="C22" s="245">
        <f>SUM(D22:H22)</f>
        <v>0</v>
      </c>
      <c r="D22" s="243"/>
      <c r="E22" s="243"/>
      <c r="F22" s="255">
        <f>'DOE25'!L247+'DOE25'!L328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487</v>
      </c>
      <c r="F24" s="260"/>
      <c r="G24" s="52"/>
      <c r="H24" s="261"/>
    </row>
    <row r="25" spans="1:8" x14ac:dyDescent="0.2">
      <c r="A25" s="32" t="s">
        <v>840</v>
      </c>
      <c r="B25" t="s">
        <v>841</v>
      </c>
      <c r="C25" s="245">
        <f>SUM(D25:H25)</f>
        <v>2011916.59</v>
      </c>
      <c r="D25" s="243"/>
      <c r="E25" s="243"/>
      <c r="F25" s="258"/>
      <c r="G25" s="256"/>
      <c r="H25" s="257">
        <f>'DOE25'!L252+'DOE25'!L253+'DOE25'!L333+'DOE25'!L334</f>
        <v>2011916.59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843</v>
      </c>
      <c r="F27" s="260"/>
      <c r="G27" s="52"/>
      <c r="H27" s="261"/>
    </row>
    <row r="28" spans="1:8" x14ac:dyDescent="0.2">
      <c r="A28" s="32">
        <v>3100</v>
      </c>
      <c r="B28" t="s">
        <v>856</v>
      </c>
      <c r="F28" s="260"/>
      <c r="G28" s="52"/>
      <c r="H28" s="261"/>
    </row>
    <row r="29" spans="1:8" x14ac:dyDescent="0.2">
      <c r="A29" s="32"/>
      <c r="B29" t="s">
        <v>844</v>
      </c>
      <c r="C29" s="245">
        <f>SUM(D29:H29)</f>
        <v>634211.19999999995</v>
      </c>
      <c r="D29" s="20">
        <f>'DOE25'!L350+'DOE25'!L351+'DOE25'!L352-'DOE25'!I359-F29-G29</f>
        <v>634211.19999999995</v>
      </c>
      <c r="E29" s="243"/>
      <c r="F29" s="255">
        <f>'DOE25'!J350+'DOE25'!J351+'DOE25'!J352</f>
        <v>0</v>
      </c>
      <c r="G29" s="53">
        <f>'DOE25'!K350+'DOE25'!K351+'DOE25'!K352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858</v>
      </c>
      <c r="B31" t="s">
        <v>857</v>
      </c>
      <c r="C31" s="245">
        <f>SUM(D31:H31)</f>
        <v>1529035.5900000003</v>
      </c>
      <c r="D31" s="20">
        <f>'DOE25'!L282+'DOE25'!L301+'DOE25'!L320+'DOE25'!L325+'DOE25'!L326+'DOE25'!L327-F31-G31</f>
        <v>1351943.3900000001</v>
      </c>
      <c r="E31" s="243"/>
      <c r="F31" s="255">
        <f>'DOE25'!J282+'DOE25'!J301+'DOE25'!J320+'DOE25'!J325+'DOE25'!J326+'DOE25'!J327</f>
        <v>145452.87</v>
      </c>
      <c r="G31" s="53">
        <f>'DOE25'!K282+'DOE25'!K301+'DOE25'!K320+'DOE25'!K325+'DOE25'!K326+'DOE25'!K327</f>
        <v>31639.33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845</v>
      </c>
      <c r="D33" s="246">
        <f>SUM(D5:D31)</f>
        <v>22137900.827831011</v>
      </c>
      <c r="E33" s="246">
        <f>SUM(E5:E31)</f>
        <v>910149.1421689915</v>
      </c>
      <c r="F33" s="246">
        <f>SUM(F5:F31)</f>
        <v>348574.35</v>
      </c>
      <c r="G33" s="246">
        <f>SUM(G5:G31)</f>
        <v>60817.54</v>
      </c>
      <c r="H33" s="246">
        <f>SUM(H5:H31)</f>
        <v>2011916.59</v>
      </c>
    </row>
    <row r="35" spans="2:8" ht="12" thickBot="1" x14ac:dyDescent="0.25">
      <c r="B35" s="253" t="s">
        <v>878</v>
      </c>
      <c r="D35" s="254">
        <f>E33</f>
        <v>910149.1421689915</v>
      </c>
      <c r="E35" s="249"/>
    </row>
    <row r="36" spans="2:8" ht="12" thickTop="1" x14ac:dyDescent="0.2">
      <c r="B36" t="s">
        <v>846</v>
      </c>
      <c r="D36" s="20">
        <f>D33</f>
        <v>22137900.827831011</v>
      </c>
    </row>
    <row r="38" spans="2:8" x14ac:dyDescent="0.2">
      <c r="B38" s="186" t="s">
        <v>887</v>
      </c>
      <c r="C38" s="266"/>
      <c r="D38" s="267"/>
    </row>
    <row r="39" spans="2:8" x14ac:dyDescent="0.2">
      <c r="B39" t="s">
        <v>855</v>
      </c>
      <c r="D39" s="180" t="str">
        <f>IF(E10&gt;0,"Y","N")</f>
        <v>Y</v>
      </c>
    </row>
    <row r="41" spans="2:8" x14ac:dyDescent="0.2">
      <c r="B41" s="264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D392-3A58-4D97-B8E1-08DB447BA0FE}">
  <sheetPr transitionEvaluation="1" codeName="Sheet2">
    <tabColor indexed="10"/>
  </sheetPr>
  <dimension ref="A1:I156"/>
  <sheetViews>
    <sheetView zoomScale="75" workbookViewId="0">
      <pane ySplit="2" topLeftCell="A21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Somersworth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0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6293203.5499999998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655169.85</v>
      </c>
      <c r="D13" s="95">
        <f>'DOE25'!G13</f>
        <v>7490.48</v>
      </c>
      <c r="E13" s="95">
        <f>'DOE25'!H13</f>
        <v>188344.95</v>
      </c>
      <c r="F13" s="95">
        <f>'DOE25'!I13</f>
        <v>0</v>
      </c>
      <c r="G13" s="95">
        <f>'DOE25'!J13</f>
        <v>51454.84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655169.85</v>
      </c>
      <c r="D19" s="41">
        <f>SUM(D9:D18)</f>
        <v>7490.48</v>
      </c>
      <c r="E19" s="41">
        <f>SUM(E9:E18)</f>
        <v>188344.95</v>
      </c>
      <c r="F19" s="41">
        <f>SUM(F9:F18)</f>
        <v>6293203.5499999998</v>
      </c>
      <c r="G19" s="41">
        <f>SUM(G9:G18)</f>
        <v>51454.84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79944.150000000023</v>
      </c>
      <c r="D23" s="95">
        <f>'DOE25'!G24</f>
        <v>121948.97</v>
      </c>
      <c r="E23" s="95">
        <f>'DOE25'!H24</f>
        <v>72381.81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575225.69999999995</v>
      </c>
      <c r="D24" s="95">
        <f>'DOE25'!G25</f>
        <v>3768.39</v>
      </c>
      <c r="E24" s="95">
        <f>'DOE25'!H25</f>
        <v>82219.210000000006</v>
      </c>
      <c r="F24" s="95">
        <f>'DOE25'!I25</f>
        <v>3249249.14</v>
      </c>
      <c r="G24" s="95">
        <f>'DOE25'!J25</f>
        <v>1106.0999999999999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655169.85</v>
      </c>
      <c r="D32" s="41">
        <f>SUM(D22:D31)</f>
        <v>125717.36</v>
      </c>
      <c r="E32" s="41">
        <f>SUM(E22:E31)</f>
        <v>154601.02000000002</v>
      </c>
      <c r="F32" s="41">
        <f>SUM(F22:F31)</f>
        <v>3249249.14</v>
      </c>
      <c r="G32" s="41">
        <f>SUM(G22:G31)</f>
        <v>1106.0999999999999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-118226.88</v>
      </c>
      <c r="E40" s="95">
        <f>'DOE25'!H41</f>
        <v>33743.93</v>
      </c>
      <c r="F40" s="95">
        <f>'DOE25'!I41</f>
        <v>3043954.4099999983</v>
      </c>
      <c r="G40" s="95">
        <f>'DOE25'!J41</f>
        <v>50348.74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-118226.88</v>
      </c>
      <c r="E42" s="41">
        <f>SUM(E34:E41)</f>
        <v>33743.93</v>
      </c>
      <c r="F42" s="41">
        <f>SUM(F34:F41)</f>
        <v>3043954.4099999983</v>
      </c>
      <c r="G42" s="41">
        <f>SUM(G34:G41)</f>
        <v>50348.74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655169.85</v>
      </c>
      <c r="D43" s="41">
        <f>D42+D32</f>
        <v>7490.4799999999959</v>
      </c>
      <c r="E43" s="41">
        <f>E42+E32</f>
        <v>188344.95</v>
      </c>
      <c r="F43" s="41">
        <f>F42+F32</f>
        <v>6293203.5499999989</v>
      </c>
      <c r="G43" s="41">
        <f>G42+G32</f>
        <v>51454.84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10549638.720000001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1601033.62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65365.77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280215.83000000007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28577.59</v>
      </c>
      <c r="D53" s="95">
        <f>SUM('DOE25'!G90:G102)</f>
        <v>9305.75</v>
      </c>
      <c r="E53" s="95">
        <f>SUM('DOE25'!H90:H102)</f>
        <v>0</v>
      </c>
      <c r="F53" s="95">
        <f>SUM('DOE25'!I90:I102)</f>
        <v>0</v>
      </c>
      <c r="G53" s="95">
        <f>SUM('DOE25'!J90:J102)</f>
        <v>61846.1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1629611.2100000002</v>
      </c>
      <c r="D54" s="130">
        <f>SUM(D49:D53)</f>
        <v>289521.58000000007</v>
      </c>
      <c r="E54" s="130">
        <f>SUM(E49:E53)</f>
        <v>0</v>
      </c>
      <c r="F54" s="130">
        <f>SUM(F49:F53)</f>
        <v>65365.77</v>
      </c>
      <c r="G54" s="130">
        <f>SUM(G49:G53)</f>
        <v>61846.1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12179249.930000002</v>
      </c>
      <c r="D55" s="22">
        <f>D48+D54</f>
        <v>289521.58000000007</v>
      </c>
      <c r="E55" s="22">
        <f>E48+E54</f>
        <v>0</v>
      </c>
      <c r="F55" s="22">
        <f>F48+F54</f>
        <v>65365.77</v>
      </c>
      <c r="G55" s="22">
        <f>G48+G54</f>
        <v>61846.1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7033640.8300000001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2074259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255108.17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3450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9363008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3450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950764.02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436053.49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128861.44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7019.39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1515678.95</v>
      </c>
      <c r="D70" s="130">
        <f>SUM(D64:D69)</f>
        <v>7019.39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10878686.949999999</v>
      </c>
      <c r="D73" s="130">
        <f>SUM(D71:D72)+D70+D62</f>
        <v>7019.39</v>
      </c>
      <c r="E73" s="130">
        <f>SUM(E71:E72)+E70+E62</f>
        <v>0</v>
      </c>
      <c r="F73" s="130">
        <f>SUM(F71:F72)+F70+F62</f>
        <v>0</v>
      </c>
      <c r="G73" s="130">
        <f>SUM(G71:G72)+G70+G62</f>
        <v>3450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243416.78</v>
      </c>
      <c r="D80" s="95">
        <f>SUM('DOE25'!G145:G153)</f>
        <v>324919.87</v>
      </c>
      <c r="E80" s="95">
        <f>SUM('DOE25'!H145:H153)</f>
        <v>1573331.53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243416.78</v>
      </c>
      <c r="D83" s="131">
        <f>SUM(D77:D82)</f>
        <v>324919.87</v>
      </c>
      <c r="E83" s="131">
        <f>SUM(E77:E82)</f>
        <v>1573331.53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23301353.660000004</v>
      </c>
      <c r="D96" s="86">
        <f>D55+D73+D83+D95</f>
        <v>621460.84000000008</v>
      </c>
      <c r="E96" s="86">
        <f>E55+E73+E83+E95</f>
        <v>1573331.53</v>
      </c>
      <c r="F96" s="86">
        <f>F55+F73+F83+F95</f>
        <v>65365.77</v>
      </c>
      <c r="G96" s="86">
        <f>G55+G73+G95</f>
        <v>65296.1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7467854.8580999998</v>
      </c>
      <c r="D101" s="24" t="s">
        <v>312</v>
      </c>
      <c r="E101" s="95">
        <f>('DOE25'!L268)+('DOE25'!L287)+('DOE25'!L306)</f>
        <v>214662.05999999997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5456071.0199999996</v>
      </c>
      <c r="D102" s="24" t="s">
        <v>312</v>
      </c>
      <c r="E102" s="95">
        <f>('DOE25'!L269)+('DOE25'!L288)+('DOE25'!L307)</f>
        <v>474834.56000000006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701900.98</v>
      </c>
      <c r="D103" s="24" t="s">
        <v>312</v>
      </c>
      <c r="E103" s="95">
        <f>('DOE25'!L270)+('DOE25'!L289)+('DOE25'!L308)</f>
        <v>305359.03000000003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158134.34</v>
      </c>
      <c r="D104" s="24" t="s">
        <v>312</v>
      </c>
      <c r="E104" s="95">
        <f>+('DOE25'!L271)+('DOE25'!L290)+('DOE25'!L309)</f>
        <v>184292.01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13783961.198100001</v>
      </c>
      <c r="D107" s="86">
        <f>SUM(D101:D106)</f>
        <v>0</v>
      </c>
      <c r="E107" s="86">
        <f>SUM(E101:E106)</f>
        <v>1179147.6600000001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1568203.8919000002</v>
      </c>
      <c r="D110" s="24" t="s">
        <v>312</v>
      </c>
      <c r="E110" s="95">
        <f>+('DOE25'!L273)+('DOE25'!L292)+('DOE25'!L311)</f>
        <v>20460.47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291405.18</v>
      </c>
      <c r="D111" s="24" t="s">
        <v>312</v>
      </c>
      <c r="E111" s="95">
        <f>+('DOE25'!L274)+('DOE25'!L293)+('DOE25'!L312)</f>
        <v>125087.57000000002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968335.13000000012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1251748.46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94536.67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2254790.73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949171.1</v>
      </c>
      <c r="D116" s="24" t="s">
        <v>312</v>
      </c>
      <c r="E116" s="95">
        <f>+('DOE25'!L279)+('DOE25'!L298)+('DOE25'!L317)</f>
        <v>41401.629385665525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221821.38</v>
      </c>
      <c r="D117" s="24" t="s">
        <v>312</v>
      </c>
      <c r="E117" s="95">
        <f>+('DOE25'!L280)+('DOE25'!L299)+('DOE25'!L318)</f>
        <v>68401.590614334476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634211.19999999995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7505475.8718999997</v>
      </c>
      <c r="D120" s="86">
        <f>SUM(D110:D119)</f>
        <v>634211.19999999995</v>
      </c>
      <c r="E120" s="86">
        <f>SUM(E110:E119)</f>
        <v>349887.93000000005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14391089.259999998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1793284.59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218632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65296.1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-65296.1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2011916.59</v>
      </c>
      <c r="D136" s="141">
        <f>SUM(D122:D135)</f>
        <v>0</v>
      </c>
      <c r="E136" s="141">
        <f>SUM(E122:E135)</f>
        <v>0</v>
      </c>
      <c r="F136" s="141">
        <f>SUM(F122:F135)</f>
        <v>14391089.259999998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23301353.66</v>
      </c>
      <c r="D137" s="86">
        <f>(D107+D120+D136)</f>
        <v>634211.19999999995</v>
      </c>
      <c r="E137" s="86">
        <f>(E107+E120+E136)</f>
        <v>1529035.5900000003</v>
      </c>
      <c r="F137" s="86">
        <f>(F107+F120+F136)</f>
        <v>14391089.259999998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2">
        <f>'DOE25'!F480</f>
        <v>1</v>
      </c>
      <c r="C143" s="152">
        <f>'DOE25'!G480</f>
        <v>2</v>
      </c>
      <c r="D143" s="152">
        <f>'DOE25'!H480</f>
        <v>3</v>
      </c>
      <c r="E143" s="152">
        <f>'DOE25'!I480</f>
        <v>4</v>
      </c>
      <c r="F143" s="152">
        <f>'DOE25'!J480</f>
        <v>0</v>
      </c>
      <c r="G143" s="24" t="s">
        <v>312</v>
      </c>
    </row>
    <row r="144" spans="1:9" x14ac:dyDescent="0.2">
      <c r="A144" s="136" t="s">
        <v>28</v>
      </c>
      <c r="B144" s="151" t="str">
        <f>'DOE25'!F481</f>
        <v>0</v>
      </c>
      <c r="C144" s="151" t="str">
        <f>'DOE25'!G481</f>
        <v>0</v>
      </c>
      <c r="D144" s="151" t="str">
        <f>'DOE25'!H481</f>
        <v>07/08</v>
      </c>
      <c r="E144" s="151" t="str">
        <f>'DOE25'!I481</f>
        <v>01/10</v>
      </c>
      <c r="F144" s="151">
        <f>'DOE25'!J481</f>
        <v>0</v>
      </c>
      <c r="G144" s="24" t="s">
        <v>312</v>
      </c>
    </row>
    <row r="145" spans="1:7" x14ac:dyDescent="0.2">
      <c r="A145" s="136" t="s">
        <v>29</v>
      </c>
      <c r="B145" s="151" t="str">
        <f>'DOE25'!F482</f>
        <v>0</v>
      </c>
      <c r="C145" s="151" t="str">
        <f>'DOE25'!G482</f>
        <v>0</v>
      </c>
      <c r="D145" s="151" t="str">
        <f>'DOE25'!H482</f>
        <v>08/18</v>
      </c>
      <c r="E145" s="151" t="str">
        <f>'DOE25'!I482</f>
        <v>01/30</v>
      </c>
      <c r="F145" s="151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5300000</v>
      </c>
      <c r="C146" s="137">
        <f>'DOE25'!G483</f>
        <v>310000</v>
      </c>
      <c r="D146" s="137">
        <f>'DOE25'!H483</f>
        <v>1338545</v>
      </c>
      <c r="E146" s="137">
        <f>'DOE25'!I483</f>
        <v>18953000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5.63</v>
      </c>
      <c r="C147" s="137">
        <f>'DOE25'!G484</f>
        <v>5.2</v>
      </c>
      <c r="D147" s="137">
        <f>'DOE25'!H484</f>
        <v>3.68</v>
      </c>
      <c r="E147" s="137">
        <f>'DOE25'!I484</f>
        <v>3.73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1855000</v>
      </c>
      <c r="C148" s="137">
        <f>'DOE25'!G485</f>
        <v>150000</v>
      </c>
      <c r="D148" s="137">
        <f>'DOE25'!H485</f>
        <v>1205000</v>
      </c>
      <c r="E148" s="137">
        <f>'DOE25'!I485</f>
        <v>18953000</v>
      </c>
      <c r="F148" s="137">
        <f>'DOE25'!J485</f>
        <v>0</v>
      </c>
      <c r="G148" s="138">
        <f>SUM(B148:F148)</f>
        <v>22163000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265000</v>
      </c>
      <c r="C150" s="137">
        <f>'DOE25'!G487</f>
        <v>15000</v>
      </c>
      <c r="D150" s="137">
        <f>'DOE25'!H487</f>
        <v>135000</v>
      </c>
      <c r="E150" s="137">
        <f>'DOE25'!I487</f>
        <v>1378284.66</v>
      </c>
      <c r="F150" s="137">
        <f>'DOE25'!J487</f>
        <v>0</v>
      </c>
      <c r="G150" s="138">
        <f t="shared" si="0"/>
        <v>1793284.66</v>
      </c>
    </row>
    <row r="151" spans="1:7" x14ac:dyDescent="0.2">
      <c r="A151" s="22" t="s">
        <v>35</v>
      </c>
      <c r="B151" s="137">
        <f>'DOE25'!F488</f>
        <v>1590000</v>
      </c>
      <c r="C151" s="137">
        <f>'DOE25'!G488</f>
        <v>135000</v>
      </c>
      <c r="D151" s="137">
        <f>'DOE25'!H488</f>
        <v>1070000</v>
      </c>
      <c r="E151" s="137">
        <f>'DOE25'!I488</f>
        <v>17574715.34</v>
      </c>
      <c r="F151" s="137">
        <f>'DOE25'!J488</f>
        <v>0</v>
      </c>
      <c r="G151" s="138">
        <f t="shared" si="0"/>
        <v>20369715.34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1590000</v>
      </c>
      <c r="C153" s="137">
        <f>'DOE25'!G490</f>
        <v>135000</v>
      </c>
      <c r="D153" s="137">
        <f>'DOE25'!H490</f>
        <v>1070000</v>
      </c>
      <c r="E153" s="137">
        <f>'DOE25'!I490</f>
        <v>17574715.34</v>
      </c>
      <c r="F153" s="137">
        <f>'DOE25'!J490</f>
        <v>0</v>
      </c>
      <c r="G153" s="138">
        <f t="shared" si="0"/>
        <v>20369715.34</v>
      </c>
    </row>
    <row r="154" spans="1:7" x14ac:dyDescent="0.2">
      <c r="A154" s="22" t="s">
        <v>38</v>
      </c>
      <c r="B154" s="137">
        <f>'DOE25'!F491</f>
        <v>265000</v>
      </c>
      <c r="C154" s="137">
        <f>'DOE25'!G491</f>
        <v>15000</v>
      </c>
      <c r="D154" s="137">
        <f>'DOE25'!H491</f>
        <v>135000</v>
      </c>
      <c r="E154" s="137">
        <f>'DOE25'!I491</f>
        <v>1322512</v>
      </c>
      <c r="F154" s="137">
        <f>'DOE25'!J491</f>
        <v>0</v>
      </c>
      <c r="G154" s="138">
        <f t="shared" si="0"/>
        <v>1737512</v>
      </c>
    </row>
    <row r="155" spans="1:7" x14ac:dyDescent="0.2">
      <c r="A155" s="22" t="s">
        <v>39</v>
      </c>
      <c r="B155" s="137">
        <f>'DOE25'!F492</f>
        <v>83806</v>
      </c>
      <c r="C155" s="137">
        <f>'DOE25'!G492</f>
        <v>6694</v>
      </c>
      <c r="D155" s="137">
        <f>'DOE25'!H492</f>
        <v>52125</v>
      </c>
      <c r="E155" s="137">
        <f>'DOE25'!I492</f>
        <v>111550</v>
      </c>
      <c r="F155" s="137">
        <f>'DOE25'!J492</f>
        <v>0</v>
      </c>
      <c r="G155" s="138">
        <f t="shared" si="0"/>
        <v>254175</v>
      </c>
    </row>
    <row r="156" spans="1:7" x14ac:dyDescent="0.2">
      <c r="A156" s="22" t="s">
        <v>269</v>
      </c>
      <c r="B156" s="137">
        <f>'DOE25'!F493</f>
        <v>348806</v>
      </c>
      <c r="C156" s="137">
        <f>'DOE25'!G493</f>
        <v>21694</v>
      </c>
      <c r="D156" s="137">
        <f>'DOE25'!H493</f>
        <v>187125</v>
      </c>
      <c r="E156" s="137">
        <f>'DOE25'!I493</f>
        <v>1434062</v>
      </c>
      <c r="F156" s="137">
        <f>'DOE25'!J493</f>
        <v>0</v>
      </c>
      <c r="G156" s="138">
        <f t="shared" si="0"/>
        <v>1991687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722E-5388-48FB-AF33-D445D490C419}">
  <sheetPr codeName="Sheet3">
    <tabColor indexed="43"/>
  </sheetPr>
  <dimension ref="A1:D42"/>
  <sheetViews>
    <sheetView topLeftCell="A10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8" t="s">
        <v>771</v>
      </c>
      <c r="B1" s="278"/>
      <c r="C1" s="278"/>
      <c r="D1" s="278"/>
    </row>
    <row r="2" spans="1:4" x14ac:dyDescent="0.2">
      <c r="A2" s="186" t="s">
        <v>748</v>
      </c>
      <c r="B2" s="185" t="str">
        <f>'DOE25'!A2</f>
        <v>Somersworth SD</v>
      </c>
    </row>
    <row r="3" spans="1:4" x14ac:dyDescent="0.2">
      <c r="B3" s="187" t="s">
        <v>891</v>
      </c>
    </row>
    <row r="4" spans="1:4" x14ac:dyDescent="0.2">
      <c r="B4" t="s">
        <v>61</v>
      </c>
      <c r="C4" s="178">
        <f>IF('DOE25'!F655+'DOE25'!F660=0,0,ROUND('DOE25'!F662,0))</f>
        <v>12774</v>
      </c>
    </row>
    <row r="5" spans="1:4" x14ac:dyDescent="0.2">
      <c r="B5" t="s">
        <v>735</v>
      </c>
      <c r="C5" s="178">
        <f>IF('DOE25'!G655+'DOE25'!G660=0,0,ROUND('DOE25'!G662,0))</f>
        <v>11064</v>
      </c>
    </row>
    <row r="6" spans="1:4" x14ac:dyDescent="0.2">
      <c r="B6" t="s">
        <v>62</v>
      </c>
      <c r="C6" s="178">
        <f>IF('DOE25'!H655+'DOE25'!H660=0,0,ROUND('DOE25'!H662,0))</f>
        <v>11590</v>
      </c>
    </row>
    <row r="7" spans="1:4" x14ac:dyDescent="0.2">
      <c r="B7" t="s">
        <v>736</v>
      </c>
      <c r="C7" s="178">
        <f>IF('DOE25'!I655+'DOE25'!I660=0,0,ROUND('DOE25'!I662,0))</f>
        <v>11827</v>
      </c>
    </row>
    <row r="9" spans="1:4" x14ac:dyDescent="0.2">
      <c r="A9" s="186" t="s">
        <v>94</v>
      </c>
      <c r="B9" s="187" t="s">
        <v>892</v>
      </c>
      <c r="C9" s="180" t="s">
        <v>755</v>
      </c>
      <c r="D9" s="180" t="s">
        <v>756</v>
      </c>
    </row>
    <row r="10" spans="1:4" x14ac:dyDescent="0.2">
      <c r="A10">
        <v>1100</v>
      </c>
      <c r="B10" t="s">
        <v>737</v>
      </c>
      <c r="C10" s="178">
        <f>ROUND('DOE25'!L189+'DOE25'!L207+'DOE25'!L225+'DOE25'!L268+'DOE25'!L287+'DOE25'!L306,0)</f>
        <v>7682517</v>
      </c>
      <c r="D10" s="181">
        <f>ROUND((C10/$C$28)*100,1)</f>
        <v>32.9</v>
      </c>
    </row>
    <row r="11" spans="1:4" x14ac:dyDescent="0.2">
      <c r="A11">
        <v>1200</v>
      </c>
      <c r="B11" t="s">
        <v>738</v>
      </c>
      <c r="C11" s="178">
        <f>ROUND('DOE25'!L190+'DOE25'!L208+'DOE25'!L226+'DOE25'!L269+'DOE25'!L288+'DOE25'!L307,0)</f>
        <v>5930906</v>
      </c>
      <c r="D11" s="181">
        <f>ROUND((C11/$C$28)*100,1)</f>
        <v>25.4</v>
      </c>
    </row>
    <row r="12" spans="1:4" x14ac:dyDescent="0.2">
      <c r="A12">
        <v>1300</v>
      </c>
      <c r="B12" t="s">
        <v>739</v>
      </c>
      <c r="C12" s="178">
        <f>ROUND('DOE25'!L191+'DOE25'!L209+'DOE25'!L227+'DOE25'!L270+'DOE25'!L289+'DOE25'!L308,0)</f>
        <v>1007260</v>
      </c>
      <c r="D12" s="181">
        <f>ROUND((C12/$C$28)*100,1)</f>
        <v>4.3</v>
      </c>
    </row>
    <row r="13" spans="1:4" x14ac:dyDescent="0.2">
      <c r="A13">
        <v>1400</v>
      </c>
      <c r="B13" t="s">
        <v>740</v>
      </c>
      <c r="C13" s="178">
        <f>ROUND('DOE25'!L192+'DOE25'!L210+'DOE25'!L228+'DOE25'!L271+'DOE25'!L290+'DOE25'!L309,0)</f>
        <v>342426</v>
      </c>
      <c r="D13" s="181">
        <f>ROUND((C13/$C$28)*100,1)</f>
        <v>1.5</v>
      </c>
    </row>
    <row r="14" spans="1:4" x14ac:dyDescent="0.2">
      <c r="D14" s="181"/>
    </row>
    <row r="15" spans="1:4" x14ac:dyDescent="0.2">
      <c r="A15">
        <v>2100</v>
      </c>
      <c r="B15" t="s">
        <v>741</v>
      </c>
      <c r="C15" s="178">
        <f>ROUND('DOE25'!L194+'DOE25'!L212+'DOE25'!L230+'DOE25'!L273+'DOE25'!L292+'DOE25'!L311,0)</f>
        <v>1588664</v>
      </c>
      <c r="D15" s="181">
        <f t="shared" ref="D15:D27" si="0">ROUND((C15/$C$28)*100,1)</f>
        <v>6.8</v>
      </c>
    </row>
    <row r="16" spans="1:4" x14ac:dyDescent="0.2">
      <c r="A16">
        <v>2200</v>
      </c>
      <c r="B16" t="s">
        <v>742</v>
      </c>
      <c r="C16" s="178">
        <f>ROUND('DOE25'!L195+'DOE25'!L213+'DOE25'!L231+'DOE25'!L274+'DOE25'!L293+'DOE25'!L312,0)</f>
        <v>416493</v>
      </c>
      <c r="D16" s="181">
        <f t="shared" si="0"/>
        <v>1.8</v>
      </c>
    </row>
    <row r="17" spans="1:4" x14ac:dyDescent="0.2">
      <c r="A17" s="182" t="s">
        <v>758</v>
      </c>
      <c r="B17" t="s">
        <v>773</v>
      </c>
      <c r="C17" s="178">
        <f>ROUND('DOE25'!L196+'DOE25'!L201+'DOE25'!L214+'DOE25'!L219+'DOE25'!L232+'DOE25'!L237+'DOE25'!L275+'DOE25'!L280+'DOE25'!L294+'DOE25'!L299+'DOE25'!L313+'DOE25'!L318,0)</f>
        <v>1258558</v>
      </c>
      <c r="D17" s="181">
        <f t="shared" si="0"/>
        <v>5.4</v>
      </c>
    </row>
    <row r="18" spans="1:4" x14ac:dyDescent="0.2">
      <c r="A18">
        <v>2400</v>
      </c>
      <c r="B18" t="s">
        <v>746</v>
      </c>
      <c r="C18" s="178">
        <f>ROUND('DOE25'!L197+'DOE25'!L215+'DOE25'!L233+'DOE25'!L276+'DOE25'!L295+'DOE25'!L314,0)</f>
        <v>1251748</v>
      </c>
      <c r="D18" s="181">
        <f t="shared" si="0"/>
        <v>5.4</v>
      </c>
    </row>
    <row r="19" spans="1:4" x14ac:dyDescent="0.2">
      <c r="A19">
        <v>2500</v>
      </c>
      <c r="B19" t="s">
        <v>743</v>
      </c>
      <c r="C19" s="178">
        <f>ROUND('DOE25'!L198+'DOE25'!L216+'DOE25'!L234+'DOE25'!L277+'DOE25'!L296+'DOE25'!L315,0)</f>
        <v>94537</v>
      </c>
      <c r="D19" s="181">
        <f t="shared" si="0"/>
        <v>0.4</v>
      </c>
    </row>
    <row r="20" spans="1:4" x14ac:dyDescent="0.2">
      <c r="A20">
        <v>2600</v>
      </c>
      <c r="B20" t="s">
        <v>744</v>
      </c>
      <c r="C20" s="178">
        <f>ROUND('DOE25'!L199+'DOE25'!L217+'DOE25'!L235+'DOE25'!L278+'DOE25'!L297+'DOE25'!L316,0)</f>
        <v>2254791</v>
      </c>
      <c r="D20" s="181">
        <f t="shared" si="0"/>
        <v>9.6</v>
      </c>
    </row>
    <row r="21" spans="1:4" x14ac:dyDescent="0.2">
      <c r="A21">
        <v>2700</v>
      </c>
      <c r="B21" t="s">
        <v>745</v>
      </c>
      <c r="C21" s="178">
        <f>ROUND('DOE25'!L200+'DOE25'!L218+'DOE25'!L236+'DOE25'!L279+'DOE25'!L298+'DOE25'!L317,0)</f>
        <v>990573</v>
      </c>
      <c r="D21" s="181">
        <f t="shared" si="0"/>
        <v>4.2</v>
      </c>
    </row>
    <row r="22" spans="1:4" x14ac:dyDescent="0.2">
      <c r="A22">
        <v>2900</v>
      </c>
      <c r="B22" t="s">
        <v>747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749</v>
      </c>
      <c r="C23" s="178">
        <f>ROUND('DOE25'!L242+'DOE25'!L324,0)</f>
        <v>0</v>
      </c>
      <c r="D23" s="181">
        <f t="shared" si="0"/>
        <v>0</v>
      </c>
    </row>
    <row r="24" spans="1:4" x14ac:dyDescent="0.2">
      <c r="A24" s="182" t="s">
        <v>757</v>
      </c>
      <c r="B24" t="s">
        <v>750</v>
      </c>
      <c r="C24" s="178">
        <f>ROUND('DOE25'!L243+'DOE25'!L244+'DOE25'!L245+'DOE25'!L246+'DOE25'!L325+'DOE25'!L326+'DOE25'!L327,0)</f>
        <v>0</v>
      </c>
      <c r="D24" s="181">
        <f t="shared" si="0"/>
        <v>0</v>
      </c>
    </row>
    <row r="25" spans="1:4" x14ac:dyDescent="0.2">
      <c r="A25">
        <v>5120</v>
      </c>
      <c r="B25" t="s">
        <v>751</v>
      </c>
      <c r="C25" s="178">
        <f>ROUND('DOE25'!L253+'DOE25'!L334,0)</f>
        <v>218632</v>
      </c>
      <c r="D25" s="181">
        <f t="shared" si="0"/>
        <v>0.9</v>
      </c>
    </row>
    <row r="26" spans="1:4" x14ac:dyDescent="0.2">
      <c r="A26" s="182" t="s">
        <v>752</v>
      </c>
      <c r="B26" t="s">
        <v>753</v>
      </c>
      <c r="C26" s="178">
        <f>'DOE25'!L260+'DOE25'!L261+'DOE25'!L341+'DOE25'!L342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ROUND('DOE25'!L354-'DOE25'!L353,0)-SUM('DOE25'!G89:G102)</f>
        <v>344689.41999999993</v>
      </c>
      <c r="D27" s="181">
        <f t="shared" si="0"/>
        <v>1.5</v>
      </c>
    </row>
    <row r="28" spans="1:4" x14ac:dyDescent="0.2">
      <c r="B28" s="186" t="s">
        <v>754</v>
      </c>
      <c r="C28" s="179">
        <f>SUM(C10:C27)</f>
        <v>23381794.420000002</v>
      </c>
      <c r="D28" s="183">
        <f>ROUND(SUM(D10:D27),0)</f>
        <v>100</v>
      </c>
    </row>
    <row r="29" spans="1:4" x14ac:dyDescent="0.2">
      <c r="A29">
        <v>4000</v>
      </c>
      <c r="B29" t="s">
        <v>759</v>
      </c>
      <c r="C29" s="178">
        <f>ROUND('DOE25'!L247+'DOE25'!L328+'DOE25'!L366+'DOE25'!L367+'DOE25'!L368+'DOE25'!L369+'DOE25'!L370+'DOE25'!L371+'DOE25'!L372,0)</f>
        <v>14391089</v>
      </c>
    </row>
    <row r="30" spans="1:4" x14ac:dyDescent="0.2">
      <c r="B30" s="186" t="s">
        <v>760</v>
      </c>
      <c r="C30" s="179">
        <f>SUM(C28:C29)</f>
        <v>37772883.420000002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761</v>
      </c>
      <c r="C32" s="179">
        <f>ROUND('DOE25'!L252+'DOE25'!L333,0)</f>
        <v>1793285</v>
      </c>
    </row>
    <row r="34" spans="1:4" x14ac:dyDescent="0.2">
      <c r="A34" s="186" t="s">
        <v>94</v>
      </c>
      <c r="B34" s="187" t="s">
        <v>893</v>
      </c>
      <c r="C34" s="180" t="s">
        <v>755</v>
      </c>
      <c r="D34" s="180" t="s">
        <v>756</v>
      </c>
    </row>
    <row r="35" spans="1:4" x14ac:dyDescent="0.2">
      <c r="A35">
        <v>1100</v>
      </c>
      <c r="B35" s="184" t="s">
        <v>762</v>
      </c>
      <c r="C35" s="178">
        <f>ROUND('DOE25'!F52+'DOE25'!G52+'DOE25'!H52+'DOE25'!I52+'DOE25'!J52,0)</f>
        <v>10549639</v>
      </c>
      <c r="D35" s="181">
        <f t="shared" ref="D35:D40" si="1">ROUND((C35/$C$41)*100,1)</f>
        <v>41.6</v>
      </c>
    </row>
    <row r="36" spans="1:4" x14ac:dyDescent="0.2">
      <c r="B36" s="184" t="s">
        <v>774</v>
      </c>
      <c r="C36" s="178">
        <f>SUM('DOE25'!F104:J104)-SUM('DOE25'!G89:G102)+('DOE25'!F166+'DOE25'!F167+'DOE25'!I166+'DOE25'!I167)-C35</f>
        <v>1756822.7999999989</v>
      </c>
      <c r="D36" s="181">
        <f t="shared" si="1"/>
        <v>6.9</v>
      </c>
    </row>
    <row r="37" spans="1:4" x14ac:dyDescent="0.2">
      <c r="A37" s="182" t="s">
        <v>890</v>
      </c>
      <c r="B37" s="184" t="s">
        <v>763</v>
      </c>
      <c r="C37" s="178">
        <f>ROUND('DOE25'!F109+'DOE25'!F110+'DOE25'!F111,0)</f>
        <v>9363008</v>
      </c>
      <c r="D37" s="181">
        <f t="shared" si="1"/>
        <v>37</v>
      </c>
    </row>
    <row r="38" spans="1:4" x14ac:dyDescent="0.2">
      <c r="A38" s="182" t="s">
        <v>769</v>
      </c>
      <c r="B38" s="184" t="s">
        <v>764</v>
      </c>
      <c r="C38" s="178">
        <f>ROUND(SUM('DOE25'!F132:J132)-SUM('DOE25'!F109:F111),0)</f>
        <v>1526148</v>
      </c>
      <c r="D38" s="181">
        <f t="shared" si="1"/>
        <v>6</v>
      </c>
    </row>
    <row r="39" spans="1:4" x14ac:dyDescent="0.2">
      <c r="A39">
        <v>4000</v>
      </c>
      <c r="B39" s="184" t="s">
        <v>765</v>
      </c>
      <c r="C39" s="178">
        <f>ROUND('DOE25'!F161+'DOE25'!G161+'DOE25'!H161+'DOE25'!I161,0)</f>
        <v>2141668</v>
      </c>
      <c r="D39" s="181">
        <f t="shared" si="1"/>
        <v>8.5</v>
      </c>
    </row>
    <row r="40" spans="1:4" x14ac:dyDescent="0.2">
      <c r="A40" s="182" t="s">
        <v>770</v>
      </c>
      <c r="B40" s="184" t="s">
        <v>766</v>
      </c>
      <c r="C40" s="178">
        <f>ROUND(SUM('DOE25'!F181:F183)+SUM('DOE25'!G181:G183)+SUM('DOE25'!H181:H183)+SUM('DOE25'!I181:I183),0)</f>
        <v>0</v>
      </c>
      <c r="D40" s="181">
        <f t="shared" si="1"/>
        <v>0</v>
      </c>
    </row>
    <row r="41" spans="1:4" x14ac:dyDescent="0.2">
      <c r="B41" s="186" t="s">
        <v>767</v>
      </c>
      <c r="C41" s="179">
        <f>SUM(C35:C40)</f>
        <v>25337285.799999997</v>
      </c>
      <c r="D41" s="183">
        <f>SUM(D35:D40)</f>
        <v>100</v>
      </c>
    </row>
    <row r="42" spans="1:4" x14ac:dyDescent="0.2">
      <c r="A42" s="182" t="s">
        <v>772</v>
      </c>
      <c r="B42" s="184" t="s">
        <v>768</v>
      </c>
      <c r="C42" s="178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6F2E-C09A-4927-85EF-ED7F730EA88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801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85" t="s">
        <v>798</v>
      </c>
      <c r="B2" s="286"/>
      <c r="C2" s="286"/>
      <c r="D2" s="286"/>
      <c r="E2" s="286"/>
      <c r="F2" s="291" t="str">
        <f>'DOE25'!A2</f>
        <v>Somersworth SD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799</v>
      </c>
      <c r="B3" s="217" t="s">
        <v>800</v>
      </c>
      <c r="C3" s="289" t="s">
        <v>802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8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8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8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8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8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8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8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8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8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8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8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8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8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8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8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8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8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8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8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8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8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80"/>
      <c r="N29" s="211"/>
      <c r="O29" s="211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07"/>
      <c r="AB29" s="207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7"/>
      <c r="AO29" s="207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7"/>
      <c r="BB29" s="207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7"/>
      <c r="BO29" s="207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7"/>
      <c r="CB29" s="207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7"/>
      <c r="CO29" s="207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7"/>
      <c r="DB29" s="207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7"/>
      <c r="DO29" s="207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7"/>
      <c r="EB29" s="207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7"/>
      <c r="EO29" s="207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7"/>
      <c r="FB29" s="207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7"/>
      <c r="FO29" s="207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7"/>
      <c r="GB29" s="207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7"/>
      <c r="GO29" s="207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7"/>
      <c r="HB29" s="207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7"/>
      <c r="HO29" s="207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7"/>
      <c r="IB29" s="207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7"/>
      <c r="IO29" s="207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8"/>
      <c r="B30" s="21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80"/>
      <c r="N30" s="211"/>
      <c r="O30" s="211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07"/>
      <c r="AB30" s="207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7"/>
      <c r="AO30" s="207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7"/>
      <c r="BB30" s="207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7"/>
      <c r="BO30" s="207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7"/>
      <c r="CB30" s="207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7"/>
      <c r="CO30" s="207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7"/>
      <c r="DB30" s="207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7"/>
      <c r="DO30" s="207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7"/>
      <c r="EB30" s="207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7"/>
      <c r="EO30" s="207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7"/>
      <c r="FB30" s="207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7"/>
      <c r="FO30" s="207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7"/>
      <c r="GB30" s="207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7"/>
      <c r="GO30" s="207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7"/>
      <c r="HB30" s="207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7"/>
      <c r="HO30" s="207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7"/>
      <c r="IB30" s="207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7"/>
      <c r="IO30" s="207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8"/>
      <c r="B31" s="21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80"/>
      <c r="N31" s="211"/>
      <c r="O31" s="211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07"/>
      <c r="AB31" s="207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7"/>
      <c r="AO31" s="207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7"/>
      <c r="BB31" s="207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7"/>
      <c r="BO31" s="207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7"/>
      <c r="CB31" s="207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7"/>
      <c r="CO31" s="207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7"/>
      <c r="DB31" s="207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7"/>
      <c r="DO31" s="207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7"/>
      <c r="EB31" s="207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7"/>
      <c r="EO31" s="207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7"/>
      <c r="FB31" s="207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7"/>
      <c r="FO31" s="207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7"/>
      <c r="GB31" s="207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7"/>
      <c r="GO31" s="207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7"/>
      <c r="HB31" s="207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7"/>
      <c r="HO31" s="207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7"/>
      <c r="IB31" s="207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7"/>
      <c r="IO31" s="207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8"/>
      <c r="B32" s="21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80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80"/>
      <c r="AN32" s="218"/>
      <c r="AO32" s="21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80"/>
      <c r="BA32" s="218"/>
      <c r="BB32" s="219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80"/>
      <c r="BN32" s="218"/>
      <c r="BO32" s="219"/>
      <c r="BP32" s="279"/>
      <c r="BQ32" s="279"/>
      <c r="BR32" s="279"/>
      <c r="BS32" s="279"/>
      <c r="BT32" s="279"/>
      <c r="BU32" s="279"/>
      <c r="BV32" s="279"/>
      <c r="BW32" s="279"/>
      <c r="BX32" s="279"/>
      <c r="BY32" s="279"/>
      <c r="BZ32" s="280"/>
      <c r="CA32" s="218"/>
      <c r="CB32" s="219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80"/>
      <c r="CN32" s="218"/>
      <c r="CO32" s="219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80"/>
      <c r="DA32" s="218"/>
      <c r="DB32" s="219"/>
      <c r="DC32" s="279"/>
      <c r="DD32" s="279"/>
      <c r="DE32" s="279"/>
      <c r="DF32" s="279"/>
      <c r="DG32" s="279"/>
      <c r="DH32" s="279"/>
      <c r="DI32" s="279"/>
      <c r="DJ32" s="279"/>
      <c r="DK32" s="279"/>
      <c r="DL32" s="279"/>
      <c r="DM32" s="280"/>
      <c r="DN32" s="218"/>
      <c r="DO32" s="219"/>
      <c r="DP32" s="279"/>
      <c r="DQ32" s="279"/>
      <c r="DR32" s="279"/>
      <c r="DS32" s="279"/>
      <c r="DT32" s="279"/>
      <c r="DU32" s="279"/>
      <c r="DV32" s="279"/>
      <c r="DW32" s="279"/>
      <c r="DX32" s="279"/>
      <c r="DY32" s="279"/>
      <c r="DZ32" s="280"/>
      <c r="EA32" s="218"/>
      <c r="EB32" s="219"/>
      <c r="EC32" s="279"/>
      <c r="ED32" s="279"/>
      <c r="EE32" s="279"/>
      <c r="EF32" s="279"/>
      <c r="EG32" s="279"/>
      <c r="EH32" s="279"/>
      <c r="EI32" s="279"/>
      <c r="EJ32" s="279"/>
      <c r="EK32" s="279"/>
      <c r="EL32" s="279"/>
      <c r="EM32" s="280"/>
      <c r="EN32" s="218"/>
      <c r="EO32" s="219"/>
      <c r="EP32" s="279"/>
      <c r="EQ32" s="279"/>
      <c r="ER32" s="279"/>
      <c r="ES32" s="279"/>
      <c r="ET32" s="279"/>
      <c r="EU32" s="279"/>
      <c r="EV32" s="279"/>
      <c r="EW32" s="279"/>
      <c r="EX32" s="279"/>
      <c r="EY32" s="279"/>
      <c r="EZ32" s="280"/>
      <c r="FA32" s="218"/>
      <c r="FB32" s="219"/>
      <c r="FC32" s="279"/>
      <c r="FD32" s="279"/>
      <c r="FE32" s="279"/>
      <c r="FF32" s="279"/>
      <c r="FG32" s="279"/>
      <c r="FH32" s="279"/>
      <c r="FI32" s="279"/>
      <c r="FJ32" s="279"/>
      <c r="FK32" s="279"/>
      <c r="FL32" s="279"/>
      <c r="FM32" s="280"/>
      <c r="FN32" s="218"/>
      <c r="FO32" s="219"/>
      <c r="FP32" s="279"/>
      <c r="FQ32" s="279"/>
      <c r="FR32" s="279"/>
      <c r="FS32" s="279"/>
      <c r="FT32" s="279"/>
      <c r="FU32" s="279"/>
      <c r="FV32" s="279"/>
      <c r="FW32" s="279"/>
      <c r="FX32" s="279"/>
      <c r="FY32" s="279"/>
      <c r="FZ32" s="280"/>
      <c r="GA32" s="218"/>
      <c r="GB32" s="219"/>
      <c r="GC32" s="279"/>
      <c r="GD32" s="279"/>
      <c r="GE32" s="279"/>
      <c r="GF32" s="279"/>
      <c r="GG32" s="279"/>
      <c r="GH32" s="279"/>
      <c r="GI32" s="279"/>
      <c r="GJ32" s="279"/>
      <c r="GK32" s="279"/>
      <c r="GL32" s="279"/>
      <c r="GM32" s="280"/>
      <c r="GN32" s="218"/>
      <c r="GO32" s="219"/>
      <c r="GP32" s="279"/>
      <c r="GQ32" s="279"/>
      <c r="GR32" s="279"/>
      <c r="GS32" s="279"/>
      <c r="GT32" s="279"/>
      <c r="GU32" s="279"/>
      <c r="GV32" s="279"/>
      <c r="GW32" s="279"/>
      <c r="GX32" s="279"/>
      <c r="GY32" s="279"/>
      <c r="GZ32" s="280"/>
      <c r="HA32" s="218"/>
      <c r="HB32" s="219"/>
      <c r="HC32" s="279"/>
      <c r="HD32" s="279"/>
      <c r="HE32" s="279"/>
      <c r="HF32" s="279"/>
      <c r="HG32" s="279"/>
      <c r="HH32" s="279"/>
      <c r="HI32" s="279"/>
      <c r="HJ32" s="279"/>
      <c r="HK32" s="279"/>
      <c r="HL32" s="279"/>
      <c r="HM32" s="280"/>
      <c r="HN32" s="218"/>
      <c r="HO32" s="219"/>
      <c r="HP32" s="279"/>
      <c r="HQ32" s="279"/>
      <c r="HR32" s="279"/>
      <c r="HS32" s="279"/>
      <c r="HT32" s="279"/>
      <c r="HU32" s="279"/>
      <c r="HV32" s="279"/>
      <c r="HW32" s="279"/>
      <c r="HX32" s="279"/>
      <c r="HY32" s="279"/>
      <c r="HZ32" s="280"/>
      <c r="IA32" s="218"/>
      <c r="IB32" s="219"/>
      <c r="IC32" s="279"/>
      <c r="ID32" s="279"/>
      <c r="IE32" s="279"/>
      <c r="IF32" s="279"/>
      <c r="IG32" s="279"/>
      <c r="IH32" s="279"/>
      <c r="II32" s="279"/>
      <c r="IJ32" s="279"/>
      <c r="IK32" s="279"/>
      <c r="IL32" s="279"/>
      <c r="IM32" s="280"/>
      <c r="IN32" s="218"/>
      <c r="IO32" s="219"/>
      <c r="IP32" s="279"/>
      <c r="IQ32" s="279"/>
      <c r="IR32" s="279"/>
      <c r="IS32" s="279"/>
      <c r="IT32" s="279"/>
      <c r="IU32" s="279"/>
      <c r="IV32" s="279"/>
    </row>
    <row r="33" spans="1:256" x14ac:dyDescent="0.2">
      <c r="A33" s="218"/>
      <c r="B33" s="21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8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8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8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8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8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80"/>
      <c r="N38" s="211"/>
      <c r="O38" s="211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07"/>
      <c r="AB38" s="207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7"/>
      <c r="AO38" s="207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7"/>
      <c r="BB38" s="207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7"/>
      <c r="BO38" s="207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7"/>
      <c r="CB38" s="207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7"/>
      <c r="CO38" s="207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7"/>
      <c r="DB38" s="207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7"/>
      <c r="DO38" s="207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7"/>
      <c r="EB38" s="207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7"/>
      <c r="EO38" s="207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7"/>
      <c r="FB38" s="207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7"/>
      <c r="FO38" s="207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7"/>
      <c r="GB38" s="207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7"/>
      <c r="GO38" s="207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7"/>
      <c r="HB38" s="207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7"/>
      <c r="HO38" s="207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7"/>
      <c r="IB38" s="207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7"/>
      <c r="IO38" s="207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8"/>
      <c r="B39" s="21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80"/>
      <c r="N39" s="211"/>
      <c r="O39" s="211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07"/>
      <c r="AB39" s="207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7"/>
      <c r="AO39" s="207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7"/>
      <c r="BB39" s="207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7"/>
      <c r="BO39" s="207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7"/>
      <c r="CB39" s="207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7"/>
      <c r="CO39" s="207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7"/>
      <c r="DB39" s="207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7"/>
      <c r="DO39" s="207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7"/>
      <c r="EB39" s="207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7"/>
      <c r="EO39" s="207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7"/>
      <c r="FB39" s="207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7"/>
      <c r="FO39" s="207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7"/>
      <c r="GB39" s="207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7"/>
      <c r="GO39" s="207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7"/>
      <c r="HB39" s="207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7"/>
      <c r="HO39" s="207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7"/>
      <c r="IB39" s="207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7"/>
      <c r="IO39" s="207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8"/>
      <c r="B40" s="21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80"/>
      <c r="N40" s="211"/>
      <c r="O40" s="211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07"/>
      <c r="AB40" s="207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7"/>
      <c r="AO40" s="207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7"/>
      <c r="BB40" s="207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7"/>
      <c r="BO40" s="207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7"/>
      <c r="CB40" s="207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7"/>
      <c r="CO40" s="207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7"/>
      <c r="DB40" s="207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7"/>
      <c r="DO40" s="207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7"/>
      <c r="EB40" s="207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7"/>
      <c r="EO40" s="207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7"/>
      <c r="FB40" s="207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7"/>
      <c r="FO40" s="207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7"/>
      <c r="GB40" s="207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7"/>
      <c r="GO40" s="207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7"/>
      <c r="HB40" s="207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7"/>
      <c r="HO40" s="207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7"/>
      <c r="IB40" s="207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7"/>
      <c r="IO40" s="207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8"/>
      <c r="B41" s="219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8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8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8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8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8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8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8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8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8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8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8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8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8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8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8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8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8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8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80"/>
    </row>
    <row r="60" spans="1:256" x14ac:dyDescent="0.2">
      <c r="A60" s="218"/>
      <c r="B60" s="21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80"/>
    </row>
    <row r="61" spans="1:256" x14ac:dyDescent="0.2">
      <c r="A61" s="218"/>
      <c r="B61" s="219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80"/>
    </row>
    <row r="62" spans="1:256" x14ac:dyDescent="0.2">
      <c r="A62" s="218"/>
      <c r="B62" s="219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80"/>
    </row>
    <row r="63" spans="1:256" x14ac:dyDescent="0.2">
      <c r="A63" s="218"/>
      <c r="B63" s="219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80"/>
    </row>
    <row r="64" spans="1:256" x14ac:dyDescent="0.2">
      <c r="A64" s="218"/>
      <c r="B64" s="21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80"/>
    </row>
    <row r="65" spans="1:13" x14ac:dyDescent="0.2">
      <c r="A65" s="218"/>
      <c r="B65" s="21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80"/>
    </row>
    <row r="66" spans="1:13" x14ac:dyDescent="0.2">
      <c r="A66" s="218"/>
      <c r="B66" s="219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80"/>
    </row>
    <row r="67" spans="1:13" x14ac:dyDescent="0.2">
      <c r="A67" s="218"/>
      <c r="B67" s="219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80"/>
    </row>
    <row r="68" spans="1:13" x14ac:dyDescent="0.2">
      <c r="A68" s="218"/>
      <c r="B68" s="21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80"/>
    </row>
    <row r="69" spans="1:13" x14ac:dyDescent="0.2">
      <c r="A69" s="218"/>
      <c r="B69" s="219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80"/>
    </row>
    <row r="70" spans="1:13" ht="12" thickBot="1" x14ac:dyDescent="0.25">
      <c r="A70" s="220"/>
      <c r="B70" s="221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3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4" t="s">
        <v>879</v>
      </c>
      <c r="B72" s="284"/>
      <c r="C72" s="284"/>
      <c r="D72" s="284"/>
      <c r="E72" s="28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799</v>
      </c>
      <c r="B73" s="210" t="s">
        <v>800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2011-10-20T13:32:44Z</cp:lastPrinted>
  <dcterms:created xsi:type="dcterms:W3CDTF">1997-12-04T19:04:30Z</dcterms:created>
  <dcterms:modified xsi:type="dcterms:W3CDTF">2025-01-10T20:33:36Z</dcterms:modified>
</cp:coreProperties>
</file>