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785D160D-73BF-45CF-BA7A-3D4ACED554F5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0CE74764-F7EB-48BB-B93C-3B2F854F894F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72" i="1" l="1"/>
  <c r="B10" i="12"/>
  <c r="B12" i="12"/>
  <c r="B11" i="12"/>
  <c r="B21" i="12"/>
  <c r="B20" i="12"/>
  <c r="B19" i="12"/>
  <c r="F458" i="1"/>
  <c r="F460" i="1"/>
  <c r="F466" i="1" s="1"/>
  <c r="H612" i="1" s="1"/>
  <c r="J612" i="1" s="1"/>
  <c r="F462" i="1"/>
  <c r="F464" i="1"/>
  <c r="J462" i="1"/>
  <c r="G449" i="1"/>
  <c r="I449" i="1"/>
  <c r="J41" i="1"/>
  <c r="H414" i="1"/>
  <c r="H523" i="1"/>
  <c r="H226" i="1"/>
  <c r="G434" i="1"/>
  <c r="I434" i="1"/>
  <c r="J13" i="1"/>
  <c r="G13" i="2"/>
  <c r="H312" i="1"/>
  <c r="L312" i="1" s="1"/>
  <c r="E117" i="2"/>
  <c r="J458" i="1"/>
  <c r="H621" i="1" s="1"/>
  <c r="J594" i="1"/>
  <c r="J584" i="1"/>
  <c r="K584" i="1" s="1"/>
  <c r="K588" i="1" s="1"/>
  <c r="G637" i="1" s="1"/>
  <c r="J582" i="1"/>
  <c r="J581" i="1"/>
  <c r="H518" i="1"/>
  <c r="H519" i="1" s="1"/>
  <c r="G518" i="1"/>
  <c r="F518" i="1"/>
  <c r="I513" i="1"/>
  <c r="I514" i="1" s="1"/>
  <c r="H514" i="1"/>
  <c r="H535" i="1" s="1"/>
  <c r="G513" i="1"/>
  <c r="L513" i="1" s="1"/>
  <c r="G514" i="1"/>
  <c r="G535" i="1" s="1"/>
  <c r="F306" i="1"/>
  <c r="G523" i="1"/>
  <c r="G524" i="1"/>
  <c r="I523" i="1"/>
  <c r="G492" i="1"/>
  <c r="G462" i="1"/>
  <c r="H625" i="1" s="1"/>
  <c r="G411" i="1"/>
  <c r="G426" i="1"/>
  <c r="I440" i="1"/>
  <c r="J23" i="1" s="1"/>
  <c r="I444" i="1"/>
  <c r="I451" i="1" s="1"/>
  <c r="H632" i="1" s="1"/>
  <c r="K252" i="1"/>
  <c r="H360" i="1"/>
  <c r="H359" i="1"/>
  <c r="H361" i="1" s="1"/>
  <c r="I352" i="1"/>
  <c r="H352" i="1"/>
  <c r="H354" i="1"/>
  <c r="H311" i="1"/>
  <c r="H307" i="1"/>
  <c r="H320" i="1" s="1"/>
  <c r="L307" i="1"/>
  <c r="E102" i="2"/>
  <c r="I306" i="1"/>
  <c r="G306" i="1"/>
  <c r="G320" i="1" s="1"/>
  <c r="J237" i="1"/>
  <c r="F16" i="13"/>
  <c r="G16" i="13"/>
  <c r="I237" i="1"/>
  <c r="H236" i="1"/>
  <c r="I235" i="1"/>
  <c r="H235" i="1"/>
  <c r="I233" i="1"/>
  <c r="L233" i="1" s="1"/>
  <c r="I232" i="1"/>
  <c r="H232" i="1"/>
  <c r="J231" i="1"/>
  <c r="F7" i="13"/>
  <c r="I231" i="1"/>
  <c r="G231" i="1"/>
  <c r="G239" i="1" s="1"/>
  <c r="G249" i="1" s="1"/>
  <c r="G263" i="1" s="1"/>
  <c r="I230" i="1"/>
  <c r="I239" i="1" s="1"/>
  <c r="I228" i="1"/>
  <c r="L226" i="1"/>
  <c r="J225" i="1"/>
  <c r="I225" i="1"/>
  <c r="G225" i="1"/>
  <c r="H233" i="1"/>
  <c r="H231" i="1"/>
  <c r="H230" i="1"/>
  <c r="L230" i="1" s="1"/>
  <c r="H225" i="1"/>
  <c r="H239" i="1" s="1"/>
  <c r="H203" i="1"/>
  <c r="H249" i="1" s="1"/>
  <c r="H263" i="1" s="1"/>
  <c r="J88" i="1"/>
  <c r="H151" i="1"/>
  <c r="H147" i="1"/>
  <c r="H94" i="1"/>
  <c r="H103" i="1" s="1"/>
  <c r="G150" i="1"/>
  <c r="G154" i="1" s="1"/>
  <c r="G161" i="1" s="1"/>
  <c r="G89" i="1"/>
  <c r="F651" i="1" s="1"/>
  <c r="I651" i="1" s="1"/>
  <c r="F110" i="1"/>
  <c r="C37" i="10" s="1"/>
  <c r="F49" i="1"/>
  <c r="F52" i="1" s="1"/>
  <c r="C60" i="2"/>
  <c r="B2" i="13"/>
  <c r="F8" i="13"/>
  <c r="G8" i="13"/>
  <c r="L196" i="1"/>
  <c r="L214" i="1"/>
  <c r="D39" i="13"/>
  <c r="F13" i="13"/>
  <c r="G13" i="13"/>
  <c r="E13" i="13"/>
  <c r="C13" i="13" s="1"/>
  <c r="L198" i="1"/>
  <c r="L216" i="1"/>
  <c r="L234" i="1"/>
  <c r="L201" i="1"/>
  <c r="L219" i="1"/>
  <c r="G5" i="13"/>
  <c r="G6" i="13"/>
  <c r="G7" i="13"/>
  <c r="G12" i="13"/>
  <c r="G14" i="13"/>
  <c r="G15" i="13"/>
  <c r="G17" i="13"/>
  <c r="G18" i="13"/>
  <c r="G19" i="13"/>
  <c r="G29" i="13"/>
  <c r="L190" i="1"/>
  <c r="L191" i="1"/>
  <c r="C103" i="2" s="1"/>
  <c r="L192" i="1"/>
  <c r="L207" i="1"/>
  <c r="L208" i="1"/>
  <c r="C11" i="10" s="1"/>
  <c r="L209" i="1"/>
  <c r="C12" i="10" s="1"/>
  <c r="L210" i="1"/>
  <c r="L227" i="1"/>
  <c r="L228" i="1"/>
  <c r="F6" i="13"/>
  <c r="L194" i="1"/>
  <c r="L212" i="1"/>
  <c r="L195" i="1"/>
  <c r="C111" i="2" s="1"/>
  <c r="L213" i="1"/>
  <c r="F12" i="13"/>
  <c r="L197" i="1"/>
  <c r="L215" i="1"/>
  <c r="F14" i="13"/>
  <c r="L199" i="1"/>
  <c r="L217" i="1"/>
  <c r="F15" i="13"/>
  <c r="L200" i="1"/>
  <c r="G639" i="1" s="1"/>
  <c r="L218" i="1"/>
  <c r="G640" i="1" s="1"/>
  <c r="L236" i="1"/>
  <c r="H652" i="1" s="1"/>
  <c r="D15" i="13"/>
  <c r="C15" i="13" s="1"/>
  <c r="F17" i="13"/>
  <c r="L243" i="1"/>
  <c r="C24" i="10" s="1"/>
  <c r="F18" i="13"/>
  <c r="L244" i="1"/>
  <c r="F19" i="13"/>
  <c r="L245" i="1"/>
  <c r="D19" i="13" s="1"/>
  <c r="C19" i="13" s="1"/>
  <c r="F29" i="13"/>
  <c r="L350" i="1"/>
  <c r="D29" i="13" s="1"/>
  <c r="C29" i="13" s="1"/>
  <c r="L351" i="1"/>
  <c r="L352" i="1"/>
  <c r="D126" i="2"/>
  <c r="D136" i="2"/>
  <c r="I359" i="1"/>
  <c r="I361" i="1" s="1"/>
  <c r="H624" i="1" s="1"/>
  <c r="J282" i="1"/>
  <c r="J301" i="1"/>
  <c r="J320" i="1"/>
  <c r="K282" i="1"/>
  <c r="G31" i="13" s="1"/>
  <c r="K301" i="1"/>
  <c r="K320" i="1"/>
  <c r="L268" i="1"/>
  <c r="L269" i="1"/>
  <c r="L270" i="1"/>
  <c r="E103" i="2" s="1"/>
  <c r="L271" i="1"/>
  <c r="E104" i="2" s="1"/>
  <c r="L273" i="1"/>
  <c r="L274" i="1"/>
  <c r="E111" i="2" s="1"/>
  <c r="L275" i="1"/>
  <c r="L276" i="1"/>
  <c r="L277" i="1"/>
  <c r="E114" i="2" s="1"/>
  <c r="L278" i="1"/>
  <c r="E115" i="2" s="1"/>
  <c r="L279" i="1"/>
  <c r="E116" i="2" s="1"/>
  <c r="L280" i="1"/>
  <c r="L287" i="1"/>
  <c r="L288" i="1"/>
  <c r="L289" i="1"/>
  <c r="L290" i="1"/>
  <c r="L292" i="1"/>
  <c r="L293" i="1"/>
  <c r="L294" i="1"/>
  <c r="L295" i="1"/>
  <c r="L296" i="1"/>
  <c r="L297" i="1"/>
  <c r="L298" i="1"/>
  <c r="L299" i="1"/>
  <c r="L308" i="1"/>
  <c r="L309" i="1"/>
  <c r="L313" i="1"/>
  <c r="E112" i="2" s="1"/>
  <c r="L314" i="1"/>
  <c r="L315" i="1"/>
  <c r="L316" i="1"/>
  <c r="L317" i="1"/>
  <c r="L318" i="1"/>
  <c r="L325" i="1"/>
  <c r="L326" i="1"/>
  <c r="L327" i="1"/>
  <c r="L252" i="1"/>
  <c r="L253" i="1"/>
  <c r="C25" i="10" s="1"/>
  <c r="L333" i="1"/>
  <c r="C32" i="10" s="1"/>
  <c r="L334" i="1"/>
  <c r="E124" i="2" s="1"/>
  <c r="L247" i="1"/>
  <c r="L328" i="1"/>
  <c r="C11" i="13"/>
  <c r="C10" i="13"/>
  <c r="C9" i="13"/>
  <c r="L353" i="1"/>
  <c r="B4" i="12"/>
  <c r="B36" i="12"/>
  <c r="C36" i="12"/>
  <c r="B40" i="12"/>
  <c r="A40" i="12" s="1"/>
  <c r="C40" i="12"/>
  <c r="B27" i="12"/>
  <c r="A31" i="12" s="1"/>
  <c r="C27" i="12"/>
  <c r="B31" i="12"/>
  <c r="C31" i="12"/>
  <c r="C13" i="12"/>
  <c r="B18" i="12"/>
  <c r="A22" i="12" s="1"/>
  <c r="C18" i="12"/>
  <c r="C22" i="12"/>
  <c r="B1" i="12"/>
  <c r="L379" i="1"/>
  <c r="L380" i="1"/>
  <c r="L381" i="1"/>
  <c r="L382" i="1"/>
  <c r="L383" i="1"/>
  <c r="L384" i="1"/>
  <c r="L387" i="1"/>
  <c r="L388" i="1"/>
  <c r="L389" i="1"/>
  <c r="L390" i="1"/>
  <c r="L391" i="1"/>
  <c r="L392" i="1"/>
  <c r="L395" i="1"/>
  <c r="L396" i="1"/>
  <c r="L399" i="1" s="1"/>
  <c r="C132" i="2" s="1"/>
  <c r="L397" i="1"/>
  <c r="L398" i="1"/>
  <c r="L258" i="1"/>
  <c r="J52" i="1"/>
  <c r="G48" i="2"/>
  <c r="G53" i="2"/>
  <c r="F2" i="11"/>
  <c r="L603" i="1"/>
  <c r="H653" i="1" s="1"/>
  <c r="L602" i="1"/>
  <c r="G653" i="1" s="1"/>
  <c r="L601" i="1"/>
  <c r="F653" i="1"/>
  <c r="I653" i="1" s="1"/>
  <c r="C40" i="10"/>
  <c r="G52" i="1"/>
  <c r="D48" i="2" s="1"/>
  <c r="H52" i="1"/>
  <c r="I52" i="1"/>
  <c r="F71" i="1"/>
  <c r="C49" i="2"/>
  <c r="F86" i="1"/>
  <c r="F103" i="1"/>
  <c r="H71" i="1"/>
  <c r="H86" i="1"/>
  <c r="I103" i="1"/>
  <c r="I104" i="1"/>
  <c r="F128" i="1"/>
  <c r="G113" i="1"/>
  <c r="G132" i="1" s="1"/>
  <c r="G128" i="1"/>
  <c r="H113" i="1"/>
  <c r="H132" i="1" s="1"/>
  <c r="H128" i="1"/>
  <c r="I113" i="1"/>
  <c r="I132" i="1" s="1"/>
  <c r="I185" i="1" s="1"/>
  <c r="G620" i="1" s="1"/>
  <c r="I128" i="1"/>
  <c r="J113" i="1"/>
  <c r="J128" i="1"/>
  <c r="F139" i="1"/>
  <c r="F154" i="1"/>
  <c r="F161" i="1" s="1"/>
  <c r="C39" i="10" s="1"/>
  <c r="G139" i="1"/>
  <c r="H139" i="1"/>
  <c r="I139" i="1"/>
  <c r="I154" i="1"/>
  <c r="I161" i="1"/>
  <c r="C19" i="10"/>
  <c r="L242" i="1"/>
  <c r="L324" i="1"/>
  <c r="L246" i="1"/>
  <c r="C20" i="10"/>
  <c r="C21" i="10"/>
  <c r="L260" i="1"/>
  <c r="C26" i="10" s="1"/>
  <c r="L261" i="1"/>
  <c r="L341" i="1"/>
  <c r="L342" i="1"/>
  <c r="E135" i="2" s="1"/>
  <c r="I655" i="1"/>
  <c r="I660" i="1"/>
  <c r="I659" i="1"/>
  <c r="C5" i="10"/>
  <c r="C4" i="10"/>
  <c r="C42" i="10"/>
  <c r="L366" i="1"/>
  <c r="L367" i="1"/>
  <c r="L368" i="1"/>
  <c r="L369" i="1"/>
  <c r="L370" i="1"/>
  <c r="L371" i="1"/>
  <c r="L372" i="1"/>
  <c r="B2" i="10"/>
  <c r="L336" i="1"/>
  <c r="L337" i="1"/>
  <c r="E127" i="2" s="1"/>
  <c r="L338" i="1"/>
  <c r="E129" i="2" s="1"/>
  <c r="L339" i="1"/>
  <c r="K343" i="1"/>
  <c r="L511" i="1"/>
  <c r="F539" i="1"/>
  <c r="L512" i="1"/>
  <c r="F540" i="1" s="1"/>
  <c r="L516" i="1"/>
  <c r="G539" i="1"/>
  <c r="L517" i="1"/>
  <c r="G540" i="1"/>
  <c r="G542" i="1" s="1"/>
  <c r="L521" i="1"/>
  <c r="H539" i="1"/>
  <c r="K539" i="1" s="1"/>
  <c r="L522" i="1"/>
  <c r="H540" i="1" s="1"/>
  <c r="L526" i="1"/>
  <c r="I539" i="1"/>
  <c r="L527" i="1"/>
  <c r="I540" i="1" s="1"/>
  <c r="I542" i="1" s="1"/>
  <c r="L528" i="1"/>
  <c r="I541" i="1"/>
  <c r="L531" i="1"/>
  <c r="J539" i="1"/>
  <c r="L533" i="1"/>
  <c r="L534" i="1" s="1"/>
  <c r="J541" i="1"/>
  <c r="J542" i="1"/>
  <c r="L532" i="1"/>
  <c r="J540" i="1"/>
  <c r="K262" i="1"/>
  <c r="J262" i="1"/>
  <c r="I262" i="1"/>
  <c r="H262" i="1"/>
  <c r="G262" i="1"/>
  <c r="F262" i="1"/>
  <c r="L262" i="1" s="1"/>
  <c r="C124" i="2"/>
  <c r="A1" i="2"/>
  <c r="A2" i="2"/>
  <c r="C9" i="2"/>
  <c r="D9" i="2"/>
  <c r="E9" i="2"/>
  <c r="E19" i="2" s="1"/>
  <c r="E10" i="2"/>
  <c r="E12" i="2"/>
  <c r="E13" i="2"/>
  <c r="E14" i="2"/>
  <c r="E16" i="2"/>
  <c r="E17" i="2"/>
  <c r="E18" i="2"/>
  <c r="F9" i="2"/>
  <c r="I431" i="1"/>
  <c r="J9" i="1" s="1"/>
  <c r="C10" i="2"/>
  <c r="C11" i="2"/>
  <c r="C12" i="2"/>
  <c r="C13" i="2"/>
  <c r="C14" i="2"/>
  <c r="C16" i="2"/>
  <c r="C17" i="2"/>
  <c r="C18" i="2"/>
  <c r="D10" i="2"/>
  <c r="F10" i="2"/>
  <c r="I432" i="1"/>
  <c r="J10" i="1"/>
  <c r="G10" i="2" s="1"/>
  <c r="D12" i="2"/>
  <c r="F12" i="2"/>
  <c r="I433" i="1"/>
  <c r="J12" i="1"/>
  <c r="G12" i="2" s="1"/>
  <c r="D13" i="2"/>
  <c r="D14" i="2"/>
  <c r="D16" i="2"/>
  <c r="D17" i="2"/>
  <c r="D18" i="2"/>
  <c r="F13" i="2"/>
  <c r="F14" i="2"/>
  <c r="I435" i="1"/>
  <c r="J14" i="1" s="1"/>
  <c r="G14" i="2" s="1"/>
  <c r="F15" i="2"/>
  <c r="F16" i="2"/>
  <c r="F17" i="2"/>
  <c r="I436" i="1"/>
  <c r="J17" i="1"/>
  <c r="G17" i="2"/>
  <c r="F18" i="2"/>
  <c r="I437" i="1"/>
  <c r="J18" i="1" s="1"/>
  <c r="G18" i="2" s="1"/>
  <c r="C22" i="2"/>
  <c r="D22" i="2"/>
  <c r="E22" i="2"/>
  <c r="E32" i="2" s="1"/>
  <c r="F22" i="2"/>
  <c r="F32" i="2" s="1"/>
  <c r="C23" i="2"/>
  <c r="D23" i="2"/>
  <c r="E23" i="2"/>
  <c r="F23" i="2"/>
  <c r="I441" i="1"/>
  <c r="J24" i="1" s="1"/>
  <c r="G23" i="2" s="1"/>
  <c r="C24" i="2"/>
  <c r="D24" i="2"/>
  <c r="D25" i="2"/>
  <c r="D28" i="2"/>
  <c r="D29" i="2"/>
  <c r="D30" i="2"/>
  <c r="D31" i="2"/>
  <c r="E24" i="2"/>
  <c r="F24" i="2"/>
  <c r="F25" i="2"/>
  <c r="F26" i="2"/>
  <c r="F27" i="2"/>
  <c r="F28" i="2"/>
  <c r="F29" i="2"/>
  <c r="F30" i="2"/>
  <c r="F31" i="2"/>
  <c r="I442" i="1"/>
  <c r="J25" i="1"/>
  <c r="G24" i="2"/>
  <c r="C25" i="2"/>
  <c r="E25" i="2"/>
  <c r="C26" i="2"/>
  <c r="C27" i="2"/>
  <c r="C28" i="2"/>
  <c r="C29" i="2"/>
  <c r="C30" i="2"/>
  <c r="C31" i="2"/>
  <c r="E28" i="2"/>
  <c r="E29" i="2"/>
  <c r="E30" i="2"/>
  <c r="E31" i="2"/>
  <c r="I443" i="1"/>
  <c r="J32" i="1" s="1"/>
  <c r="G31" i="2" s="1"/>
  <c r="C34" i="2"/>
  <c r="C42" i="2" s="1"/>
  <c r="D34" i="2"/>
  <c r="E34" i="2"/>
  <c r="F34" i="2"/>
  <c r="C35" i="2"/>
  <c r="C36" i="2"/>
  <c r="C37" i="2"/>
  <c r="C38" i="2"/>
  <c r="C40" i="2"/>
  <c r="C41" i="2"/>
  <c r="D35" i="2"/>
  <c r="E35" i="2"/>
  <c r="F35" i="2"/>
  <c r="F42" i="2" s="1"/>
  <c r="F43" i="2" s="1"/>
  <c r="D36" i="2"/>
  <c r="E36" i="2"/>
  <c r="F36" i="2"/>
  <c r="I446" i="1"/>
  <c r="J37" i="1"/>
  <c r="G36" i="2" s="1"/>
  <c r="D37" i="2"/>
  <c r="D38" i="2"/>
  <c r="D40" i="2"/>
  <c r="D41" i="2"/>
  <c r="D42" i="2"/>
  <c r="E37" i="2"/>
  <c r="F37" i="2"/>
  <c r="F38" i="2"/>
  <c r="F40" i="2"/>
  <c r="F41" i="2"/>
  <c r="I447" i="1"/>
  <c r="J38" i="1" s="1"/>
  <c r="E38" i="2"/>
  <c r="E40" i="2"/>
  <c r="E41" i="2"/>
  <c r="E42" i="2"/>
  <c r="E43" i="2" s="1"/>
  <c r="I448" i="1"/>
  <c r="J40" i="1"/>
  <c r="G39" i="2"/>
  <c r="G40" i="2"/>
  <c r="F48" i="2"/>
  <c r="E49" i="2"/>
  <c r="E50" i="2"/>
  <c r="E51" i="2"/>
  <c r="E53" i="2"/>
  <c r="C50" i="2"/>
  <c r="C51" i="2"/>
  <c r="D51" i="2"/>
  <c r="D53" i="2"/>
  <c r="F51" i="2"/>
  <c r="F54" i="2" s="1"/>
  <c r="C53" i="2"/>
  <c r="F53" i="2"/>
  <c r="C58" i="2"/>
  <c r="C61" i="2"/>
  <c r="D61" i="2"/>
  <c r="D62" i="2"/>
  <c r="D71" i="2"/>
  <c r="D69" i="2"/>
  <c r="D70" i="2" s="1"/>
  <c r="D73" i="2" s="1"/>
  <c r="E61" i="2"/>
  <c r="E62" i="2"/>
  <c r="F61" i="2"/>
  <c r="F62" i="2" s="1"/>
  <c r="G61" i="2"/>
  <c r="G62" i="2"/>
  <c r="C64" i="2"/>
  <c r="C70" i="2" s="1"/>
  <c r="F64" i="2"/>
  <c r="F70" i="2" s="1"/>
  <c r="F73" i="2" s="1"/>
  <c r="C65" i="2"/>
  <c r="F65" i="2"/>
  <c r="C66" i="2"/>
  <c r="C67" i="2"/>
  <c r="C68" i="2"/>
  <c r="C69" i="2"/>
  <c r="C71" i="2"/>
  <c r="C72" i="2"/>
  <c r="C54" i="2"/>
  <c r="C77" i="2"/>
  <c r="C83" i="2" s="1"/>
  <c r="C79" i="2"/>
  <c r="C80" i="2"/>
  <c r="C81" i="2"/>
  <c r="C82" i="2"/>
  <c r="C85" i="2"/>
  <c r="C86" i="2"/>
  <c r="C89" i="2"/>
  <c r="C90" i="2"/>
  <c r="C91" i="2"/>
  <c r="C92" i="2"/>
  <c r="C93" i="2"/>
  <c r="C94" i="2"/>
  <c r="E68" i="2"/>
  <c r="E70" i="2" s="1"/>
  <c r="E73" i="2" s="1"/>
  <c r="E69" i="2"/>
  <c r="E71" i="2"/>
  <c r="E72" i="2"/>
  <c r="F68" i="2"/>
  <c r="F69" i="2"/>
  <c r="G69" i="2"/>
  <c r="G70" i="2" s="1"/>
  <c r="G73" i="2" s="1"/>
  <c r="D77" i="2"/>
  <c r="D83" i="2" s="1"/>
  <c r="D80" i="2"/>
  <c r="D81" i="2"/>
  <c r="E77" i="2"/>
  <c r="F77" i="2"/>
  <c r="F79" i="2"/>
  <c r="F80" i="2"/>
  <c r="F81" i="2"/>
  <c r="F83" i="2"/>
  <c r="E79" i="2"/>
  <c r="E81" i="2"/>
  <c r="F85" i="2"/>
  <c r="F86" i="2"/>
  <c r="F88" i="2"/>
  <c r="F89" i="2"/>
  <c r="F91" i="2"/>
  <c r="F92" i="2"/>
  <c r="F93" i="2"/>
  <c r="F94" i="2"/>
  <c r="F95" i="2"/>
  <c r="D88" i="2"/>
  <c r="D95" i="2" s="1"/>
  <c r="E88" i="2"/>
  <c r="G88" i="2"/>
  <c r="G89" i="2"/>
  <c r="G90" i="2"/>
  <c r="G95" i="2"/>
  <c r="D89" i="2"/>
  <c r="E89" i="2"/>
  <c r="E95" i="2" s="1"/>
  <c r="E90" i="2"/>
  <c r="E91" i="2"/>
  <c r="E92" i="2"/>
  <c r="E93" i="2"/>
  <c r="E94" i="2"/>
  <c r="D90" i="2"/>
  <c r="D91" i="2"/>
  <c r="D92" i="2"/>
  <c r="D93" i="2"/>
  <c r="D94" i="2"/>
  <c r="E105" i="2"/>
  <c r="E106" i="2"/>
  <c r="D107" i="2"/>
  <c r="F107" i="2"/>
  <c r="G107" i="2"/>
  <c r="C114" i="2"/>
  <c r="F120" i="2"/>
  <c r="G120" i="2"/>
  <c r="E122" i="2"/>
  <c r="E126" i="2"/>
  <c r="E134" i="2"/>
  <c r="F126" i="2"/>
  <c r="K411" i="1"/>
  <c r="K419" i="1"/>
  <c r="K425" i="1"/>
  <c r="L255" i="1"/>
  <c r="C127" i="2"/>
  <c r="L256" i="1"/>
  <c r="C128" i="2"/>
  <c r="L257" i="1"/>
  <c r="C129" i="2"/>
  <c r="C134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B149" i="2"/>
  <c r="C149" i="2"/>
  <c r="D149" i="2"/>
  <c r="E149" i="2"/>
  <c r="F149" i="2"/>
  <c r="G149" i="2"/>
  <c r="B150" i="2"/>
  <c r="C150" i="2"/>
  <c r="D150" i="2"/>
  <c r="E150" i="2"/>
  <c r="F150" i="2"/>
  <c r="B151" i="2"/>
  <c r="C151" i="2"/>
  <c r="D151" i="2"/>
  <c r="E151" i="2"/>
  <c r="F151" i="2"/>
  <c r="G151" i="2"/>
  <c r="B152" i="2"/>
  <c r="C152" i="2"/>
  <c r="D152" i="2"/>
  <c r="E152" i="2"/>
  <c r="F152" i="2"/>
  <c r="F490" i="1"/>
  <c r="B153" i="2" s="1"/>
  <c r="G153" i="2" s="1"/>
  <c r="G490" i="1"/>
  <c r="H490" i="1"/>
  <c r="D153" i="2"/>
  <c r="I490" i="1"/>
  <c r="E153" i="2"/>
  <c r="J490" i="1"/>
  <c r="F153" i="2"/>
  <c r="B154" i="2"/>
  <c r="G154" i="2" s="1"/>
  <c r="C154" i="2"/>
  <c r="D154" i="2"/>
  <c r="E154" i="2"/>
  <c r="F154" i="2"/>
  <c r="B155" i="2"/>
  <c r="C155" i="2"/>
  <c r="D155" i="2"/>
  <c r="E155" i="2"/>
  <c r="F155" i="2"/>
  <c r="F493" i="1"/>
  <c r="B156" i="2"/>
  <c r="G493" i="1"/>
  <c r="C156" i="2" s="1"/>
  <c r="F156" i="2"/>
  <c r="H493" i="1"/>
  <c r="K493" i="1" s="1"/>
  <c r="I493" i="1"/>
  <c r="E156" i="2" s="1"/>
  <c r="J493" i="1"/>
  <c r="F19" i="1"/>
  <c r="G607" i="1"/>
  <c r="G19" i="1"/>
  <c r="G608" i="1" s="1"/>
  <c r="H19" i="1"/>
  <c r="G609" i="1"/>
  <c r="I19" i="1"/>
  <c r="F33" i="1"/>
  <c r="G33" i="1"/>
  <c r="G44" i="1" s="1"/>
  <c r="H608" i="1" s="1"/>
  <c r="H33" i="1"/>
  <c r="H44" i="1"/>
  <c r="H609" i="1" s="1"/>
  <c r="I33" i="1"/>
  <c r="F43" i="1"/>
  <c r="G612" i="1"/>
  <c r="G43" i="1"/>
  <c r="G613" i="1" s="1"/>
  <c r="H43" i="1"/>
  <c r="I43" i="1"/>
  <c r="I44" i="1"/>
  <c r="H610" i="1" s="1"/>
  <c r="F169" i="1"/>
  <c r="F184" i="1"/>
  <c r="I169" i="1"/>
  <c r="I184" i="1" s="1"/>
  <c r="F175" i="1"/>
  <c r="G175" i="1"/>
  <c r="H175" i="1"/>
  <c r="I175" i="1"/>
  <c r="J175" i="1"/>
  <c r="G635" i="1" s="1"/>
  <c r="J184" i="1"/>
  <c r="F180" i="1"/>
  <c r="G180" i="1"/>
  <c r="H180" i="1"/>
  <c r="H184" i="1" s="1"/>
  <c r="I180" i="1"/>
  <c r="G184" i="1"/>
  <c r="F203" i="1"/>
  <c r="G203" i="1"/>
  <c r="I203" i="1"/>
  <c r="I249" i="1" s="1"/>
  <c r="I263" i="1" s="1"/>
  <c r="J203" i="1"/>
  <c r="K203" i="1"/>
  <c r="F221" i="1"/>
  <c r="G221" i="1"/>
  <c r="H221" i="1"/>
  <c r="I221" i="1"/>
  <c r="J221" i="1"/>
  <c r="J249" i="1" s="1"/>
  <c r="K221" i="1"/>
  <c r="K249" i="1" s="1"/>
  <c r="K263" i="1" s="1"/>
  <c r="F239" i="1"/>
  <c r="K239" i="1"/>
  <c r="F248" i="1"/>
  <c r="L248" i="1" s="1"/>
  <c r="G248" i="1"/>
  <c r="H248" i="1"/>
  <c r="I248" i="1"/>
  <c r="J248" i="1"/>
  <c r="K248" i="1"/>
  <c r="F282" i="1"/>
  <c r="F330" i="1" s="1"/>
  <c r="F344" i="1" s="1"/>
  <c r="G282" i="1"/>
  <c r="H282" i="1"/>
  <c r="H330" i="1" s="1"/>
  <c r="H344" i="1" s="1"/>
  <c r="I282" i="1"/>
  <c r="F301" i="1"/>
  <c r="G301" i="1"/>
  <c r="H301" i="1"/>
  <c r="I301" i="1"/>
  <c r="F329" i="1"/>
  <c r="G329" i="1"/>
  <c r="H329" i="1"/>
  <c r="I329" i="1"/>
  <c r="L329" i="1" s="1"/>
  <c r="J329" i="1"/>
  <c r="K329" i="1"/>
  <c r="K330" i="1"/>
  <c r="K344" i="1" s="1"/>
  <c r="F354" i="1"/>
  <c r="G354" i="1"/>
  <c r="I354" i="1"/>
  <c r="G624" i="1" s="1"/>
  <c r="J624" i="1" s="1"/>
  <c r="J354" i="1"/>
  <c r="K354" i="1"/>
  <c r="F361" i="1"/>
  <c r="G361" i="1"/>
  <c r="L373" i="1"/>
  <c r="F374" i="1"/>
  <c r="G374" i="1"/>
  <c r="H374" i="1"/>
  <c r="I374" i="1"/>
  <c r="J374" i="1"/>
  <c r="K374" i="1"/>
  <c r="F385" i="1"/>
  <c r="G385" i="1"/>
  <c r="H385" i="1"/>
  <c r="H400" i="1" s="1"/>
  <c r="H634" i="1" s="1"/>
  <c r="I385" i="1"/>
  <c r="F393" i="1"/>
  <c r="G393" i="1"/>
  <c r="G400" i="1" s="1"/>
  <c r="H635" i="1" s="1"/>
  <c r="H393" i="1"/>
  <c r="I393" i="1"/>
  <c r="F399" i="1"/>
  <c r="G399" i="1"/>
  <c r="H399" i="1"/>
  <c r="I399" i="1"/>
  <c r="I400" i="1"/>
  <c r="F400" i="1"/>
  <c r="H633" i="1" s="1"/>
  <c r="L405" i="1"/>
  <c r="L406" i="1"/>
  <c r="L407" i="1"/>
  <c r="L408" i="1"/>
  <c r="L409" i="1"/>
  <c r="L410" i="1"/>
  <c r="L411" i="1"/>
  <c r="L426" i="1" s="1"/>
  <c r="G628" i="1" s="1"/>
  <c r="F411" i="1"/>
  <c r="H411" i="1"/>
  <c r="I411" i="1"/>
  <c r="J411" i="1"/>
  <c r="L413" i="1"/>
  <c r="L419" i="1" s="1"/>
  <c r="L414" i="1"/>
  <c r="L415" i="1"/>
  <c r="L416" i="1"/>
  <c r="L417" i="1"/>
  <c r="L418" i="1"/>
  <c r="F419" i="1"/>
  <c r="F426" i="1" s="1"/>
  <c r="G419" i="1"/>
  <c r="H419" i="1"/>
  <c r="H426" i="1" s="1"/>
  <c r="I419" i="1"/>
  <c r="J419" i="1"/>
  <c r="L421" i="1"/>
  <c r="L425" i="1" s="1"/>
  <c r="L422" i="1"/>
  <c r="L423" i="1"/>
  <c r="L424" i="1"/>
  <c r="F425" i="1"/>
  <c r="G425" i="1"/>
  <c r="H425" i="1"/>
  <c r="I425" i="1"/>
  <c r="J425" i="1"/>
  <c r="I426" i="1"/>
  <c r="F438" i="1"/>
  <c r="G438" i="1"/>
  <c r="G630" i="1"/>
  <c r="H438" i="1"/>
  <c r="F444" i="1"/>
  <c r="H444" i="1"/>
  <c r="H451" i="1" s="1"/>
  <c r="H631" i="1" s="1"/>
  <c r="J631" i="1" s="1"/>
  <c r="F450" i="1"/>
  <c r="H450" i="1"/>
  <c r="F451" i="1"/>
  <c r="H629" i="1" s="1"/>
  <c r="G460" i="1"/>
  <c r="G466" i="1" s="1"/>
  <c r="H613" i="1" s="1"/>
  <c r="H460" i="1"/>
  <c r="I460" i="1"/>
  <c r="G464" i="1"/>
  <c r="H464" i="1"/>
  <c r="H466" i="1" s="1"/>
  <c r="H614" i="1" s="1"/>
  <c r="I464" i="1"/>
  <c r="I466" i="1" s="1"/>
  <c r="H615" i="1" s="1"/>
  <c r="J615" i="1" s="1"/>
  <c r="K485" i="1"/>
  <c r="K486" i="1"/>
  <c r="K487" i="1"/>
  <c r="K488" i="1"/>
  <c r="K489" i="1"/>
  <c r="K491" i="1"/>
  <c r="K492" i="1"/>
  <c r="F507" i="1"/>
  <c r="G507" i="1"/>
  <c r="H507" i="1"/>
  <c r="I507" i="1"/>
  <c r="F514" i="1"/>
  <c r="F535" i="1" s="1"/>
  <c r="J514" i="1"/>
  <c r="K514" i="1"/>
  <c r="F519" i="1"/>
  <c r="I519" i="1"/>
  <c r="J519" i="1"/>
  <c r="K519" i="1"/>
  <c r="F524" i="1"/>
  <c r="I524" i="1"/>
  <c r="J524" i="1"/>
  <c r="K524" i="1"/>
  <c r="F529" i="1"/>
  <c r="G529" i="1"/>
  <c r="H529" i="1"/>
  <c r="I529" i="1"/>
  <c r="J529" i="1"/>
  <c r="K529" i="1"/>
  <c r="K535" i="1" s="1"/>
  <c r="F534" i="1"/>
  <c r="G534" i="1"/>
  <c r="H534" i="1"/>
  <c r="I534" i="1"/>
  <c r="J534" i="1"/>
  <c r="K534" i="1"/>
  <c r="L547" i="1"/>
  <c r="L550" i="1" s="1"/>
  <c r="L548" i="1"/>
  <c r="L549" i="1"/>
  <c r="F550" i="1"/>
  <c r="F561" i="1" s="1"/>
  <c r="G550" i="1"/>
  <c r="H550" i="1"/>
  <c r="H561" i="1" s="1"/>
  <c r="I550" i="1"/>
  <c r="J550" i="1"/>
  <c r="K550" i="1"/>
  <c r="K561" i="1"/>
  <c r="L552" i="1"/>
  <c r="L553" i="1"/>
  <c r="L554" i="1"/>
  <c r="L555" i="1" s="1"/>
  <c r="F555" i="1"/>
  <c r="G555" i="1"/>
  <c r="G561" i="1" s="1"/>
  <c r="H555" i="1"/>
  <c r="I555" i="1"/>
  <c r="J555" i="1"/>
  <c r="K555" i="1"/>
  <c r="L557" i="1"/>
  <c r="L558" i="1"/>
  <c r="L559" i="1"/>
  <c r="L560" i="1" s="1"/>
  <c r="F560" i="1"/>
  <c r="G560" i="1"/>
  <c r="H560" i="1"/>
  <c r="I560" i="1"/>
  <c r="I561" i="1" s="1"/>
  <c r="J560" i="1"/>
  <c r="J561" i="1" s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3" i="1"/>
  <c r="K585" i="1"/>
  <c r="K586" i="1"/>
  <c r="K587" i="1"/>
  <c r="H588" i="1"/>
  <c r="H639" i="1" s="1"/>
  <c r="I588" i="1"/>
  <c r="H640" i="1" s="1"/>
  <c r="K592" i="1"/>
  <c r="K593" i="1"/>
  <c r="H595" i="1"/>
  <c r="I595" i="1"/>
  <c r="F604" i="1"/>
  <c r="G604" i="1"/>
  <c r="H604" i="1"/>
  <c r="I604" i="1"/>
  <c r="J604" i="1"/>
  <c r="K604" i="1"/>
  <c r="L604" i="1"/>
  <c r="G610" i="1"/>
  <c r="J610" i="1" s="1"/>
  <c r="G614" i="1"/>
  <c r="J614" i="1" s="1"/>
  <c r="G615" i="1"/>
  <c r="H618" i="1"/>
  <c r="H619" i="1"/>
  <c r="H620" i="1"/>
  <c r="J620" i="1"/>
  <c r="H623" i="1"/>
  <c r="H626" i="1"/>
  <c r="G629" i="1"/>
  <c r="J629" i="1" s="1"/>
  <c r="G631" i="1"/>
  <c r="G633" i="1"/>
  <c r="J633" i="1"/>
  <c r="G642" i="1"/>
  <c r="H642" i="1"/>
  <c r="J642" i="1"/>
  <c r="G643" i="1"/>
  <c r="H643" i="1"/>
  <c r="J643" i="1"/>
  <c r="G644" i="1"/>
  <c r="H644" i="1"/>
  <c r="J644" i="1"/>
  <c r="G645" i="1"/>
  <c r="J645" i="1" s="1"/>
  <c r="H645" i="1"/>
  <c r="D18" i="13"/>
  <c r="C18" i="13"/>
  <c r="B22" i="12"/>
  <c r="H622" i="1"/>
  <c r="H617" i="1"/>
  <c r="B13" i="12"/>
  <c r="A13" i="12" s="1"/>
  <c r="J588" i="1"/>
  <c r="H641" i="1" s="1"/>
  <c r="J641" i="1" s="1"/>
  <c r="K582" i="1"/>
  <c r="L518" i="1"/>
  <c r="G541" i="1" s="1"/>
  <c r="L519" i="1"/>
  <c r="G519" i="1"/>
  <c r="L523" i="1"/>
  <c r="H541" i="1" s="1"/>
  <c r="H524" i="1"/>
  <c r="C153" i="2"/>
  <c r="G450" i="1"/>
  <c r="G451" i="1"/>
  <c r="H630" i="1" s="1"/>
  <c r="I450" i="1"/>
  <c r="G444" i="1"/>
  <c r="I438" i="1"/>
  <c r="G632" i="1"/>
  <c r="H25" i="13"/>
  <c r="H33" i="13" s="1"/>
  <c r="C25" i="13"/>
  <c r="C123" i="2"/>
  <c r="I360" i="1"/>
  <c r="L354" i="1"/>
  <c r="C27" i="10" s="1"/>
  <c r="H651" i="1"/>
  <c r="G651" i="1"/>
  <c r="L311" i="1"/>
  <c r="F320" i="1"/>
  <c r="B9" i="12"/>
  <c r="C9" i="12"/>
  <c r="L237" i="1"/>
  <c r="L235" i="1"/>
  <c r="D14" i="13" s="1"/>
  <c r="C14" i="13" s="1"/>
  <c r="J239" i="1"/>
  <c r="L232" i="1"/>
  <c r="C112" i="2" s="1"/>
  <c r="E8" i="13"/>
  <c r="L231" i="1"/>
  <c r="F5" i="13"/>
  <c r="G641" i="1"/>
  <c r="H637" i="1"/>
  <c r="C104" i="2"/>
  <c r="F249" i="1"/>
  <c r="F263" i="1"/>
  <c r="L189" i="1"/>
  <c r="H154" i="1"/>
  <c r="H161" i="1"/>
  <c r="E80" i="2"/>
  <c r="E83" i="2" s="1"/>
  <c r="F44" i="1"/>
  <c r="H607" i="1"/>
  <c r="J607" i="1"/>
  <c r="C23" i="10" l="1"/>
  <c r="C105" i="2"/>
  <c r="J330" i="1"/>
  <c r="J344" i="1" s="1"/>
  <c r="F31" i="13"/>
  <c r="D5" i="13"/>
  <c r="H628" i="1"/>
  <c r="J628" i="1" s="1"/>
  <c r="J464" i="1"/>
  <c r="F19" i="2"/>
  <c r="C19" i="2"/>
  <c r="L524" i="1"/>
  <c r="L514" i="1"/>
  <c r="F541" i="1"/>
  <c r="K541" i="1" s="1"/>
  <c r="J535" i="1"/>
  <c r="G148" i="2"/>
  <c r="K426" i="1"/>
  <c r="G126" i="2" s="1"/>
  <c r="G136" i="2" s="1"/>
  <c r="G137" i="2" s="1"/>
  <c r="H104" i="1"/>
  <c r="H185" i="1" s="1"/>
  <c r="G619" i="1" s="1"/>
  <c r="J619" i="1" s="1"/>
  <c r="E48" i="2"/>
  <c r="F22" i="13"/>
  <c r="C22" i="13" s="1"/>
  <c r="C29" i="10"/>
  <c r="C122" i="2"/>
  <c r="C110" i="2"/>
  <c r="I320" i="1"/>
  <c r="I330" i="1" s="1"/>
  <c r="I344" i="1" s="1"/>
  <c r="L306" i="1"/>
  <c r="G22" i="2"/>
  <c r="G32" i="2" s="1"/>
  <c r="J33" i="1"/>
  <c r="I535" i="1"/>
  <c r="J630" i="1"/>
  <c r="J426" i="1"/>
  <c r="G150" i="2"/>
  <c r="D32" i="2"/>
  <c r="J640" i="1"/>
  <c r="C35" i="10"/>
  <c r="F104" i="1"/>
  <c r="C48" i="2"/>
  <c r="C55" i="2" s="1"/>
  <c r="D43" i="2"/>
  <c r="J19" i="1"/>
  <c r="G611" i="1" s="1"/>
  <c r="G9" i="2"/>
  <c r="G19" i="2" s="1"/>
  <c r="E110" i="2"/>
  <c r="D7" i="13"/>
  <c r="C7" i="13" s="1"/>
  <c r="L203" i="1"/>
  <c r="C16" i="10"/>
  <c r="L561" i="1"/>
  <c r="G152" i="2"/>
  <c r="C32" i="2"/>
  <c r="C43" i="2" s="1"/>
  <c r="L301" i="1"/>
  <c r="J639" i="1"/>
  <c r="D12" i="13"/>
  <c r="C12" i="13" s="1"/>
  <c r="C113" i="2"/>
  <c r="C18" i="10"/>
  <c r="K540" i="1"/>
  <c r="K542" i="1" s="1"/>
  <c r="F542" i="1"/>
  <c r="C117" i="2"/>
  <c r="E16" i="13"/>
  <c r="C16" i="13" s="1"/>
  <c r="H638" i="1"/>
  <c r="J263" i="1"/>
  <c r="J609" i="1"/>
  <c r="L385" i="1"/>
  <c r="J632" i="1"/>
  <c r="G330" i="1"/>
  <c r="G344" i="1" s="1"/>
  <c r="C95" i="2"/>
  <c r="G37" i="2"/>
  <c r="G42" i="2" s="1"/>
  <c r="G43" i="2" s="1"/>
  <c r="J43" i="1"/>
  <c r="J608" i="1"/>
  <c r="D19" i="2"/>
  <c r="F122" i="2"/>
  <c r="F136" i="2" s="1"/>
  <c r="F137" i="2" s="1"/>
  <c r="G33" i="13"/>
  <c r="J637" i="1"/>
  <c r="J613" i="1"/>
  <c r="E54" i="2"/>
  <c r="J132" i="1"/>
  <c r="K594" i="1"/>
  <c r="K595" i="1" s="1"/>
  <c r="G638" i="1" s="1"/>
  <c r="J638" i="1" s="1"/>
  <c r="J595" i="1"/>
  <c r="J635" i="1"/>
  <c r="G155" i="2"/>
  <c r="F55" i="2"/>
  <c r="F96" i="2" s="1"/>
  <c r="L393" i="1"/>
  <c r="C131" i="2" s="1"/>
  <c r="E113" i="2"/>
  <c r="L221" i="1"/>
  <c r="G634" i="1"/>
  <c r="J634" i="1" s="1"/>
  <c r="J103" i="1"/>
  <c r="J104" i="1" s="1"/>
  <c r="J185" i="1" s="1"/>
  <c r="G51" i="2"/>
  <c r="G54" i="2" s="1"/>
  <c r="G55" i="2" s="1"/>
  <c r="G96" i="2" s="1"/>
  <c r="F113" i="1"/>
  <c r="F132" i="1" s="1"/>
  <c r="C38" i="10" s="1"/>
  <c r="C106" i="2"/>
  <c r="C17" i="10"/>
  <c r="L282" i="1"/>
  <c r="G625" i="1"/>
  <c r="J625" i="1" s="1"/>
  <c r="J460" i="1"/>
  <c r="L529" i="1"/>
  <c r="K490" i="1"/>
  <c r="D52" i="2"/>
  <c r="D54" i="2" s="1"/>
  <c r="D55" i="2" s="1"/>
  <c r="D96" i="2" s="1"/>
  <c r="H627" i="1"/>
  <c r="G103" i="1"/>
  <c r="G104" i="1" s="1"/>
  <c r="G185" i="1" s="1"/>
  <c r="G618" i="1" s="1"/>
  <c r="J618" i="1" s="1"/>
  <c r="C102" i="2"/>
  <c r="L225" i="1"/>
  <c r="L239" i="1" s="1"/>
  <c r="H542" i="1"/>
  <c r="D156" i="2"/>
  <c r="G156" i="2" s="1"/>
  <c r="C15" i="10"/>
  <c r="L343" i="1"/>
  <c r="L374" i="1"/>
  <c r="G626" i="1" s="1"/>
  <c r="J626" i="1" s="1"/>
  <c r="C59" i="2"/>
  <c r="C62" i="2" s="1"/>
  <c r="C73" i="2" s="1"/>
  <c r="G652" i="1"/>
  <c r="D119" i="2"/>
  <c r="D120" i="2" s="1"/>
  <c r="D137" i="2" s="1"/>
  <c r="D6" i="13"/>
  <c r="C6" i="13" s="1"/>
  <c r="C8" i="13"/>
  <c r="F652" i="1"/>
  <c r="I652" i="1" s="1"/>
  <c r="E123" i="2"/>
  <c r="E136" i="2" s="1"/>
  <c r="C13" i="10"/>
  <c r="C101" i="2"/>
  <c r="C115" i="2"/>
  <c r="D17" i="13"/>
  <c r="C17" i="13" s="1"/>
  <c r="C116" i="2"/>
  <c r="F185" i="1" l="1"/>
  <c r="G617" i="1" s="1"/>
  <c r="J617" i="1" s="1"/>
  <c r="E101" i="2"/>
  <c r="E107" i="2" s="1"/>
  <c r="L320" i="1"/>
  <c r="C5" i="13"/>
  <c r="G650" i="1"/>
  <c r="G654" i="1" s="1"/>
  <c r="C36" i="10"/>
  <c r="C41" i="10"/>
  <c r="E33" i="13"/>
  <c r="D35" i="13" s="1"/>
  <c r="J611" i="1"/>
  <c r="C120" i="2"/>
  <c r="J466" i="1"/>
  <c r="H616" i="1" s="1"/>
  <c r="L535" i="1"/>
  <c r="C130" i="2"/>
  <c r="C133" i="2" s="1"/>
  <c r="L400" i="1"/>
  <c r="F33" i="13"/>
  <c r="C10" i="10"/>
  <c r="L249" i="1"/>
  <c r="L263" i="1" s="1"/>
  <c r="G622" i="1" s="1"/>
  <c r="J622" i="1" s="1"/>
  <c r="F650" i="1"/>
  <c r="G636" i="1"/>
  <c r="G621" i="1"/>
  <c r="J621" i="1" s="1"/>
  <c r="C107" i="2"/>
  <c r="D31" i="13"/>
  <c r="C31" i="13" s="1"/>
  <c r="L330" i="1"/>
  <c r="L344" i="1" s="1"/>
  <c r="G623" i="1" s="1"/>
  <c r="J623" i="1" s="1"/>
  <c r="E55" i="2"/>
  <c r="E96" i="2" s="1"/>
  <c r="E120" i="2"/>
  <c r="D38" i="10"/>
  <c r="G616" i="1"/>
  <c r="J616" i="1" s="1"/>
  <c r="J44" i="1"/>
  <c r="H611" i="1" s="1"/>
  <c r="C96" i="2"/>
  <c r="H650" i="1"/>
  <c r="H654" i="1" s="1"/>
  <c r="F654" i="1" l="1"/>
  <c r="I650" i="1"/>
  <c r="I654" i="1" s="1"/>
  <c r="C28" i="10"/>
  <c r="D10" i="10" s="1"/>
  <c r="D39" i="10"/>
  <c r="D37" i="10"/>
  <c r="D40" i="10"/>
  <c r="D36" i="10"/>
  <c r="D35" i="10"/>
  <c r="G627" i="1"/>
  <c r="J627" i="1" s="1"/>
  <c r="H636" i="1"/>
  <c r="J636" i="1" s="1"/>
  <c r="D33" i="13"/>
  <c r="D36" i="13" s="1"/>
  <c r="G657" i="1"/>
  <c r="G662" i="1"/>
  <c r="H662" i="1"/>
  <c r="C6" i="10" s="1"/>
  <c r="H657" i="1"/>
  <c r="C136" i="2"/>
  <c r="C137" i="2" s="1"/>
  <c r="E137" i="2"/>
  <c r="D41" i="10" l="1"/>
  <c r="H646" i="1"/>
  <c r="D22" i="10"/>
  <c r="C30" i="10"/>
  <c r="D12" i="10"/>
  <c r="D21" i="10"/>
  <c r="D19" i="10"/>
  <c r="D26" i="10"/>
  <c r="D11" i="10"/>
  <c r="D28" i="10" s="1"/>
  <c r="D20" i="10"/>
  <c r="D24" i="10"/>
  <c r="D25" i="10"/>
  <c r="D27" i="10"/>
  <c r="D16" i="10"/>
  <c r="D18" i="10"/>
  <c r="D15" i="10"/>
  <c r="D13" i="10"/>
  <c r="D23" i="10"/>
  <c r="D17" i="10"/>
  <c r="I662" i="1"/>
  <c r="C7" i="10" s="1"/>
  <c r="I657" i="1"/>
  <c r="F662" i="1"/>
  <c r="F6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9DBCFEBD-439D-4D47-A8EC-5173797CC8E1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B978D7EE-4D35-4BEB-9D6D-02F63153D206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63025394-71DF-4F7D-A7CD-70C45981D148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6F00C711-D622-4925-B2B1-393BF46EA5FA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C433A674-7868-42C7-8CF0-CBD4E4DE735F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F0DD9629-BDBD-4A70-B8FF-5956C4DE49E7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F8F8E2F5-8958-4681-8AF4-55DCFA220294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E2962098-77FA-4A89-A91C-E92481F7247D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CEAC7136-D77B-4443-B777-D646606DDEC0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63AF6F0D-EE18-466F-88D0-9F84542CA0B2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1C44C45A-2A86-420A-97B9-FE5A4F5026DC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B5CC2D0F-8B6B-4325-A919-8B6FED646722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<sst xmlns="http://schemas.openxmlformats.org/spreadsheetml/2006/main" count="3866" uniqueCount="902">
  <si>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</si>
  <si>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</si>
  <si>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</si>
  <si>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</si>
  <si>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</si>
  <si>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</si>
  <si>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</si>
  <si>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</si>
  <si>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</si>
  <si>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</si>
  <si>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</si>
  <si>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</si>
  <si>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</si>
  <si>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</si>
  <si>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</si>
  <si>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</si>
  <si>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</si>
  <si>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</si>
  <si>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</si>
  <si>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</si>
  <si>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</si>
  <si>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</si>
  <si>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</si>
  <si>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</si>
  <si>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</si>
  <si>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</si>
  <si>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</si>
  <si>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</si>
  <si>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</si>
  <si>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</si>
  <si>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</si>
  <si>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</si>
  <si>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</si>
  <si>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</si>
  <si>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</si>
  <si>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</si>
  <si>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</si>
  <si>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</si>
  <si>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</si>
  <si>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</si>
  <si>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</si>
  <si>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</si>
  <si>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</si>
  <si>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</si>
  <si>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</si>
  <si>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</si>
  <si>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</si>
  <si>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</si>
  <si>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</si>
  <si>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</si>
  <si>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</si>
  <si>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</si>
  <si>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</si>
  <si>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</si>
  <si>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</si>
  <si>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</si>
  <si>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</si>
  <si>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</si>
  <si>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</si>
  <si>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</si>
  <si>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</si>
  <si>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</si>
  <si>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</si>
  <si>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</si>
  <si>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</si>
  <si>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</si>
  <si>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</si>
  <si>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</si>
  <si>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</si>
  <si>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</si>
  <si>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</si>
  <si>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</si>
  <si>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</si>
  <si>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</si>
  <si>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</si>
  <si>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</si>
  <si>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</si>
  <si>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</si>
  <si>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</si>
  <si>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</si>
  <si>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</si>
  <si>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</si>
  <si>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</si>
  <si>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</si>
  <si>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</si>
  <si>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</si>
  <si>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</si>
  <si>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</si>
  <si>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</si>
  <si>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</si>
  <si>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</si>
  <si>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</si>
  <si>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</si>
  <si>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</si>
  <si>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</si>
  <si>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</si>
  <si>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</si>
  <si>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</si>
  <si>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</si>
  <si>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</si>
  <si>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</si>
  <si>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</si>
  <si>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</si>
  <si>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</si>
  <si>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</si>
  <si>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</si>
  <si>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</si>
  <si>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</si>
  <si>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</si>
  <si>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</si>
  <si>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</si>
  <si>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</si>
  <si>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</si>
  <si>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</si>
  <si>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</si>
  <si>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</si>
  <si>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</si>
  <si>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</si>
  <si>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</si>
  <si>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</si>
  <si>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</si>
  <si>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</si>
  <si>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</si>
  <si>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</si>
  <si>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</si>
  <si>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</si>
  <si>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</si>
  <si>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</si>
  <si>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</si>
  <si>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</si>
  <si>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</si>
  <si>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</si>
  <si>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</si>
  <si>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</si>
  <si>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</si>
  <si>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</si>
  <si>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</si>
  <si>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</si>
  <si>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</si>
  <si>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</si>
  <si>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</si>
  <si>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</si>
  <si>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</si>
  <si>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</si>
  <si>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</si>
  <si>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</si>
  <si>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</si>
  <si>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</si>
  <si>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</si>
  <si>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</si>
  <si>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</si>
  <si>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</si>
  <si>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</si>
  <si>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</si>
  <si>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</si>
  <si>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</si>
  <si>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</si>
  <si>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</si>
  <si>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</si>
  <si>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</si>
  <si>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</si>
  <si>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</si>
  <si>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</si>
  <si>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</si>
  <si>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</si>
  <si>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</si>
  <si>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</si>
  <si>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</si>
  <si>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</si>
  <si>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</si>
  <si>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</si>
  <si>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</si>
  <si>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</si>
  <si>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</si>
  <si>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</si>
  <si>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</si>
  <si>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</si>
  <si>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</si>
  <si>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</si>
  <si>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</si>
  <si>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</si>
  <si>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</si>
  <si>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</si>
  <si>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</si>
  <si>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</si>
  <si>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</si>
  <si>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</si>
  <si>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</si>
  <si>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</si>
  <si>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</si>
  <si>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</si>
  <si>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</si>
  <si>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</si>
  <si>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</si>
  <si>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</si>
  <si>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</si>
  <si>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</si>
  <si>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</si>
  <si>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</si>
  <si>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</si>
  <si>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</si>
  <si>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</si>
  <si>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</si>
  <si>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</si>
  <si>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</si>
  <si>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</si>
  <si>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</si>
  <si>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</si>
  <si>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</si>
  <si>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</si>
  <si>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</si>
  <si>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</si>
  <si>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</si>
  <si>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</si>
  <si>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</si>
  <si>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</si>
  <si>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</si>
  <si>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</si>
  <si>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</si>
  <si>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</si>
  <si>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</si>
  <si>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</si>
  <si>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</si>
  <si>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</si>
  <si>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</si>
  <si>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</si>
  <si>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</si>
  <si>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</si>
  <si>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</si>
  <si>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</si>
  <si>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</si>
  <si>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</si>
  <si>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</si>
  <si>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</si>
  <si>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</si>
  <si>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</si>
  <si>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</si>
  <si>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</si>
  <si>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</si>
  <si>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</si>
  <si>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</si>
  <si>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</si>
  <si>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</si>
  <si>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</si>
  <si>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</si>
  <si>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</si>
  <si>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</si>
  <si>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</si>
  <si>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</si>
  <si>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</si>
  <si>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</si>
  <si>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</si>
  <si>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</si>
  <si>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</si>
  <si>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</si>
  <si>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</si>
  <si>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</si>
  <si>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</si>
  <si>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</si>
  <si>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</si>
  <si>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</si>
  <si>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</si>
  <si>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</si>
  <si>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</si>
  <si>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</si>
  <si>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</si>
  <si>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</si>
  <si>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</si>
  <si>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</si>
  <si>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</si>
  <si>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</si>
  <si>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</si>
  <si>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</si>
  <si>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</si>
  <si>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</si>
  <si>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</si>
  <si>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</si>
  <si>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</si>
  <si>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</si>
  <si>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</si>
  <si>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</si>
  <si>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</si>
  <si>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</si>
  <si>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</si>
  <si>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</si>
  <si>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</si>
  <si>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</si>
  <si>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</si>
  <si>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</si>
  <si>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</si>
  <si>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</si>
  <si>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</si>
  <si>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</si>
  <si>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</si>
  <si>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</si>
  <si>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</si>
  <si>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</si>
  <si>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</si>
  <si>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</si>
  <si>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</si>
  <si>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</si>
  <si>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</si>
  <si>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</si>
  <si>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</si>
  <si>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</si>
  <si>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</si>
  <si>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</si>
  <si>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</si>
  <si>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</si>
  <si>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</si>
  <si>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</si>
  <si>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</si>
  <si>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</si>
  <si>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</si>
  <si>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</si>
  <si>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</si>
  <si>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</si>
  <si>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</si>
  <si>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</si>
  <si>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</si>
  <si>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</si>
  <si>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</si>
  <si>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</si>
  <si>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</si>
  <si>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</si>
  <si>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</si>
  <si>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</si>
  <si>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</si>
  <si>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</si>
  <si>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</si>
  <si>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</si>
  <si>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</si>
  <si>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</si>
  <si>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</si>
  <si>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</si>
  <si>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</si>
  <si>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</si>
  <si>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</si>
  <si>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</si>
  <si>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</si>
  <si>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</si>
  <si>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</si>
  <si>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</si>
  <si>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</si>
  <si>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</si>
  <si>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</si>
  <si>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</si>
  <si>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</si>
  <si>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</si>
  <si>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</si>
  <si>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</si>
  <si>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</si>
  <si>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</si>
  <si>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</si>
  <si>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</si>
  <si>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</si>
  <si>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</si>
  <si>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</si>
  <si>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</si>
  <si>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</si>
  <si>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</si>
  <si>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</si>
  <si>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</si>
  <si>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</si>
  <si>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</si>
  <si>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</si>
  <si>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</si>
  <si>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</si>
  <si>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</si>
  <si>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</si>
  <si>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</si>
  <si>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</si>
  <si>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</si>
  <si>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</si>
  <si>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</si>
  <si>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</si>
  <si>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</si>
  <si>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</si>
  <si>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</si>
  <si>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</si>
  <si>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</si>
  <si>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</si>
  <si>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</si>
  <si>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</si>
  <si>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</si>
  <si>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</si>
  <si>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</si>
  <si>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</si>
  <si>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</si>
  <si>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</si>
  <si>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</si>
  <si>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</si>
  <si>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</si>
  <si>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</si>
  <si>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</si>
  <si>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</si>
  <si>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</si>
  <si>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</si>
  <si>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</si>
  <si>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</si>
  <si>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</si>
  <si>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</si>
  <si>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</si>
  <si>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</si>
  <si>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</si>
  <si>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</si>
  <si>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</si>
  <si>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</si>
  <si>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</si>
  <si>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</si>
  <si>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</si>
  <si>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</si>
  <si>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</si>
  <si>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</si>
  <si>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</si>
  <si>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</si>
  <si>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</si>
  <si>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</si>
  <si>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</si>
  <si>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</si>
  <si>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</si>
  <si>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</si>
  <si>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</si>
  <si>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</si>
  <si>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</si>
  <si>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</si>
  <si>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</si>
  <si>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</si>
  <si>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</si>
  <si>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</si>
  <si>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</si>
  <si>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</si>
  <si>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</si>
  <si>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</si>
  <si>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</si>
  <si>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</si>
  <si>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</si>
  <si>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</si>
  <si>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</si>
  <si>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</si>
  <si>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</si>
  <si>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</si>
  <si>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</si>
  <si>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</si>
  <si>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</si>
  <si>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</si>
  <si>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</si>
  <si>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</si>
  <si>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</si>
  <si>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</si>
  <si>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</si>
  <si>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</si>
  <si>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</si>
  <si>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</si>
  <si>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</si>
  <si>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</si>
  <si>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</si>
  <si>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</si>
  <si>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</si>
  <si>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</si>
  <si>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</si>
  <si>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</si>
  <si>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</si>
  <si>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</si>
  <si>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</si>
  <si>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</si>
  <si>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</si>
  <si>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</si>
  <si>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</si>
  <si>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</si>
  <si>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</si>
  <si>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</si>
  <si>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</si>
  <si>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</si>
  <si>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</si>
  <si>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</si>
  <si>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</si>
  <si>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</si>
  <si>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</si>
  <si>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</si>
  <si>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</si>
  <si>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</si>
  <si>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</si>
  <si>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</si>
  <si>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</si>
  <si>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</si>
  <si>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</si>
  <si>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</si>
  <si>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</si>
  <si>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</si>
  <si>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</si>
  <si>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</si>
  <si>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</si>
  <si>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</si>
  <si>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</si>
  <si>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</si>
  <si>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</si>
  <si>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</si>
  <si>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</si>
  <si>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</si>
  <si>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</si>
  <si>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</si>
  <si>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</si>
  <si>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</si>
  <si>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</si>
  <si>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</si>
  <si>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</si>
  <si>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</si>
  <si>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</si>
  <si>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</si>
  <si>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</si>
  <si>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</si>
  <si>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</si>
  <si>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</si>
  <si>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</si>
  <si>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</si>
  <si>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</si>
  <si>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</si>
  <si>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</si>
  <si>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</si>
  <si>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</si>
  <si>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</si>
  <si>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</si>
  <si>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</si>
  <si>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</si>
  <si>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</si>
  <si>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</si>
  <si>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</si>
  <si>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</si>
  <si>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</si>
  <si>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</si>
  <si>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</si>
  <si>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</si>
  <si>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</si>
  <si>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</si>
  <si>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</si>
  <si>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</si>
  <si>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</si>
  <si>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</si>
  <si>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</si>
  <si>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</si>
  <si>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</si>
  <si>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</si>
  <si>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</si>
  <si>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</si>
  <si>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</si>
  <si>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</si>
  <si>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</si>
  <si>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</si>
  <si>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</si>
  <si>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</si>
  <si>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</si>
  <si>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</si>
  <si>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</si>
  <si>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</si>
  <si>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</si>
  <si>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</si>
  <si>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</si>
  <si>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</si>
  <si>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</si>
  <si>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</si>
  <si>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</si>
  <si>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</si>
  <si>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</si>
  <si>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</si>
  <si>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</si>
  <si>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</si>
  <si>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</si>
  <si>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</si>
  <si>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</si>
  <si>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</si>
  <si>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</si>
  <si>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</si>
  <si>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</si>
  <si>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</si>
  <si>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</si>
  <si>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</si>
  <si>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</si>
  <si>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</si>
  <si>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</si>
  <si>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</si>
  <si>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</si>
  <si>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</si>
  <si>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</si>
  <si>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</si>
  <si>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</si>
  <si>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</si>
  <si>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</si>
  <si>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</si>
  <si>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</si>
  <si>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</si>
  <si>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</si>
  <si>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</si>
  <si>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</si>
  <si>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</si>
  <si>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</si>
  <si>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</si>
  <si>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</si>
  <si>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</si>
  <si>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</si>
  <si>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</si>
  <si>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</si>
  <si>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</si>
  <si>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</si>
  <si>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</si>
  <si>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</si>
  <si>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</si>
  <si>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</si>
  <si>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</si>
  <si>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</si>
  <si>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</si>
  <si>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</si>
  <si>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</si>
  <si>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</si>
  <si>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</si>
  <si>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</si>
  <si>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</si>
  <si>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</si>
  <si>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</si>
  <si>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</si>
  <si>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</si>
  <si>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</si>
  <si>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</si>
  <si>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</si>
  <si>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</si>
  <si>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</si>
  <si>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</si>
  <si>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</si>
  <si>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</si>
  <si>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</si>
  <si>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</si>
  <si>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</si>
  <si>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</si>
  <si>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</si>
  <si>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</si>
  <si>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</si>
  <si>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</si>
  <si>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</si>
  <si>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</si>
  <si>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</si>
  <si>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</si>
  <si>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</si>
  <si>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</si>
  <si>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</si>
  <si>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</si>
  <si>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</si>
  <si>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</si>
  <si>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</si>
  <si>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</si>
  <si>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</si>
  <si>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</si>
  <si>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</si>
  <si>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</si>
  <si>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</si>
  <si>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</si>
  <si>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</si>
  <si>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</si>
  <si>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</si>
  <si>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</si>
  <si>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</si>
  <si>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</si>
  <si>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</si>
  <si>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</si>
  <si>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</si>
  <si>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</si>
  <si>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</si>
  <si>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</si>
  <si>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</si>
  <si>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</si>
  <si>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</si>
  <si>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</si>
  <si>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</si>
  <si>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</si>
  <si>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</si>
  <si>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</si>
  <si>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</si>
  <si>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</si>
  <si>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</si>
  <si>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</si>
  <si>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</si>
  <si>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</si>
  <si>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</si>
  <si>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</si>
  <si>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</si>
  <si>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</si>
  <si>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</si>
  <si>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</si>
  <si>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</si>
  <si>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</si>
  <si>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</si>
  <si>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</si>
  <si>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</si>
  <si>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</si>
  <si>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</si>
  <si>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</si>
  <si>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</si>
  <si>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</si>
  <si>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</si>
  <si>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</si>
  <si>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</si>
  <si>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</si>
  <si>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</si>
  <si>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</si>
  <si>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</si>
  <si>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</si>
  <si>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</si>
  <si>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</si>
  <si>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</si>
  <si>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</si>
  <si>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</si>
  <si>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</si>
  <si>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</si>
  <si>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</si>
  <si>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</si>
  <si>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</si>
  <si>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</si>
  <si>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</si>
  <si>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</si>
  <si>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</si>
  <si>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</si>
  <si>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</si>
  <si>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</si>
  <si>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</si>
  <si>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</si>
  <si>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</si>
  <si>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</si>
  <si>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</si>
  <si>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</si>
  <si>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</si>
  <si>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</si>
  <si>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</si>
  <si>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</si>
  <si>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</si>
  <si>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</si>
  <si>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</si>
  <si>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</si>
  <si>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</si>
  <si>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</si>
  <si>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</si>
  <si>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</si>
  <si>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</si>
  <si>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</si>
  <si>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</si>
  <si>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</si>
  <si>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</si>
  <si>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</si>
  <si>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</si>
  <si>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</si>
  <si>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</si>
  <si>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</si>
  <si>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</si>
  <si>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</si>
  <si>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</si>
  <si>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</si>
  <si>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</si>
  <si>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</si>
  <si>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</si>
  <si>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</si>
  <si>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</si>
  <si>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</si>
  <si>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</si>
  <si>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</si>
  <si>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</si>
  <si>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</si>
  <si>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</si>
  <si>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</si>
  <si>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</si>
  <si>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</si>
  <si>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</si>
  <si>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</si>
  <si>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</si>
  <si>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</si>
  <si>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</si>
  <si>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</si>
  <si>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</si>
  <si>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</si>
  <si>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</si>
  <si>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</si>
  <si>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</si>
  <si>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</si>
  <si>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</si>
  <si>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</si>
  <si>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</si>
  <si>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</si>
  <si>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</si>
  <si>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</si>
  <si>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</si>
  <si>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</si>
  <si>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</si>
  <si>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</si>
  <si>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</si>
  <si>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</si>
  <si>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</si>
  <si>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</si>
  <si>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</si>
  <si>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</si>
  <si>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</si>
  <si>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</si>
  <si>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</si>
  <si>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</si>
  <si>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</si>
  <si>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</si>
  <si>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</si>
  <si>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</si>
  <si>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</si>
  <si>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</si>
  <si>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</si>
  <si>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</si>
  <si>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</si>
  <si>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</si>
  <si>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</si>
  <si>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</si>
  <si>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</si>
  <si>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</si>
  <si>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</si>
  <si>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</si>
  <si>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</si>
  <si>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</si>
  <si>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</si>
  <si>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</si>
  <si>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</si>
  <si>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</si>
  <si>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</si>
  <si>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</si>
  <si>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</si>
  <si>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</si>
  <si>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</si>
  <si>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</si>
  <si>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</si>
  <si>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</si>
  <si>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</si>
  <si>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</si>
  <si>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</si>
  <si>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</si>
  <si>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</si>
  <si>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</si>
  <si>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</si>
  <si>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</si>
  <si>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</si>
  <si>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</si>
  <si>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</si>
  <si>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</si>
  <si>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</si>
  <si>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</si>
  <si>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</si>
  <si>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</si>
  <si>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</si>
  <si>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</si>
  <si>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</si>
  <si>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</si>
  <si>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</si>
  <si>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</si>
  <si>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</si>
  <si>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</si>
  <si>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</si>
  <si>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</si>
  <si>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</si>
  <si>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</si>
  <si>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</si>
  <si>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</si>
  <si>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</si>
  <si>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</si>
  <si>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</si>
  <si>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</si>
  <si>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</si>
  <si>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</si>
  <si>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</si>
  <si>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</si>
  <si>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</si>
  <si>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</si>
  <si>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</si>
  <si>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</si>
  <si>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</si>
  <si>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</si>
  <si>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</si>
  <si>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</si>
  <si>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</si>
  <si>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</si>
  <si>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</si>
  <si>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</si>
  <si>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</si>
  <si>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</si>
  <si>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</si>
  <si>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</si>
  <si>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</si>
  <si>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</si>
  <si>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</si>
  <si>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</si>
  <si>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</si>
  <si>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</si>
  <si>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</si>
  <si>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</si>
  <si>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</si>
  <si>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</si>
  <si>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AGENCY FUNDS</t>
  </si>
  <si>
    <t>10/91</t>
  </si>
  <si>
    <t>10/11</t>
  </si>
  <si>
    <t>06/02</t>
  </si>
  <si>
    <t>07/12</t>
  </si>
  <si>
    <t>Audit Adjustment - Receivables</t>
  </si>
  <si>
    <t>Audit Adjustment - Payables</t>
  </si>
  <si>
    <t>Souhegan Coop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</si>
</sst>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1BC17-86C3-4B1B-B043-BBAEA4A326EF}">
  <sheetPr transitionEvaluation="1" transitionEntry="1" codeName="Sheet1">
    <tabColor indexed="56"/>
  </sheetPr>
  <dimension ref="A1:AQ666"/>
  <sheetViews>
    <sheetView tabSelected="1" zoomScaleNormal="100" workbookViewId="0">
      <pane xSplit="5" ySplit="3" topLeftCell="F600" activePane="bottomRight" state="frozen"/>
      <selection pane="topRight" activeCell="F1" sqref="F1"/>
      <selection pane="bottomLeft" activeCell="A4" sqref="A4"/>
      <selection pane="bottomRight" activeCell="H656" sqref="H65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901</v>
      </c>
      <c r="B2" s="21">
        <v>493</v>
      </c>
      <c r="C2" s="21">
        <v>0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552260.26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79783.78</v>
      </c>
      <c r="G12" s="18"/>
      <c r="H12" s="18"/>
      <c r="I12" s="18"/>
      <c r="J12" s="67">
        <f>SUM(I433)</f>
        <v>5725.66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9785.76</v>
      </c>
      <c r="G13" s="18">
        <v>15020.17</v>
      </c>
      <c r="H13" s="18">
        <v>92125.69</v>
      </c>
      <c r="I13" s="18"/>
      <c r="J13" s="67">
        <f>SUM(I434)</f>
        <v>373631.35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9263.2099999999991</v>
      </c>
      <c r="G14" s="18">
        <v>663.25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5601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656694.01</v>
      </c>
      <c r="G19" s="41">
        <f>SUM(G9:G18)</f>
        <v>15683.42</v>
      </c>
      <c r="H19" s="41">
        <f>SUM(H9:H18)</f>
        <v>92125.69</v>
      </c>
      <c r="I19" s="41">
        <f>SUM(I9:I18)</f>
        <v>0</v>
      </c>
      <c r="J19" s="41">
        <f>SUM(J9:J18)</f>
        <v>379357.00999999995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>
        <v>9500.07</v>
      </c>
      <c r="H23" s="18">
        <v>75645.81</v>
      </c>
      <c r="I23" s="18"/>
      <c r="J23" s="67">
        <f>SUM(I440)</f>
        <v>363.56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4829.78</v>
      </c>
      <c r="G24" s="18">
        <v>5705.52</v>
      </c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2419.5100000000002</v>
      </c>
      <c r="G25" s="18">
        <v>242.83</v>
      </c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7491.62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3606.6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2525.52</v>
      </c>
      <c r="G31" s="18">
        <v>235</v>
      </c>
      <c r="H31" s="18">
        <v>16479.88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>
        <v>64.19</v>
      </c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20937.219999999998</v>
      </c>
      <c r="G33" s="41">
        <f>SUM(G23:G32)</f>
        <v>15683.42</v>
      </c>
      <c r="H33" s="41">
        <f>SUM(H23:H32)</f>
        <v>92125.69</v>
      </c>
      <c r="I33" s="41">
        <f>SUM(I23:I32)</f>
        <v>0</v>
      </c>
      <c r="J33" s="41">
        <f>SUM(J23:J32)</f>
        <v>363.56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130637.7</v>
      </c>
      <c r="G37" s="18">
        <v>300.43</v>
      </c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65000</v>
      </c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2535.04</v>
      </c>
      <c r="G41" s="18">
        <v>-300.43</v>
      </c>
      <c r="H41" s="18"/>
      <c r="I41" s="18"/>
      <c r="J41" s="13">
        <f>SUM(I449)</f>
        <v>378993.45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437584.05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635756.79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378993.45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656694.01</v>
      </c>
      <c r="G44" s="41">
        <f>G43+G33</f>
        <v>15683.42</v>
      </c>
      <c r="H44" s="41">
        <f>H43+H33</f>
        <v>92125.69</v>
      </c>
      <c r="I44" s="41">
        <f>I43+I33</f>
        <v>0</v>
      </c>
      <c r="J44" s="41">
        <f>J43+J33</f>
        <v>379357.01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f>10643962+1874326</f>
        <v>12518288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12518288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28660.93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>
        <v>16020</v>
      </c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28478.95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73159.88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5812.97</v>
      </c>
      <c r="G88" s="18"/>
      <c r="H88" s="18"/>
      <c r="I88" s="18"/>
      <c r="J88" s="18">
        <f>5214.89+23663.42</f>
        <v>28878.309999999998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383780.82+1019.27+10966.71</f>
        <v>395766.80000000005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129237.38</v>
      </c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8761.5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11574.48</v>
      </c>
      <c r="G94" s="18"/>
      <c r="H94" s="18">
        <f>2121.28+974.6+789.2+2000</f>
        <v>5885.08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175.84</v>
      </c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2716.66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5201.25</v>
      </c>
      <c r="G102" s="18">
        <v>3784.11</v>
      </c>
      <c r="H102" s="18"/>
      <c r="I102" s="18"/>
      <c r="J102" s="18">
        <v>13210.7</v>
      </c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163480.08000000002</v>
      </c>
      <c r="G103" s="41">
        <f>SUM(G88:G102)</f>
        <v>399550.91000000003</v>
      </c>
      <c r="H103" s="41">
        <f>SUM(H88:H102)</f>
        <v>5885.08</v>
      </c>
      <c r="I103" s="41">
        <f>SUM(I88:I102)</f>
        <v>0</v>
      </c>
      <c r="J103" s="41">
        <f>SUM(J88:J102)</f>
        <v>42089.009999999995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12754927.960000001</v>
      </c>
      <c r="G104" s="41">
        <f>G52+G103</f>
        <v>399550.91000000003</v>
      </c>
      <c r="H104" s="41">
        <f>H52+H71+H86+H103</f>
        <v>5885.08</v>
      </c>
      <c r="I104" s="41">
        <f>I52+I103</f>
        <v>0</v>
      </c>
      <c r="J104" s="41">
        <f>J52+J103</f>
        <v>42089.009999999995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2012452.9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f>1349060+215930</f>
        <v>1564990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72991.100000000006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3650434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311580.18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645044.91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1159.52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1124.77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26550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984334.6100000001</v>
      </c>
      <c r="G128" s="41">
        <f>SUM(G115:G127)</f>
        <v>1124.77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4634768.6100000003</v>
      </c>
      <c r="G132" s="41">
        <f>G113+SUM(G128:G129)</f>
        <v>1124.77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12970.93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10000.23+14039.7+4466.09</f>
        <v>28506.02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f>25763.66+8902.79</f>
        <v>34666.449999999997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f>6040.15+170752.21+63792.51</f>
        <v>240584.87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159911.67999999999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159911.67999999999</v>
      </c>
      <c r="G154" s="41">
        <f>SUM(G142:G153)</f>
        <v>34666.449999999997</v>
      </c>
      <c r="H154" s="41">
        <f>SUM(H142:H153)</f>
        <v>282061.82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159911.67999999999</v>
      </c>
      <c r="G161" s="41">
        <f>G139+G154+SUM(G155:G160)</f>
        <v>34666.449999999997</v>
      </c>
      <c r="H161" s="41">
        <f>H139+H154+SUM(H155:H160)</f>
        <v>282061.82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6090.5</v>
      </c>
      <c r="H171" s="18"/>
      <c r="I171" s="18"/>
      <c r="J171" s="18">
        <v>75000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6090.5</v>
      </c>
      <c r="H175" s="41">
        <f>SUM(H171:H174)</f>
        <v>0</v>
      </c>
      <c r="I175" s="41">
        <f>SUM(I171:I174)</f>
        <v>0</v>
      </c>
      <c r="J175" s="41">
        <f>SUM(J171:J174)</f>
        <v>75000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6090.5</v>
      </c>
      <c r="H184" s="41">
        <f>+H175+SUM(H180:H183)</f>
        <v>0</v>
      </c>
      <c r="I184" s="41">
        <f>I169+I175+SUM(I180:I183)</f>
        <v>0</v>
      </c>
      <c r="J184" s="41">
        <f>J175</f>
        <v>75000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17549608.25</v>
      </c>
      <c r="G185" s="47">
        <f>G104+G132+G161+G184</f>
        <v>441432.63000000006</v>
      </c>
      <c r="H185" s="47">
        <f>H104+H132+H161+H184</f>
        <v>287946.90000000002</v>
      </c>
      <c r="I185" s="47">
        <f>I104+I132+I161+I184</f>
        <v>0</v>
      </c>
      <c r="J185" s="47">
        <f>J104+J132+J184</f>
        <v>117089.01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/>
      <c r="G189" s="18"/>
      <c r="H189" s="18"/>
      <c r="I189" s="18"/>
      <c r="J189" s="18"/>
      <c r="K189" s="18"/>
      <c r="L189" s="19">
        <f>SUM(F189:K189)</f>
        <v>0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/>
      <c r="G190" s="18"/>
      <c r="H190" s="18"/>
      <c r="I190" s="18"/>
      <c r="J190" s="18"/>
      <c r="K190" s="18"/>
      <c r="L190" s="19">
        <f>SUM(F190:K190)</f>
        <v>0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/>
      <c r="I192" s="18"/>
      <c r="J192" s="18"/>
      <c r="K192" s="18"/>
      <c r="L192" s="19">
        <f>SUM(F192:K192)</f>
        <v>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/>
      <c r="G194" s="18"/>
      <c r="H194" s="18"/>
      <c r="I194" s="18"/>
      <c r="J194" s="18"/>
      <c r="K194" s="18"/>
      <c r="L194" s="19">
        <f t="shared" ref="L194:L200" si="0">SUM(F194:K194)</f>
        <v>0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/>
      <c r="G195" s="18"/>
      <c r="H195" s="18"/>
      <c r="I195" s="18"/>
      <c r="J195" s="18"/>
      <c r="K195" s="18"/>
      <c r="L195" s="19">
        <f t="shared" si="0"/>
        <v>0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/>
      <c r="G196" s="18"/>
      <c r="H196" s="18"/>
      <c r="I196" s="18"/>
      <c r="J196" s="18"/>
      <c r="K196" s="18"/>
      <c r="L196" s="19">
        <f t="shared" si="0"/>
        <v>0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/>
      <c r="G197" s="18"/>
      <c r="H197" s="18"/>
      <c r="I197" s="18"/>
      <c r="J197" s="18"/>
      <c r="K197" s="18"/>
      <c r="L197" s="19">
        <f t="shared" si="0"/>
        <v>0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/>
      <c r="G199" s="18"/>
      <c r="H199" s="18"/>
      <c r="I199" s="18"/>
      <c r="J199" s="18"/>
      <c r="K199" s="18"/>
      <c r="L199" s="19">
        <f t="shared" si="0"/>
        <v>0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/>
      <c r="I200" s="18"/>
      <c r="J200" s="18"/>
      <c r="K200" s="18"/>
      <c r="L200" s="19">
        <f t="shared" si="0"/>
        <v>0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0</v>
      </c>
      <c r="G203" s="41">
        <f t="shared" si="1"/>
        <v>0</v>
      </c>
      <c r="H203" s="41">
        <f t="shared" si="1"/>
        <v>0</v>
      </c>
      <c r="I203" s="41">
        <f t="shared" si="1"/>
        <v>0</v>
      </c>
      <c r="J203" s="41">
        <f t="shared" si="1"/>
        <v>0</v>
      </c>
      <c r="K203" s="41">
        <f t="shared" si="1"/>
        <v>0</v>
      </c>
      <c r="L203" s="41">
        <f t="shared" si="1"/>
        <v>0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5202904.22</v>
      </c>
      <c r="G225" s="18">
        <f>1602498.75+129</f>
        <v>1602627.75</v>
      </c>
      <c r="H225" s="18">
        <f>12230.13+50+9785.14</f>
        <v>22065.269999999997</v>
      </c>
      <c r="I225" s="18">
        <f>144898.97+12054.22</f>
        <v>156953.19</v>
      </c>
      <c r="J225" s="18">
        <f>259407.27+1254.37</f>
        <v>260661.63999999998</v>
      </c>
      <c r="K225" s="18">
        <v>1285</v>
      </c>
      <c r="L225" s="19">
        <f>SUM(F225:K225)</f>
        <v>7246497.0699999994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1690758.4</v>
      </c>
      <c r="G226" s="18">
        <v>628215.63</v>
      </c>
      <c r="H226" s="18">
        <f>442785.53+200+678851.48+25231.9+8314.32+2373.64</f>
        <v>1157756.8699999999</v>
      </c>
      <c r="I226" s="18">
        <v>11025.54</v>
      </c>
      <c r="J226" s="18">
        <v>9306.69</v>
      </c>
      <c r="K226" s="18">
        <v>780</v>
      </c>
      <c r="L226" s="19">
        <f>SUM(F226:K226)</f>
        <v>3497843.1299999994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173763.03</v>
      </c>
      <c r="G228" s="18">
        <v>17396.07</v>
      </c>
      <c r="H228" s="18">
        <v>80349.55</v>
      </c>
      <c r="I228" s="18">
        <f>103635.05+17093.34</f>
        <v>120728.39</v>
      </c>
      <c r="J228" s="18">
        <v>2219</v>
      </c>
      <c r="K228" s="18">
        <v>16052.5</v>
      </c>
      <c r="L228" s="19">
        <f>SUM(F228:K228)</f>
        <v>410508.54000000004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643946.52</v>
      </c>
      <c r="G230" s="18">
        <v>208703.53</v>
      </c>
      <c r="H230" s="18">
        <f>93787.62+2085</f>
        <v>95872.62</v>
      </c>
      <c r="I230" s="18">
        <f>11229.51+4344.3</f>
        <v>15573.810000000001</v>
      </c>
      <c r="J230" s="18"/>
      <c r="K230" s="18"/>
      <c r="L230" s="19">
        <f t="shared" ref="L230:L236" si="4">SUM(F230:K230)</f>
        <v>964096.4800000001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246957.19</v>
      </c>
      <c r="G231" s="18">
        <f>166692.81+7485.43</f>
        <v>174178.24</v>
      </c>
      <c r="H231" s="18">
        <f>2242.2+180.95+2670</f>
        <v>5093.1499999999996</v>
      </c>
      <c r="I231" s="18">
        <f>58600.67+799</f>
        <v>59399.67</v>
      </c>
      <c r="J231" s="18">
        <f>3051.21+482.94</f>
        <v>3534.15</v>
      </c>
      <c r="K231" s="18">
        <v>300</v>
      </c>
      <c r="L231" s="19">
        <f t="shared" si="4"/>
        <v>489462.4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7792.26</v>
      </c>
      <c r="G232" s="18">
        <v>526.84</v>
      </c>
      <c r="H232" s="18">
        <f>689396.28+7319.34+8679.28</f>
        <v>705394.9</v>
      </c>
      <c r="I232" s="18">
        <f>492+150</f>
        <v>642</v>
      </c>
      <c r="J232" s="18">
        <v>0</v>
      </c>
      <c r="K232" s="18">
        <v>5416.88</v>
      </c>
      <c r="L232" s="19">
        <f t="shared" si="4"/>
        <v>719772.88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490548.82</v>
      </c>
      <c r="G233" s="18">
        <v>155603.56</v>
      </c>
      <c r="H233" s="18">
        <f>6050.04+22271.19</f>
        <v>28321.23</v>
      </c>
      <c r="I233" s="18">
        <f>15313.9+987.95</f>
        <v>16301.85</v>
      </c>
      <c r="J233" s="18">
        <v>74923.929999999993</v>
      </c>
      <c r="K233" s="18">
        <v>12763.08</v>
      </c>
      <c r="L233" s="19">
        <f t="shared" si="4"/>
        <v>778462.46999999986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>
        <v>2835</v>
      </c>
      <c r="I234" s="18"/>
      <c r="J234" s="18"/>
      <c r="K234" s="18"/>
      <c r="L234" s="19">
        <f t="shared" si="4"/>
        <v>2835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438585.17</v>
      </c>
      <c r="G235" s="18">
        <v>162628.43</v>
      </c>
      <c r="H235" s="18">
        <f>171238.25+51485.57+87171.97</f>
        <v>309895.79000000004</v>
      </c>
      <c r="I235" s="18">
        <f>339392.19+1856.16</f>
        <v>341248.35</v>
      </c>
      <c r="J235" s="18">
        <v>10494.84</v>
      </c>
      <c r="K235" s="18"/>
      <c r="L235" s="19">
        <f t="shared" si="4"/>
        <v>1262852.58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f>470780.07+1968.75</f>
        <v>472748.82</v>
      </c>
      <c r="I236" s="18"/>
      <c r="J236" s="18"/>
      <c r="K236" s="18"/>
      <c r="L236" s="19">
        <f t="shared" si="4"/>
        <v>472748.82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v>164176.16</v>
      </c>
      <c r="G237" s="18">
        <v>36296.080000000002</v>
      </c>
      <c r="H237" s="18">
        <v>26179.57</v>
      </c>
      <c r="I237" s="18">
        <f>22809.59+253.38</f>
        <v>23062.97</v>
      </c>
      <c r="J237" s="18">
        <f>44571.5+2090.03</f>
        <v>46661.53</v>
      </c>
      <c r="K237" s="18"/>
      <c r="L237" s="19">
        <f>SUM(F237:K237)</f>
        <v>296376.31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9059431.7699999996</v>
      </c>
      <c r="G239" s="41">
        <f t="shared" si="5"/>
        <v>2986176.13</v>
      </c>
      <c r="H239" s="41">
        <f t="shared" si="5"/>
        <v>2906512.7699999996</v>
      </c>
      <c r="I239" s="41">
        <f t="shared" si="5"/>
        <v>744935.7699999999</v>
      </c>
      <c r="J239" s="41">
        <f t="shared" si="5"/>
        <v>407801.78</v>
      </c>
      <c r="K239" s="41">
        <f t="shared" si="5"/>
        <v>36597.46</v>
      </c>
      <c r="L239" s="41">
        <f t="shared" si="5"/>
        <v>16141455.680000002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>
        <v>13500</v>
      </c>
      <c r="G243" s="18">
        <v>1111.53</v>
      </c>
      <c r="H243" s="18"/>
      <c r="I243" s="18"/>
      <c r="J243" s="18"/>
      <c r="K243" s="18"/>
      <c r="L243" s="19">
        <f t="shared" si="6"/>
        <v>14611.53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13500</v>
      </c>
      <c r="G248" s="41">
        <f t="shared" si="7"/>
        <v>1111.53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14611.53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9072931.7699999996</v>
      </c>
      <c r="G249" s="41">
        <f t="shared" si="8"/>
        <v>2987287.6599999997</v>
      </c>
      <c r="H249" s="41">
        <f t="shared" si="8"/>
        <v>2906512.7699999996</v>
      </c>
      <c r="I249" s="41">
        <f t="shared" si="8"/>
        <v>744935.7699999999</v>
      </c>
      <c r="J249" s="41">
        <f t="shared" si="8"/>
        <v>407801.78</v>
      </c>
      <c r="K249" s="41">
        <f t="shared" si="8"/>
        <v>36597.46</v>
      </c>
      <c r="L249" s="41">
        <f t="shared" si="8"/>
        <v>16156067.210000001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f>692670</f>
        <v>692670</v>
      </c>
      <c r="L252" s="19">
        <f>SUM(F252:K252)</f>
        <v>692670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444589.72</v>
      </c>
      <c r="L253" s="19">
        <f>SUM(F253:K253)</f>
        <v>444589.72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6090.5</v>
      </c>
      <c r="L255" s="19">
        <f>SUM(F255:K255)</f>
        <v>6090.5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75000</v>
      </c>
      <c r="L258" s="19">
        <f t="shared" si="9"/>
        <v>75000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1218350.22</v>
      </c>
      <c r="L262" s="41">
        <f t="shared" si="9"/>
        <v>1218350.22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9072931.7699999996</v>
      </c>
      <c r="G263" s="42">
        <f t="shared" si="11"/>
        <v>2987287.6599999997</v>
      </c>
      <c r="H263" s="42">
        <f t="shared" si="11"/>
        <v>2906512.7699999996</v>
      </c>
      <c r="I263" s="42">
        <f t="shared" si="11"/>
        <v>744935.7699999999</v>
      </c>
      <c r="J263" s="42">
        <f t="shared" si="11"/>
        <v>407801.78</v>
      </c>
      <c r="K263" s="42">
        <f t="shared" si="11"/>
        <v>1254947.68</v>
      </c>
      <c r="L263" s="42">
        <f t="shared" si="11"/>
        <v>17374417.43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0</v>
      </c>
      <c r="I282" s="42">
        <f t="shared" si="13"/>
        <v>0</v>
      </c>
      <c r="J282" s="42">
        <f t="shared" si="13"/>
        <v>0</v>
      </c>
      <c r="K282" s="42">
        <f t="shared" si="13"/>
        <v>0</v>
      </c>
      <c r="L282" s="41">
        <f t="shared" si="13"/>
        <v>0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f>2461.5+16541.57</f>
        <v>19003.07</v>
      </c>
      <c r="G306" s="18">
        <f>202.64+1970.17</f>
        <v>2172.81</v>
      </c>
      <c r="H306" s="18"/>
      <c r="I306" s="18">
        <f>4142+6345.67</f>
        <v>10487.67</v>
      </c>
      <c r="J306" s="18"/>
      <c r="K306" s="18"/>
      <c r="L306" s="19">
        <f>SUM(F306:K306)</f>
        <v>31663.550000000003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125187.71</v>
      </c>
      <c r="G307" s="18">
        <v>18154.27</v>
      </c>
      <c r="H307" s="18">
        <f>33280.9+2308.4</f>
        <v>35589.300000000003</v>
      </c>
      <c r="I307" s="18">
        <v>14762.64</v>
      </c>
      <c r="J307" s="18">
        <v>7246.22</v>
      </c>
      <c r="K307" s="18"/>
      <c r="L307" s="19">
        <f>SUM(F307:K307)</f>
        <v>200940.14000000004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7553.15</v>
      </c>
      <c r="G311" s="18">
        <v>1003.6</v>
      </c>
      <c r="H311" s="18">
        <f>7850+226.87</f>
        <v>8076.87</v>
      </c>
      <c r="I311" s="18">
        <v>385.94</v>
      </c>
      <c r="J311" s="18"/>
      <c r="K311" s="18"/>
      <c r="L311" s="19">
        <f t="shared" ref="L311:L317" si="16">SUM(F311:K311)</f>
        <v>17019.559999999998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875</v>
      </c>
      <c r="G312" s="18">
        <v>119.15</v>
      </c>
      <c r="H312" s="18">
        <f>24727.52+9953.73+1400</f>
        <v>36081.25</v>
      </c>
      <c r="I312" s="18">
        <v>698.25</v>
      </c>
      <c r="J312" s="18"/>
      <c r="K312" s="18"/>
      <c r="L312" s="19">
        <f t="shared" si="16"/>
        <v>37773.65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>
        <v>550</v>
      </c>
      <c r="I314" s="18"/>
      <c r="J314" s="18"/>
      <c r="K314" s="18"/>
      <c r="L314" s="19">
        <f t="shared" si="16"/>
        <v>550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152618.93</v>
      </c>
      <c r="G320" s="42">
        <f t="shared" si="17"/>
        <v>21449.83</v>
      </c>
      <c r="H320" s="42">
        <f t="shared" si="17"/>
        <v>80297.420000000013</v>
      </c>
      <c r="I320" s="42">
        <f t="shared" si="17"/>
        <v>26334.499999999996</v>
      </c>
      <c r="J320" s="42">
        <f t="shared" si="17"/>
        <v>7246.22</v>
      </c>
      <c r="K320" s="42">
        <f t="shared" si="17"/>
        <v>0</v>
      </c>
      <c r="L320" s="41">
        <f t="shared" si="17"/>
        <v>287946.90000000008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152618.93</v>
      </c>
      <c r="G330" s="41">
        <f t="shared" si="20"/>
        <v>21449.83</v>
      </c>
      <c r="H330" s="41">
        <f t="shared" si="20"/>
        <v>80297.420000000013</v>
      </c>
      <c r="I330" s="41">
        <f t="shared" si="20"/>
        <v>26334.499999999996</v>
      </c>
      <c r="J330" s="41">
        <f t="shared" si="20"/>
        <v>7246.22</v>
      </c>
      <c r="K330" s="41">
        <f t="shared" si="20"/>
        <v>0</v>
      </c>
      <c r="L330" s="41">
        <f t="shared" si="20"/>
        <v>287946.90000000008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152618.93</v>
      </c>
      <c r="G344" s="41">
        <f>G330</f>
        <v>21449.83</v>
      </c>
      <c r="H344" s="41">
        <f>H330</f>
        <v>80297.420000000013</v>
      </c>
      <c r="I344" s="41">
        <f>I330</f>
        <v>26334.499999999996</v>
      </c>
      <c r="J344" s="41">
        <f>J330</f>
        <v>7246.22</v>
      </c>
      <c r="K344" s="47">
        <f>K330+K343</f>
        <v>0</v>
      </c>
      <c r="L344" s="41">
        <f>L330+L343</f>
        <v>287946.90000000008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/>
      <c r="I350" s="18"/>
      <c r="J350" s="18"/>
      <c r="K350" s="18"/>
      <c r="L350" s="13">
        <f>SUM(F350:K350)</f>
        <v>0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180934.51</v>
      </c>
      <c r="G352" s="18">
        <v>87006.19</v>
      </c>
      <c r="H352" s="18">
        <f>540.19+1460.9+229.29</f>
        <v>2230.38</v>
      </c>
      <c r="I352" s="18">
        <f>231.99+170439.22</f>
        <v>170671.21</v>
      </c>
      <c r="J352" s="18"/>
      <c r="K352" s="18"/>
      <c r="L352" s="19">
        <f>SUM(F352:K352)</f>
        <v>440842.29000000004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180934.51</v>
      </c>
      <c r="G354" s="47">
        <f t="shared" si="22"/>
        <v>87006.19</v>
      </c>
      <c r="H354" s="47">
        <f t="shared" si="22"/>
        <v>2230.38</v>
      </c>
      <c r="I354" s="47">
        <f t="shared" si="22"/>
        <v>170671.21</v>
      </c>
      <c r="J354" s="47">
        <f t="shared" si="22"/>
        <v>0</v>
      </c>
      <c r="K354" s="47">
        <f t="shared" si="22"/>
        <v>0</v>
      </c>
      <c r="L354" s="47">
        <f t="shared" si="22"/>
        <v>440842.29000000004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>
        <f>146628.49+9913.3</f>
        <v>156541.78999999998</v>
      </c>
      <c r="I359" s="56">
        <f>SUM(F359:H359)</f>
        <v>156541.78999999998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>
        <f>207.41+11847.41+1016.12+94.16+732.33+231.99</f>
        <v>14129.42</v>
      </c>
      <c r="I360" s="56">
        <f>SUM(F360:H360)</f>
        <v>14129.42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0</v>
      </c>
      <c r="G361" s="47">
        <f>SUM(G359:G360)</f>
        <v>0</v>
      </c>
      <c r="H361" s="47">
        <f>SUM(H359:H360)</f>
        <v>170671.21</v>
      </c>
      <c r="I361" s="47">
        <f>SUM(I359:I360)</f>
        <v>170671.21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50000</v>
      </c>
      <c r="H388" s="18">
        <v>134.79</v>
      </c>
      <c r="I388" s="18"/>
      <c r="J388" s="24" t="s">
        <v>312</v>
      </c>
      <c r="K388" s="24" t="s">
        <v>312</v>
      </c>
      <c r="L388" s="56">
        <f t="shared" si="26"/>
        <v>50134.79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28670.959999999999</v>
      </c>
      <c r="I389" s="18"/>
      <c r="J389" s="24" t="s">
        <v>312</v>
      </c>
      <c r="K389" s="24" t="s">
        <v>312</v>
      </c>
      <c r="L389" s="56">
        <f t="shared" si="26"/>
        <v>28670.959999999999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>
        <v>25000</v>
      </c>
      <c r="H392" s="18">
        <v>72.56</v>
      </c>
      <c r="I392" s="18"/>
      <c r="J392" s="24" t="s">
        <v>312</v>
      </c>
      <c r="K392" s="24" t="s">
        <v>312</v>
      </c>
      <c r="L392" s="56">
        <f t="shared" si="26"/>
        <v>25072.560000000001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75000</v>
      </c>
      <c r="H393" s="47">
        <f>SUM(H387:H392)</f>
        <v>28878.31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103878.31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 t="s">
        <v>894</v>
      </c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>
        <v>13210.7</v>
      </c>
      <c r="J395" s="24" t="s">
        <v>312</v>
      </c>
      <c r="K395" s="24" t="s">
        <v>312</v>
      </c>
      <c r="L395" s="56">
        <f>SUM(F395:K395)</f>
        <v>13210.7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13210.7</v>
      </c>
      <c r="J399" s="49" t="s">
        <v>312</v>
      </c>
      <c r="K399" s="49" t="s">
        <v>312</v>
      </c>
      <c r="L399" s="47">
        <f>SUM(L395:L398)</f>
        <v>13210.7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75000</v>
      </c>
      <c r="H400" s="47">
        <f>H385+H393+H399</f>
        <v>28878.31</v>
      </c>
      <c r="I400" s="47">
        <f>I385+I393+I399</f>
        <v>13210.7</v>
      </c>
      <c r="J400" s="24" t="s">
        <v>312</v>
      </c>
      <c r="K400" s="24" t="s">
        <v>312</v>
      </c>
      <c r="L400" s="47">
        <f>L385+L393+L399</f>
        <v>117089.01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>
        <f>1862.07</f>
        <v>1862.07</v>
      </c>
      <c r="I414" s="18"/>
      <c r="J414" s="18"/>
      <c r="K414" s="18"/>
      <c r="L414" s="56">
        <f t="shared" si="29"/>
        <v>1862.07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1862.07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1862.07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 t="s">
        <v>894</v>
      </c>
      <c r="B421" s="6">
        <v>17</v>
      </c>
      <c r="C421" s="6">
        <v>15</v>
      </c>
      <c r="D421" s="2" t="s">
        <v>456</v>
      </c>
      <c r="E421" s="6"/>
      <c r="F421" s="18">
        <v>8631</v>
      </c>
      <c r="G421" s="18">
        <v>1154.76</v>
      </c>
      <c r="H421" s="18"/>
      <c r="I421" s="18">
        <v>351.24</v>
      </c>
      <c r="J421" s="18">
        <v>0</v>
      </c>
      <c r="K421" s="18">
        <v>1215.74</v>
      </c>
      <c r="L421" s="56">
        <f>SUM(F421:K421)</f>
        <v>11352.74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8631</v>
      </c>
      <c r="G425" s="47">
        <f t="shared" si="31"/>
        <v>1154.76</v>
      </c>
      <c r="H425" s="47">
        <f t="shared" si="31"/>
        <v>0</v>
      </c>
      <c r="I425" s="47">
        <f t="shared" si="31"/>
        <v>351.24</v>
      </c>
      <c r="J425" s="47">
        <f t="shared" si="31"/>
        <v>0</v>
      </c>
      <c r="K425" s="47">
        <f t="shared" si="31"/>
        <v>1215.74</v>
      </c>
      <c r="L425" s="47">
        <f t="shared" si="31"/>
        <v>11352.74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8631</v>
      </c>
      <c r="G426" s="47">
        <f t="shared" si="32"/>
        <v>1154.76</v>
      </c>
      <c r="H426" s="47">
        <f t="shared" si="32"/>
        <v>1862.07</v>
      </c>
      <c r="I426" s="47">
        <f t="shared" si="32"/>
        <v>351.24</v>
      </c>
      <c r="J426" s="47">
        <f t="shared" si="32"/>
        <v>0</v>
      </c>
      <c r="K426" s="47">
        <f t="shared" si="32"/>
        <v>1215.74</v>
      </c>
      <c r="L426" s="47">
        <f t="shared" si="32"/>
        <v>13214.81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>
        <v>5725.66</v>
      </c>
      <c r="H433" s="18"/>
      <c r="I433" s="56">
        <f t="shared" si="33"/>
        <v>5725.66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>
        <f>298480.69+150.66+75000</f>
        <v>373631.35</v>
      </c>
      <c r="H434" s="18"/>
      <c r="I434" s="56">
        <f t="shared" si="33"/>
        <v>373631.35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379357.00999999995</v>
      </c>
      <c r="H438" s="13">
        <f>SUM(H431:H437)</f>
        <v>0</v>
      </c>
      <c r="I438" s="13">
        <f>SUM(I431:I437)</f>
        <v>379357.00999999995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>
        <v>363.56</v>
      </c>
      <c r="H440" s="18"/>
      <c r="I440" s="56">
        <f>SUM(F440:H440)</f>
        <v>363.56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363.56</v>
      </c>
      <c r="H444" s="72">
        <f>SUM(H440:H443)</f>
        <v>0</v>
      </c>
      <c r="I444" s="72">
        <f>SUM(I440:I443)</f>
        <v>363.56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f>303993.45+75000</f>
        <v>378993.45</v>
      </c>
      <c r="H449" s="18"/>
      <c r="I449" s="56">
        <f>SUM(F449:H449)</f>
        <v>378993.45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378993.45</v>
      </c>
      <c r="H450" s="83">
        <f>SUM(H446:H449)</f>
        <v>0</v>
      </c>
      <c r="I450" s="83">
        <f>SUM(I446:I449)</f>
        <v>378993.45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379357.01</v>
      </c>
      <c r="H451" s="42">
        <f>H444+H450</f>
        <v>0</v>
      </c>
      <c r="I451" s="42">
        <f>I444+I450</f>
        <v>379357.01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488258.44</v>
      </c>
      <c r="G455" s="18">
        <v>-590.34</v>
      </c>
      <c r="H455" s="18">
        <v>0</v>
      </c>
      <c r="I455" s="18">
        <v>0</v>
      </c>
      <c r="J455" s="18">
        <v>275119.25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17549608.25</f>
        <v>17549608.25</v>
      </c>
      <c r="G458" s="18">
        <v>441432.63</v>
      </c>
      <c r="H458" s="18">
        <v>287946.90000000002</v>
      </c>
      <c r="I458" s="18">
        <v>0</v>
      </c>
      <c r="J458" s="18">
        <f>28878.31+13210.7+75000</f>
        <v>117089.01000000001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>
        <v>2733</v>
      </c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17552341.25</v>
      </c>
      <c r="G460" s="53">
        <f>SUM(G458:G459)</f>
        <v>441432.63</v>
      </c>
      <c r="H460" s="53">
        <f>SUM(H458:H459)</f>
        <v>287946.90000000002</v>
      </c>
      <c r="I460" s="53">
        <f>SUM(I458:I459)</f>
        <v>0</v>
      </c>
      <c r="J460" s="53">
        <f>SUM(J458:J459)</f>
        <v>117089.01000000001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17191697.45+180346.34+2373.64</f>
        <v>17374417.43</v>
      </c>
      <c r="G462" s="18">
        <f>231.99+440610.3</f>
        <v>440842.29</v>
      </c>
      <c r="H462" s="18">
        <v>287946.90000000002</v>
      </c>
      <c r="I462" s="18"/>
      <c r="J462" s="18">
        <f>1862.07+11352.74</f>
        <v>13214.81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>
        <v>30425.47</v>
      </c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17404842.899999999</v>
      </c>
      <c r="G464" s="53">
        <f>SUM(G462:G463)</f>
        <v>440842.29</v>
      </c>
      <c r="H464" s="53">
        <f>SUM(H462:H463)</f>
        <v>287946.90000000002</v>
      </c>
      <c r="I464" s="53">
        <f>SUM(I462:I463)</f>
        <v>0</v>
      </c>
      <c r="J464" s="53">
        <f>SUM(J462:J463)</f>
        <v>13214.81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635756.79000000283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378993.45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 t="s">
        <v>899</v>
      </c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 t="s">
        <v>900</v>
      </c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>
        <v>10</v>
      </c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895</v>
      </c>
      <c r="G481" s="155" t="s">
        <v>897</v>
      </c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896</v>
      </c>
      <c r="G482" s="155" t="s">
        <v>898</v>
      </c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12146508.15</v>
      </c>
      <c r="G483" s="18">
        <v>5800000</v>
      </c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7.0000000000000007E-2</v>
      </c>
      <c r="G484" s="18">
        <v>0.05</v>
      </c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205515.45</v>
      </c>
      <c r="G485" s="18">
        <v>1740000</v>
      </c>
      <c r="H485" s="18"/>
      <c r="I485" s="18"/>
      <c r="J485" s="18"/>
      <c r="K485" s="53">
        <f>SUM(F485:J485)</f>
        <v>1945515.45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112670</v>
      </c>
      <c r="G487" s="18">
        <v>580000</v>
      </c>
      <c r="H487" s="18"/>
      <c r="I487" s="18"/>
      <c r="J487" s="18"/>
      <c r="K487" s="53">
        <f t="shared" si="34"/>
        <v>692670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92845.6</v>
      </c>
      <c r="G488" s="205">
        <v>1160000</v>
      </c>
      <c r="H488" s="205"/>
      <c r="I488" s="205"/>
      <c r="J488" s="205"/>
      <c r="K488" s="206">
        <f t="shared" si="34"/>
        <v>1252845.6000000001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337154.4</v>
      </c>
      <c r="G489" s="18">
        <v>57420</v>
      </c>
      <c r="H489" s="18"/>
      <c r="I489" s="18"/>
      <c r="J489" s="18"/>
      <c r="K489" s="53">
        <f t="shared" si="34"/>
        <v>394574.4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430000</v>
      </c>
      <c r="G490" s="42">
        <f>SUM(G488:G489)</f>
        <v>1217420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1647420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92845.6</v>
      </c>
      <c r="G491" s="205">
        <v>580000</v>
      </c>
      <c r="H491" s="205"/>
      <c r="I491" s="205"/>
      <c r="J491" s="205"/>
      <c r="K491" s="206">
        <f t="shared" si="34"/>
        <v>672845.6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337154.4</v>
      </c>
      <c r="G492" s="18">
        <f>28710+14355</f>
        <v>43065</v>
      </c>
      <c r="H492" s="18"/>
      <c r="I492" s="18"/>
      <c r="J492" s="18"/>
      <c r="K492" s="53">
        <f t="shared" si="34"/>
        <v>380219.4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430000</v>
      </c>
      <c r="G493" s="42">
        <f>SUM(G491:G492)</f>
        <v>623065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1053065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/>
      <c r="G511" s="18"/>
      <c r="H511" s="18"/>
      <c r="I511" s="18"/>
      <c r="J511" s="18"/>
      <c r="K511" s="18"/>
      <c r="L511" s="88">
        <f>SUM(F511:K511)</f>
        <v>0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1537376.77</v>
      </c>
      <c r="G513" s="18">
        <f>210617.87+319103.14+17466.67</f>
        <v>547187.68000000005</v>
      </c>
      <c r="H513" s="18">
        <v>883680.36</v>
      </c>
      <c r="I513" s="18">
        <f>4219.78+10664.69</f>
        <v>14884.470000000001</v>
      </c>
      <c r="J513" s="18">
        <v>1263.43</v>
      </c>
      <c r="K513" s="18"/>
      <c r="L513" s="88">
        <f>SUM(F513:K513)</f>
        <v>2984392.7100000004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1537376.77</v>
      </c>
      <c r="G514" s="108">
        <f t="shared" ref="G514:L514" si="35">SUM(G511:G513)</f>
        <v>547187.68000000005</v>
      </c>
      <c r="H514" s="108">
        <f t="shared" si="35"/>
        <v>883680.36</v>
      </c>
      <c r="I514" s="108">
        <f t="shared" si="35"/>
        <v>14884.470000000001</v>
      </c>
      <c r="J514" s="108">
        <f t="shared" si="35"/>
        <v>1263.43</v>
      </c>
      <c r="K514" s="108">
        <f t="shared" si="35"/>
        <v>0</v>
      </c>
      <c r="L514" s="89">
        <f t="shared" si="35"/>
        <v>2984392.7100000004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/>
      <c r="I516" s="18"/>
      <c r="J516" s="18"/>
      <c r="K516" s="18"/>
      <c r="L516" s="88">
        <f>SUM(F516:K516)</f>
        <v>0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f>94146.5+5948.77</f>
        <v>100095.27</v>
      </c>
      <c r="G518" s="18">
        <f>29467.77+687.6</f>
        <v>30155.37</v>
      </c>
      <c r="H518" s="18">
        <f>245571.57+15188.4+2308.4</f>
        <v>263068.37</v>
      </c>
      <c r="I518" s="18">
        <v>4097.95</v>
      </c>
      <c r="J518" s="18">
        <v>5982.79</v>
      </c>
      <c r="K518" s="18"/>
      <c r="L518" s="88">
        <f>SUM(F518:K518)</f>
        <v>403399.75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100095.27</v>
      </c>
      <c r="G519" s="89">
        <f t="shared" ref="G519:L519" si="36">SUM(G516:G518)</f>
        <v>30155.37</v>
      </c>
      <c r="H519" s="89">
        <f t="shared" si="36"/>
        <v>263068.37</v>
      </c>
      <c r="I519" s="89">
        <f t="shared" si="36"/>
        <v>4097.95</v>
      </c>
      <c r="J519" s="89">
        <f t="shared" si="36"/>
        <v>5982.79</v>
      </c>
      <c r="K519" s="89">
        <f t="shared" si="36"/>
        <v>0</v>
      </c>
      <c r="L519" s="89">
        <f t="shared" si="36"/>
        <v>403399.75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/>
      <c r="I521" s="18"/>
      <c r="J521" s="18"/>
      <c r="K521" s="18"/>
      <c r="L521" s="88">
        <f>SUM(F521:K521)</f>
        <v>0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178474.07</v>
      </c>
      <c r="G523" s="18">
        <f>58004.88+11021.97</f>
        <v>69026.849999999991</v>
      </c>
      <c r="H523" s="18">
        <f>44023.8+200+2373.64</f>
        <v>46597.440000000002</v>
      </c>
      <c r="I523" s="18">
        <f>5405.44+1400.32</f>
        <v>6805.7599999999993</v>
      </c>
      <c r="J523" s="18">
        <v>9306.69</v>
      </c>
      <c r="K523" s="18">
        <v>780</v>
      </c>
      <c r="L523" s="88">
        <f>SUM(F523:K523)</f>
        <v>310990.81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178474.07</v>
      </c>
      <c r="G524" s="89">
        <f t="shared" ref="G524:L524" si="37">SUM(G521:G523)</f>
        <v>69026.849999999991</v>
      </c>
      <c r="H524" s="89">
        <f t="shared" si="37"/>
        <v>46597.440000000002</v>
      </c>
      <c r="I524" s="89">
        <f t="shared" si="37"/>
        <v>6805.7599999999993</v>
      </c>
      <c r="J524" s="89">
        <f t="shared" si="37"/>
        <v>9306.69</v>
      </c>
      <c r="K524" s="89">
        <f t="shared" si="37"/>
        <v>780</v>
      </c>
      <c r="L524" s="89">
        <f t="shared" si="37"/>
        <v>310990.81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160672.45000000001</v>
      </c>
      <c r="I533" s="18"/>
      <c r="J533" s="18"/>
      <c r="K533" s="18"/>
      <c r="L533" s="88">
        <f>SUM(F533:K533)</f>
        <v>160672.45000000001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160672.45000000001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160672.45000000001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1815946.11</v>
      </c>
      <c r="G535" s="89">
        <f t="shared" ref="G535:L535" si="40">G514+G519+G524+G529+G534</f>
        <v>646369.9</v>
      </c>
      <c r="H535" s="89">
        <f t="shared" si="40"/>
        <v>1354018.6199999999</v>
      </c>
      <c r="I535" s="89">
        <f t="shared" si="40"/>
        <v>25788.18</v>
      </c>
      <c r="J535" s="89">
        <f t="shared" si="40"/>
        <v>16552.91</v>
      </c>
      <c r="K535" s="89">
        <f t="shared" si="40"/>
        <v>780</v>
      </c>
      <c r="L535" s="89">
        <f t="shared" si="40"/>
        <v>3859455.7200000007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0</v>
      </c>
      <c r="G539" s="87">
        <f>L516</f>
        <v>0</v>
      </c>
      <c r="H539" s="87">
        <f>L521</f>
        <v>0</v>
      </c>
      <c r="I539" s="87">
        <f>L526</f>
        <v>0</v>
      </c>
      <c r="J539" s="87">
        <f>L531</f>
        <v>0</v>
      </c>
      <c r="K539" s="87">
        <f>SUM(F539:J539)</f>
        <v>0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2984392.7100000004</v>
      </c>
      <c r="G541" s="87">
        <f>L518</f>
        <v>403399.75</v>
      </c>
      <c r="H541" s="87">
        <f>L523</f>
        <v>310990.81</v>
      </c>
      <c r="I541" s="87">
        <f>L528</f>
        <v>0</v>
      </c>
      <c r="J541" s="87">
        <f>L533</f>
        <v>160672.45000000001</v>
      </c>
      <c r="K541" s="87">
        <f>SUM(F541:J541)</f>
        <v>3859455.7200000007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2984392.7100000004</v>
      </c>
      <c r="G542" s="89">
        <f t="shared" si="41"/>
        <v>403399.75</v>
      </c>
      <c r="H542" s="89">
        <f t="shared" si="41"/>
        <v>310990.81</v>
      </c>
      <c r="I542" s="89">
        <f t="shared" si="41"/>
        <v>0</v>
      </c>
      <c r="J542" s="89">
        <f t="shared" si="41"/>
        <v>160672.45000000001</v>
      </c>
      <c r="K542" s="89">
        <f t="shared" si="41"/>
        <v>3859455.7200000007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>
        <f>678441.31+8314.32</f>
        <v>686755.63</v>
      </c>
      <c r="I572" s="87">
        <f t="shared" si="46"/>
        <v>686755.63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9299.5400000000009</v>
      </c>
      <c r="I574" s="87">
        <f t="shared" si="46"/>
        <v>9299.5400000000009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/>
      <c r="I581" s="18"/>
      <c r="J581" s="18">
        <f>195235.37</f>
        <v>195235.37</v>
      </c>
      <c r="K581" s="104">
        <f t="shared" ref="K581:K587" si="47">SUM(H581:J581)</f>
        <v>195235.37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/>
      <c r="I582" s="18"/>
      <c r="J582" s="18">
        <f>160672.45</f>
        <v>160672.45000000001</v>
      </c>
      <c r="K582" s="104">
        <f t="shared" si="47"/>
        <v>160672.45000000001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23042.720000000001</v>
      </c>
      <c r="K583" s="104">
        <f t="shared" si="47"/>
        <v>23042.720000000001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>
        <f>85829.53+1968.75</f>
        <v>87798.28</v>
      </c>
      <c r="K584" s="104">
        <f t="shared" si="47"/>
        <v>87798.28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>
        <v>6000</v>
      </c>
      <c r="K585" s="104">
        <f t="shared" si="47"/>
        <v>6000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0</v>
      </c>
      <c r="I588" s="108">
        <f>SUM(I581:I587)</f>
        <v>0</v>
      </c>
      <c r="J588" s="108">
        <f>SUM(J581:J587)</f>
        <v>472748.82000000007</v>
      </c>
      <c r="K588" s="108">
        <f>SUM(K581:K587)</f>
        <v>472748.82000000007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/>
      <c r="I594" s="18"/>
      <c r="J594" s="18">
        <f>407801.78+7246.22</f>
        <v>415048</v>
      </c>
      <c r="K594" s="104">
        <f>SUM(H594:J594)</f>
        <v>415048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0</v>
      </c>
      <c r="I595" s="108">
        <f>SUM(I592:I594)</f>
        <v>0</v>
      </c>
      <c r="J595" s="108">
        <f>SUM(J592:J594)</f>
        <v>415048</v>
      </c>
      <c r="K595" s="108">
        <f>SUM(K592:K594)</f>
        <v>415048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656694.01</v>
      </c>
      <c r="H607" s="109">
        <f>SUM(F44)</f>
        <v>656694.01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15683.42</v>
      </c>
      <c r="H608" s="109">
        <f>SUM(G44)</f>
        <v>15683.42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92125.69</v>
      </c>
      <c r="H609" s="109">
        <f>SUM(H44)</f>
        <v>92125.69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379357.00999999995</v>
      </c>
      <c r="H611" s="109">
        <f>SUM(J44)</f>
        <v>379357.01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635756.79</v>
      </c>
      <c r="H612" s="109">
        <f>F466</f>
        <v>635756.79000000283</v>
      </c>
      <c r="I612" s="121" t="s">
        <v>106</v>
      </c>
      <c r="J612" s="109">
        <f t="shared" ref="J612:J645" si="49">G612-H612</f>
        <v>-2.7939677238464355E-9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378993.45</v>
      </c>
      <c r="H616" s="109">
        <f>J466</f>
        <v>378993.45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17549608.25</v>
      </c>
      <c r="H617" s="104">
        <f>SUM(F458)</f>
        <v>17549608.25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441432.63000000006</v>
      </c>
      <c r="H618" s="104">
        <f>SUM(G458)</f>
        <v>441432.63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287946.90000000002</v>
      </c>
      <c r="H619" s="104">
        <f>SUM(H458)</f>
        <v>287946.90000000002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117089.01</v>
      </c>
      <c r="H621" s="104">
        <f>SUM(J458)</f>
        <v>117089.01000000001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17374417.43</v>
      </c>
      <c r="H622" s="104">
        <f>SUM(F462)</f>
        <v>17374417.43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287946.90000000008</v>
      </c>
      <c r="H623" s="104">
        <f>SUM(H462)</f>
        <v>287946.90000000002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170671.21</v>
      </c>
      <c r="H624" s="104">
        <f>I361</f>
        <v>170671.21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440842.29000000004</v>
      </c>
      <c r="H625" s="104">
        <f>SUM(G462)</f>
        <v>440842.29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117089.01</v>
      </c>
      <c r="H627" s="164">
        <f>SUM(J458)</f>
        <v>117089.01000000001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13214.81</v>
      </c>
      <c r="H628" s="164">
        <f>SUM(J462)</f>
        <v>13214.81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379357.00999999995</v>
      </c>
      <c r="H630" s="104">
        <f>SUM(G451)</f>
        <v>379357.01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379357.00999999995</v>
      </c>
      <c r="H632" s="104">
        <f>SUM(I451)</f>
        <v>379357.01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28878.309999999998</v>
      </c>
      <c r="H634" s="104">
        <f>H400</f>
        <v>28878.31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75000</v>
      </c>
      <c r="H635" s="104">
        <f>G400</f>
        <v>75000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117089.01</v>
      </c>
      <c r="H636" s="104">
        <f>L400</f>
        <v>117089.01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472748.82000000007</v>
      </c>
      <c r="H637" s="104">
        <f>L200+L218+L236</f>
        <v>472748.82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415048</v>
      </c>
      <c r="H638" s="104">
        <f>(J249+J330)-(J247+J328)</f>
        <v>415048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0</v>
      </c>
      <c r="H639" s="104">
        <f>H588</f>
        <v>0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472748.82</v>
      </c>
      <c r="H641" s="104">
        <f>J588</f>
        <v>472748.82000000007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6090.5</v>
      </c>
      <c r="H642" s="104">
        <f>K255+K337</f>
        <v>6090.5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75000</v>
      </c>
      <c r="H645" s="104">
        <f>K258+K339</f>
        <v>75000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0</v>
      </c>
      <c r="G650" s="19">
        <f>(L221+L301+L351)</f>
        <v>0</v>
      </c>
      <c r="H650" s="19">
        <f>(L239+L320+L352)</f>
        <v>16870244.870000001</v>
      </c>
      <c r="I650" s="19">
        <f>SUM(F650:H650)</f>
        <v>16870244.870000001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0</v>
      </c>
      <c r="G651" s="19">
        <f>(L351/IF(SUM(L350:L352)=0,1,SUM(L350:L352))*(SUM(G89:G102)))</f>
        <v>0</v>
      </c>
      <c r="H651" s="19">
        <f>(L352/IF(SUM(L350:L352)=0,1,SUM(L350:L352))*(SUM(G89:G102)))</f>
        <v>399550.91000000003</v>
      </c>
      <c r="I651" s="19">
        <f>SUM(F651:H651)</f>
        <v>399550.91000000003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0</v>
      </c>
      <c r="G652" s="19">
        <f>(L218+L298)-(J218+J298)</f>
        <v>0</v>
      </c>
      <c r="H652" s="19">
        <f>(L236+L317)-(J236+J317)</f>
        <v>472748.82</v>
      </c>
      <c r="I652" s="19">
        <f>SUM(F652:H652)</f>
        <v>472748.82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0</v>
      </c>
      <c r="G653" s="200">
        <f>SUM(G565:G577)+SUM(I592:I594)+L602</f>
        <v>0</v>
      </c>
      <c r="H653" s="200">
        <f>SUM(H565:H577)+SUM(J592:J594)+L603</f>
        <v>1111103.17</v>
      </c>
      <c r="I653" s="19">
        <f>SUM(F653:H653)</f>
        <v>1111103.17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0</v>
      </c>
      <c r="G654" s="19">
        <f>G650-SUM(G651:G653)</f>
        <v>0</v>
      </c>
      <c r="H654" s="19">
        <f>H650-SUM(H651:H653)</f>
        <v>14886841.970000001</v>
      </c>
      <c r="I654" s="19">
        <f>I650-SUM(I651:I653)</f>
        <v>14886841.970000001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/>
      <c r="G655" s="249"/>
      <c r="H655" s="249">
        <v>879.52</v>
      </c>
      <c r="I655" s="19">
        <f>SUM(F655:H655)</f>
        <v>879.52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 t="e">
        <f>ROUND(F654/F655,2)</f>
        <v>#DIV/0!</v>
      </c>
      <c r="G657" s="19" t="e">
        <f>ROUND(G654/G655,2)</f>
        <v>#DIV/0!</v>
      </c>
      <c r="H657" s="19">
        <f>ROUND(H654/H655,2)</f>
        <v>16926.099999999999</v>
      </c>
      <c r="I657" s="19">
        <f>ROUND(I654/I655,2)</f>
        <v>16926.099999999999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-6.54</v>
      </c>
      <c r="I660" s="19">
        <f>SUM(F660:H660)</f>
        <v>-6.54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 t="e">
        <f>ROUND((F654+F659)/(F655+F660),2)</f>
        <v>#DIV/0!</v>
      </c>
      <c r="G662" s="19" t="e">
        <f>ROUND((G654+G659)/(G655+G660),2)</f>
        <v>#DIV/0!</v>
      </c>
      <c r="H662" s="19">
        <f>ROUND((H654+H659)/(H655+H660),2)</f>
        <v>17052.900000000001</v>
      </c>
      <c r="I662" s="19">
        <f>ROUND((I654+I659)/(I655+I660),2)</f>
        <v>17052.900000000001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CB236-04AA-4E45-A385-E52062C3804C}">
  <sheetPr>
    <tabColor indexed="20"/>
  </sheetPr>
  <dimension ref="A1:C52"/>
  <sheetViews>
    <sheetView workbookViewId="0">
      <selection activeCell="C12" sqref="C1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Souhegan Coop SD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5221907.29</v>
      </c>
      <c r="C9" s="230">
        <f>'DOE25'!G189+'DOE25'!G207+'DOE25'!G225+'DOE25'!G268+'DOE25'!G287+'DOE25'!G306</f>
        <v>1604800.56</v>
      </c>
    </row>
    <row r="10" spans="1:3" x14ac:dyDescent="0.2">
      <c r="A10" t="s">
        <v>810</v>
      </c>
      <c r="B10" s="241">
        <f>4837189.62+17669.06+62198.75</f>
        <v>4917057.43</v>
      </c>
      <c r="C10" s="241">
        <v>1508512.53</v>
      </c>
    </row>
    <row r="11" spans="1:3" x14ac:dyDescent="0.2">
      <c r="A11" t="s">
        <v>811</v>
      </c>
      <c r="B11" s="241">
        <f>1116.82+31052.48</f>
        <v>32169.3</v>
      </c>
      <c r="C11" s="241">
        <v>12829.5</v>
      </c>
    </row>
    <row r="12" spans="1:3" x14ac:dyDescent="0.2">
      <c r="A12" t="s">
        <v>812</v>
      </c>
      <c r="B12" s="241">
        <f>158700.2+113980.36</f>
        <v>272680.56</v>
      </c>
      <c r="C12" s="241">
        <v>83458.53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5221907.2899999991</v>
      </c>
      <c r="C13" s="232">
        <f>SUM(C10:C12)</f>
        <v>1604800.56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1815946.1099999999</v>
      </c>
      <c r="C18" s="230">
        <f>'DOE25'!G190+'DOE25'!G208+'DOE25'!G226+'DOE25'!G269+'DOE25'!G288+'DOE25'!G307</f>
        <v>646369.9</v>
      </c>
    </row>
    <row r="19" spans="1:3" x14ac:dyDescent="0.2">
      <c r="A19" t="s">
        <v>810</v>
      </c>
      <c r="B19" s="241">
        <f>832193.7+119132.95</f>
        <v>951326.64999999991</v>
      </c>
      <c r="C19" s="241">
        <v>338616.3</v>
      </c>
    </row>
    <row r="20" spans="1:3" x14ac:dyDescent="0.2">
      <c r="A20" t="s">
        <v>811</v>
      </c>
      <c r="B20" s="241">
        <f>186089.38+369869.43+28766.57</f>
        <v>584725.38</v>
      </c>
      <c r="C20" s="241">
        <v>208127.8</v>
      </c>
    </row>
    <row r="21" spans="1:3" x14ac:dyDescent="0.2">
      <c r="A21" t="s">
        <v>812</v>
      </c>
      <c r="B21" s="241">
        <f>94146.5+35214.07+1218.75+143260+5948.77+105.99</f>
        <v>279894.08</v>
      </c>
      <c r="C21" s="241">
        <v>99625.8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1815946.1099999999</v>
      </c>
      <c r="C22" s="232">
        <f>SUM(C19:C21)</f>
        <v>646369.9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173763.03</v>
      </c>
      <c r="C36" s="236">
        <f>'DOE25'!G192+'DOE25'!G210+'DOE25'!G228+'DOE25'!G271+'DOE25'!G290+'DOE25'!G309</f>
        <v>17396.07</v>
      </c>
    </row>
    <row r="37" spans="1:3" x14ac:dyDescent="0.2">
      <c r="A37" t="s">
        <v>810</v>
      </c>
      <c r="B37" s="241">
        <v>62015.61</v>
      </c>
      <c r="C37" s="241">
        <v>6208.61</v>
      </c>
    </row>
    <row r="38" spans="1:3" x14ac:dyDescent="0.2">
      <c r="A38" t="s">
        <v>811</v>
      </c>
      <c r="B38" s="241">
        <v>2690.01</v>
      </c>
      <c r="C38" s="241">
        <v>269.31</v>
      </c>
    </row>
    <row r="39" spans="1:3" x14ac:dyDescent="0.2">
      <c r="A39" t="s">
        <v>812</v>
      </c>
      <c r="B39" s="241">
        <v>109057.41</v>
      </c>
      <c r="C39" s="241">
        <v>10918.15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173763.03</v>
      </c>
      <c r="C40" s="232">
        <f>SUM(C37:C39)</f>
        <v>17396.07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AE82D-8C55-409C-8F3C-05942CB1467A}">
  <sheetPr>
    <tabColor indexed="11"/>
  </sheetPr>
  <dimension ref="A1:I51"/>
  <sheetViews>
    <sheetView workbookViewId="0">
      <pane ySplit="4" topLeftCell="A13" activePane="bottomLeft" state="frozen"/>
      <selection pane="bottomLeft" activeCell="B38" sqref="B3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Souhegan Coop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11154848.739999998</v>
      </c>
      <c r="D5" s="20">
        <f>SUM('DOE25'!L189:L192)+SUM('DOE25'!L207:L210)+SUM('DOE25'!L225:L228)-F5-G5</f>
        <v>10864543.909999998</v>
      </c>
      <c r="E5" s="244"/>
      <c r="F5" s="256">
        <f>SUM('DOE25'!J189:J192)+SUM('DOE25'!J207:J210)+SUM('DOE25'!J225:J228)</f>
        <v>272187.32999999996</v>
      </c>
      <c r="G5" s="53">
        <f>SUM('DOE25'!K189:K192)+SUM('DOE25'!K207:K210)+SUM('DOE25'!K225:K228)</f>
        <v>18117.5</v>
      </c>
      <c r="H5" s="260"/>
    </row>
    <row r="6" spans="1:9" x14ac:dyDescent="0.2">
      <c r="A6" s="32">
        <v>2100</v>
      </c>
      <c r="B6" t="s">
        <v>832</v>
      </c>
      <c r="C6" s="246">
        <f t="shared" si="0"/>
        <v>964096.4800000001</v>
      </c>
      <c r="D6" s="20">
        <f>'DOE25'!L194+'DOE25'!L212+'DOE25'!L230-F6-G6</f>
        <v>964096.4800000001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489462.4</v>
      </c>
      <c r="D7" s="20">
        <f>'DOE25'!L195+'DOE25'!L213+'DOE25'!L231-F7-G7</f>
        <v>485628.25</v>
      </c>
      <c r="E7" s="244"/>
      <c r="F7" s="256">
        <f>'DOE25'!J195+'DOE25'!J213+'DOE25'!J231</f>
        <v>3534.15</v>
      </c>
      <c r="G7" s="53">
        <f>'DOE25'!K195+'DOE25'!K213+'DOE25'!K231</f>
        <v>300</v>
      </c>
      <c r="H7" s="260"/>
    </row>
    <row r="8" spans="1:9" x14ac:dyDescent="0.2">
      <c r="A8" s="32">
        <v>2300</v>
      </c>
      <c r="B8" t="s">
        <v>833</v>
      </c>
      <c r="C8" s="246">
        <f t="shared" si="0"/>
        <v>719772.88</v>
      </c>
      <c r="D8" s="244"/>
      <c r="E8" s="20">
        <f>'DOE25'!L196+'DOE25'!L214+'DOE25'!L232-F8-G8-D9-D11</f>
        <v>714356</v>
      </c>
      <c r="F8" s="256">
        <f>'DOE25'!J196+'DOE25'!J214+'DOE25'!J232</f>
        <v>0</v>
      </c>
      <c r="G8" s="53">
        <f>'DOE25'!K196+'DOE25'!K214+'DOE25'!K232</f>
        <v>5416.88</v>
      </c>
      <c r="H8" s="260"/>
    </row>
    <row r="9" spans="1:9" x14ac:dyDescent="0.2">
      <c r="A9" s="32">
        <v>2310</v>
      </c>
      <c r="B9" t="s">
        <v>849</v>
      </c>
      <c r="C9" s="246">
        <f t="shared" si="0"/>
        <v>0</v>
      </c>
      <c r="D9" s="245"/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0</v>
      </c>
      <c r="D10" s="244"/>
      <c r="E10" s="245"/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0</v>
      </c>
      <c r="D11" s="245"/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778462.46999999986</v>
      </c>
      <c r="D12" s="20">
        <f>'DOE25'!L197+'DOE25'!L215+'DOE25'!L233-F12-G12</f>
        <v>690775.45999999985</v>
      </c>
      <c r="E12" s="244"/>
      <c r="F12" s="256">
        <f>'DOE25'!J197+'DOE25'!J215+'DOE25'!J233</f>
        <v>74923.929999999993</v>
      </c>
      <c r="G12" s="53">
        <f>'DOE25'!K197+'DOE25'!K215+'DOE25'!K233</f>
        <v>12763.08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2835</v>
      </c>
      <c r="D13" s="244"/>
      <c r="E13" s="20">
        <f>'DOE25'!L198+'DOE25'!L216+'DOE25'!L234-F13-G13</f>
        <v>2835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1262852.58</v>
      </c>
      <c r="D14" s="20">
        <f>'DOE25'!L199+'DOE25'!L217+'DOE25'!L235-F14-G14</f>
        <v>1252357.74</v>
      </c>
      <c r="E14" s="244"/>
      <c r="F14" s="256">
        <f>'DOE25'!J199+'DOE25'!J217+'DOE25'!J235</f>
        <v>10494.84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472748.82</v>
      </c>
      <c r="D15" s="20">
        <f>'DOE25'!L200+'DOE25'!L218+'DOE25'!L236-F15-G15</f>
        <v>472748.82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296376.31</v>
      </c>
      <c r="D16" s="244"/>
      <c r="E16" s="20">
        <f>'DOE25'!L201+'DOE25'!L219+'DOE25'!L237-F16-G16</f>
        <v>249714.78</v>
      </c>
      <c r="F16" s="256">
        <f>'DOE25'!J201+'DOE25'!J219+'DOE25'!J237</f>
        <v>46661.53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14611.53</v>
      </c>
      <c r="D17" s="20">
        <f>'DOE25'!L243-F17-G17</f>
        <v>14611.53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1137259.72</v>
      </c>
      <c r="D25" s="244"/>
      <c r="E25" s="244"/>
      <c r="F25" s="259"/>
      <c r="G25" s="257"/>
      <c r="H25" s="258">
        <f>'DOE25'!L252+'DOE25'!L253+'DOE25'!L333+'DOE25'!L334</f>
        <v>1137259.72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284300.50000000006</v>
      </c>
      <c r="D29" s="20">
        <f>'DOE25'!L350+'DOE25'!L351+'DOE25'!L352-'DOE25'!I359-F29-G29</f>
        <v>284300.50000000006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287946.90000000008</v>
      </c>
      <c r="D31" s="20">
        <f>'DOE25'!L282+'DOE25'!L301+'DOE25'!L320+'DOE25'!L325+'DOE25'!L326+'DOE25'!L327-F31-G31</f>
        <v>280700.68000000011</v>
      </c>
      <c r="E31" s="244"/>
      <c r="F31" s="256">
        <f>'DOE25'!J282+'DOE25'!J301+'DOE25'!J320+'DOE25'!J325+'DOE25'!J326+'DOE25'!J327</f>
        <v>7246.22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15309763.369999997</v>
      </c>
      <c r="E33" s="247">
        <f>SUM(E5:E31)</f>
        <v>966905.78</v>
      </c>
      <c r="F33" s="247">
        <f>SUM(F5:F31)</f>
        <v>415048</v>
      </c>
      <c r="G33" s="247">
        <f>SUM(G5:G31)</f>
        <v>36597.46</v>
      </c>
      <c r="H33" s="247">
        <f>SUM(H5:H31)</f>
        <v>1137259.72</v>
      </c>
    </row>
    <row r="35" spans="2:8" ht="12" thickBot="1" x14ac:dyDescent="0.25">
      <c r="B35" s="254" t="s">
        <v>878</v>
      </c>
      <c r="D35" s="255">
        <f>E33</f>
        <v>966905.78</v>
      </c>
      <c r="E35" s="250"/>
    </row>
    <row r="36" spans="2:8" ht="12" thickTop="1" x14ac:dyDescent="0.2">
      <c r="B36" t="s">
        <v>846</v>
      </c>
      <c r="D36" s="20">
        <f>D33</f>
        <v>15309763.369999997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N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CE5E-82D0-4BE5-9AF5-44495367C567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C14" sqref="C14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Souhegan Coop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552260.26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79783.78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5725.66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9785.76</v>
      </c>
      <c r="D13" s="95">
        <f>'DOE25'!G13</f>
        <v>15020.17</v>
      </c>
      <c r="E13" s="95">
        <f>'DOE25'!H13</f>
        <v>92125.69</v>
      </c>
      <c r="F13" s="95">
        <f>'DOE25'!I13</f>
        <v>0</v>
      </c>
      <c r="G13" s="95">
        <f>'DOE25'!J13</f>
        <v>373631.35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9263.2099999999991</v>
      </c>
      <c r="D14" s="95">
        <f>'DOE25'!G14</f>
        <v>663.25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5601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656694.01</v>
      </c>
      <c r="D19" s="41">
        <f>SUM(D9:D18)</f>
        <v>15683.42</v>
      </c>
      <c r="E19" s="41">
        <f>SUM(E9:E18)</f>
        <v>92125.69</v>
      </c>
      <c r="F19" s="41">
        <f>SUM(F9:F18)</f>
        <v>0</v>
      </c>
      <c r="G19" s="41">
        <f>SUM(G9:G18)</f>
        <v>379357.00999999995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9500.07</v>
      </c>
      <c r="E22" s="95">
        <f>'DOE25'!H23</f>
        <v>75645.81</v>
      </c>
      <c r="F22" s="95">
        <f>'DOE25'!I23</f>
        <v>0</v>
      </c>
      <c r="G22" s="95">
        <f>'DOE25'!J23</f>
        <v>363.56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4829.78</v>
      </c>
      <c r="D23" s="95">
        <f>'DOE25'!G24</f>
        <v>5705.52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2419.5100000000002</v>
      </c>
      <c r="D24" s="95">
        <f>'DOE25'!G25</f>
        <v>242.83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7491.62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3606.6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2525.52</v>
      </c>
      <c r="D30" s="95">
        <f>'DOE25'!G31</f>
        <v>235</v>
      </c>
      <c r="E30" s="95">
        <f>'DOE25'!H31</f>
        <v>16479.88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64.19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20937.219999999998</v>
      </c>
      <c r="D32" s="41">
        <f>SUM(D22:D31)</f>
        <v>15683.42</v>
      </c>
      <c r="E32" s="41">
        <f>SUM(E22:E31)</f>
        <v>92125.69</v>
      </c>
      <c r="F32" s="41">
        <f>SUM(F22:F31)</f>
        <v>0</v>
      </c>
      <c r="G32" s="41">
        <f>SUM(G22:G31)</f>
        <v>363.56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130637.7</v>
      </c>
      <c r="D36" s="95">
        <f>'DOE25'!G37</f>
        <v>300.43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65000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2535.04</v>
      </c>
      <c r="D40" s="95">
        <f>'DOE25'!G41</f>
        <v>-300.43</v>
      </c>
      <c r="E40" s="95">
        <f>'DOE25'!H41</f>
        <v>0</v>
      </c>
      <c r="F40" s="95">
        <f>'DOE25'!I41</f>
        <v>0</v>
      </c>
      <c r="G40" s="95">
        <f>'DOE25'!J41</f>
        <v>378993.45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437584.05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635756.79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378993.45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656694.01</v>
      </c>
      <c r="D43" s="41">
        <f>D42+D32</f>
        <v>15683.42</v>
      </c>
      <c r="E43" s="41">
        <f>E42+E32</f>
        <v>92125.69</v>
      </c>
      <c r="F43" s="41">
        <f>F42+F32</f>
        <v>0</v>
      </c>
      <c r="G43" s="41">
        <f>G42+G32</f>
        <v>379357.01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12518288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73159.88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5812.97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28878.309999999998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395766.80000000005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157667.11000000002</v>
      </c>
      <c r="D53" s="95">
        <f>SUM('DOE25'!G90:G102)</f>
        <v>3784.11</v>
      </c>
      <c r="E53" s="95">
        <f>SUM('DOE25'!H90:H102)</f>
        <v>5885.08</v>
      </c>
      <c r="F53" s="95">
        <f>SUM('DOE25'!I90:I102)</f>
        <v>0</v>
      </c>
      <c r="G53" s="95">
        <f>SUM('DOE25'!J90:J102)</f>
        <v>13210.7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236639.96000000002</v>
      </c>
      <c r="D54" s="130">
        <f>SUM(D49:D53)</f>
        <v>399550.91000000003</v>
      </c>
      <c r="E54" s="130">
        <f>SUM(E49:E53)</f>
        <v>5885.08</v>
      </c>
      <c r="F54" s="130">
        <f>SUM(F49:F53)</f>
        <v>0</v>
      </c>
      <c r="G54" s="130">
        <f>SUM(G49:G53)</f>
        <v>42089.009999999995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12754927.960000001</v>
      </c>
      <c r="D55" s="22">
        <f>D48+D54</f>
        <v>399550.91000000003</v>
      </c>
      <c r="E55" s="22">
        <f>E48+E54</f>
        <v>5885.08</v>
      </c>
      <c r="F55" s="22">
        <f>F48+F54</f>
        <v>0</v>
      </c>
      <c r="G55" s="22">
        <f>G48+G54</f>
        <v>42089.009999999995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2012452.9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1564990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72991.100000000006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3650434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311580.18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645044.91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1159.52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26550</v>
      </c>
      <c r="D69" s="95">
        <f>SUM('DOE25'!G123:G127)</f>
        <v>1124.77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984334.6100000001</v>
      </c>
      <c r="D70" s="130">
        <f>SUM(D64:D69)</f>
        <v>1124.77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4634768.6100000003</v>
      </c>
      <c r="D73" s="130">
        <f>SUM(D71:D72)+D70+D62</f>
        <v>1124.77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159911.67999999999</v>
      </c>
      <c r="D80" s="95">
        <f>SUM('DOE25'!G145:G153)</f>
        <v>34666.449999999997</v>
      </c>
      <c r="E80" s="95">
        <f>SUM('DOE25'!H145:H153)</f>
        <v>282061.82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159911.67999999999</v>
      </c>
      <c r="D83" s="131">
        <f>SUM(D77:D82)</f>
        <v>34666.449999999997</v>
      </c>
      <c r="E83" s="131">
        <f>SUM(E77:E82)</f>
        <v>282061.82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6090.5</v>
      </c>
      <c r="E88" s="95">
        <f>'DOE25'!H171</f>
        <v>0</v>
      </c>
      <c r="F88" s="95">
        <f>'DOE25'!I171</f>
        <v>0</v>
      </c>
      <c r="G88" s="95">
        <f>'DOE25'!J171</f>
        <v>75000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6090.5</v>
      </c>
      <c r="E95" s="86">
        <f>SUM(E85:E94)</f>
        <v>0</v>
      </c>
      <c r="F95" s="86">
        <f>SUM(F85:F94)</f>
        <v>0</v>
      </c>
      <c r="G95" s="86">
        <f>SUM(G85:G94)</f>
        <v>75000</v>
      </c>
    </row>
    <row r="96" spans="1:7" ht="12.75" thickTop="1" thickBot="1" x14ac:dyDescent="0.25">
      <c r="A96" s="33" t="s">
        <v>796</v>
      </c>
      <c r="C96" s="86">
        <f>C55+C73+C83+C95</f>
        <v>17549608.25</v>
      </c>
      <c r="D96" s="86">
        <f>D55+D73+D83+D95</f>
        <v>441432.63000000006</v>
      </c>
      <c r="E96" s="86">
        <f>E55+E73+E83+E95</f>
        <v>287946.90000000002</v>
      </c>
      <c r="F96" s="86">
        <f>F55+F73+F83+F95</f>
        <v>0</v>
      </c>
      <c r="G96" s="86">
        <f>G55+G73+G95</f>
        <v>117089.01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7246497.0699999994</v>
      </c>
      <c r="D101" s="24" t="s">
        <v>312</v>
      </c>
      <c r="E101" s="95">
        <f>('DOE25'!L268)+('DOE25'!L287)+('DOE25'!L306)</f>
        <v>31663.550000000003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3497843.1299999994</v>
      </c>
      <c r="D102" s="24" t="s">
        <v>312</v>
      </c>
      <c r="E102" s="95">
        <f>('DOE25'!L269)+('DOE25'!L288)+('DOE25'!L307)</f>
        <v>200940.14000000004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410508.54000000004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14611.53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11169460.269999998</v>
      </c>
      <c r="D107" s="86">
        <f>SUM(D101:D106)</f>
        <v>0</v>
      </c>
      <c r="E107" s="86">
        <f>SUM(E101:E106)</f>
        <v>232603.69000000006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964096.4800000001</v>
      </c>
      <c r="D110" s="24" t="s">
        <v>312</v>
      </c>
      <c r="E110" s="95">
        <f>+('DOE25'!L273)+('DOE25'!L292)+('DOE25'!L311)</f>
        <v>17019.559999999998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489462.4</v>
      </c>
      <c r="D111" s="24" t="s">
        <v>312</v>
      </c>
      <c r="E111" s="95">
        <f>+('DOE25'!L274)+('DOE25'!L293)+('DOE25'!L312)</f>
        <v>37773.65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719772.88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778462.46999999986</v>
      </c>
      <c r="D113" s="24" t="s">
        <v>312</v>
      </c>
      <c r="E113" s="95">
        <f>+('DOE25'!L276)+('DOE25'!L295)+('DOE25'!L314)</f>
        <v>550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2835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1262852.58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472748.82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296376.31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440842.29000000004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4986606.9400000004</v>
      </c>
      <c r="D120" s="86">
        <f>SUM(D110:D119)</f>
        <v>440842.29000000004</v>
      </c>
      <c r="E120" s="86">
        <f>SUM(E110:E119)</f>
        <v>55343.21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692670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444589.72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1215.74</v>
      </c>
    </row>
    <row r="127" spans="1:7" x14ac:dyDescent="0.2">
      <c r="A127" t="s">
        <v>256</v>
      </c>
      <c r="B127" s="32" t="s">
        <v>257</v>
      </c>
      <c r="C127" s="95">
        <f>'DOE25'!L255</f>
        <v>6090.5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103878.31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13210.7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-42089.009999999995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1218350.22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1215.74</v>
      </c>
    </row>
    <row r="137" spans="1:9" ht="12.75" thickTop="1" thickBot="1" x14ac:dyDescent="0.25">
      <c r="A137" s="33" t="s">
        <v>267</v>
      </c>
      <c r="C137" s="86">
        <f>(C107+C120+C136)</f>
        <v>17374417.429999996</v>
      </c>
      <c r="D137" s="86">
        <f>(D107+D120+D136)</f>
        <v>440842.29000000004</v>
      </c>
      <c r="E137" s="86">
        <f>(E107+E120+E136)</f>
        <v>287946.90000000008</v>
      </c>
      <c r="F137" s="86">
        <f>(F107+F120+F136)</f>
        <v>0</v>
      </c>
      <c r="G137" s="86">
        <f>(G107+G120+G136)</f>
        <v>1215.74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10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10/91</v>
      </c>
      <c r="C144" s="152" t="str">
        <f>'DOE25'!G481</f>
        <v>06/02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10/11</v>
      </c>
      <c r="C145" s="152" t="str">
        <f>'DOE25'!G482</f>
        <v>07/12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12146508.15</v>
      </c>
      <c r="C146" s="137">
        <f>'DOE25'!G483</f>
        <v>5800000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7.0000000000000007E-2</v>
      </c>
      <c r="C147" s="137">
        <f>'DOE25'!G484</f>
        <v>0.05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205515.45</v>
      </c>
      <c r="C148" s="137">
        <f>'DOE25'!G485</f>
        <v>1740000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1945515.45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112670</v>
      </c>
      <c r="C150" s="137">
        <f>'DOE25'!G487</f>
        <v>580000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692670</v>
      </c>
    </row>
    <row r="151" spans="1:7" x14ac:dyDescent="0.2">
      <c r="A151" s="22" t="s">
        <v>35</v>
      </c>
      <c r="B151" s="137">
        <f>'DOE25'!F488</f>
        <v>92845.6</v>
      </c>
      <c r="C151" s="137">
        <f>'DOE25'!G488</f>
        <v>1160000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1252845.6000000001</v>
      </c>
    </row>
    <row r="152" spans="1:7" x14ac:dyDescent="0.2">
      <c r="A152" s="22" t="s">
        <v>36</v>
      </c>
      <c r="B152" s="137">
        <f>'DOE25'!F489</f>
        <v>337154.4</v>
      </c>
      <c r="C152" s="137">
        <f>'DOE25'!G489</f>
        <v>57420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394574.4</v>
      </c>
    </row>
    <row r="153" spans="1:7" x14ac:dyDescent="0.2">
      <c r="A153" s="22" t="s">
        <v>37</v>
      </c>
      <c r="B153" s="137">
        <f>'DOE25'!F490</f>
        <v>430000</v>
      </c>
      <c r="C153" s="137">
        <f>'DOE25'!G490</f>
        <v>1217420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1647420</v>
      </c>
    </row>
    <row r="154" spans="1:7" x14ac:dyDescent="0.2">
      <c r="A154" s="22" t="s">
        <v>38</v>
      </c>
      <c r="B154" s="137">
        <f>'DOE25'!F491</f>
        <v>92845.6</v>
      </c>
      <c r="C154" s="137">
        <f>'DOE25'!G491</f>
        <v>580000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672845.6</v>
      </c>
    </row>
    <row r="155" spans="1:7" x14ac:dyDescent="0.2">
      <c r="A155" s="22" t="s">
        <v>39</v>
      </c>
      <c r="B155" s="137">
        <f>'DOE25'!F492</f>
        <v>337154.4</v>
      </c>
      <c r="C155" s="137">
        <f>'DOE25'!G492</f>
        <v>43065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380219.4</v>
      </c>
    </row>
    <row r="156" spans="1:7" x14ac:dyDescent="0.2">
      <c r="A156" s="22" t="s">
        <v>269</v>
      </c>
      <c r="B156" s="137">
        <f>'DOE25'!F493</f>
        <v>430000</v>
      </c>
      <c r="C156" s="137">
        <f>'DOE25'!G493</f>
        <v>623065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1053065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26428-213A-4263-836A-07573883FBDD}">
  <sheetPr codeName="Sheet3">
    <tabColor indexed="43"/>
  </sheetPr>
  <dimension ref="A1:D42"/>
  <sheetViews>
    <sheetView topLeftCell="A3" workbookViewId="0">
      <selection activeCell="D55" sqref="D55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Souhegan Coop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0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17053</v>
      </c>
    </row>
    <row r="7" spans="1:4" x14ac:dyDescent="0.2">
      <c r="B7" t="s">
        <v>736</v>
      </c>
      <c r="C7" s="179">
        <f>IF('DOE25'!I655+'DOE25'!I660=0,0,ROUND('DOE25'!I662,0))</f>
        <v>17053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7278161</v>
      </c>
      <c r="D10" s="182">
        <f>ROUND((C10/$C$28)*100,1)</f>
        <v>43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3698783</v>
      </c>
      <c r="D11" s="182">
        <f>ROUND((C11/$C$28)*100,1)</f>
        <v>21.8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410509</v>
      </c>
      <c r="D13" s="182">
        <f>ROUND((C13/$C$28)*100,1)</f>
        <v>2.4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981116</v>
      </c>
      <c r="D15" s="182">
        <f t="shared" ref="D15:D27" si="0">ROUND((C15/$C$28)*100,1)</f>
        <v>5.8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527236</v>
      </c>
      <c r="D16" s="182">
        <f t="shared" si="0"/>
        <v>3.1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1016149</v>
      </c>
      <c r="D17" s="182">
        <f t="shared" si="0"/>
        <v>6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779012</v>
      </c>
      <c r="D18" s="182">
        <f t="shared" si="0"/>
        <v>4.5999999999999996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2835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1262853</v>
      </c>
      <c r="D20" s="182">
        <f t="shared" si="0"/>
        <v>7.5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472749</v>
      </c>
      <c r="D21" s="182">
        <f t="shared" si="0"/>
        <v>2.8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14612</v>
      </c>
      <c r="D24" s="182">
        <f t="shared" si="0"/>
        <v>0.1</v>
      </c>
    </row>
    <row r="25" spans="1:4" x14ac:dyDescent="0.2">
      <c r="A25">
        <v>5120</v>
      </c>
      <c r="B25" t="s">
        <v>751</v>
      </c>
      <c r="C25" s="179">
        <f>ROUND('DOE25'!L253+'DOE25'!L334,0)</f>
        <v>444590</v>
      </c>
      <c r="D25" s="182">
        <f t="shared" si="0"/>
        <v>2.6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41291.089999999967</v>
      </c>
      <c r="D27" s="182">
        <f t="shared" si="0"/>
        <v>0.2</v>
      </c>
    </row>
    <row r="28" spans="1:4" x14ac:dyDescent="0.2">
      <c r="B28" s="187" t="s">
        <v>754</v>
      </c>
      <c r="C28" s="180">
        <f>SUM(C10:C27)</f>
        <v>16929896.09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16929896.09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692670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12518288</v>
      </c>
      <c r="D35" s="182">
        <f t="shared" ref="D35:D40" si="1">ROUND((C35/$C$41)*100,1)</f>
        <v>69.900000000000006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284614.05000000075</v>
      </c>
      <c r="D36" s="182">
        <f t="shared" si="1"/>
        <v>1.6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3650434</v>
      </c>
      <c r="D37" s="182">
        <f t="shared" si="1"/>
        <v>20.399999999999999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985459</v>
      </c>
      <c r="D38" s="182">
        <f t="shared" si="1"/>
        <v>5.5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476640</v>
      </c>
      <c r="D39" s="182">
        <f t="shared" si="1"/>
        <v>2.7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17915435.050000001</v>
      </c>
      <c r="D41" s="184">
        <f>SUM(D35:D40)</f>
        <v>100.10000000000001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497F5-0F7B-4F56-BED4-B553662AFB54}">
  <sheetPr>
    <tabColor indexed="17"/>
  </sheetPr>
  <dimension ref="A1:IV90"/>
  <sheetViews>
    <sheetView workbookViewId="0">
      <pane ySplit="3" topLeftCell="A4" activePane="bottomLeft" state="frozen"/>
      <selection pane="bottomLeft" activeCell="C43" sqref="C43:M43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Souhegan Coop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879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30A" sheet="1" objects="1" scenarios="1"/>
  <mergeCells count="223"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15:M15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62:M62"/>
    <mergeCell ref="C63:M63"/>
    <mergeCell ref="C64:M64"/>
    <mergeCell ref="C65:M65"/>
    <mergeCell ref="C34:M34"/>
    <mergeCell ref="C35:M35"/>
    <mergeCell ref="C36:M36"/>
    <mergeCell ref="A2:E2"/>
    <mergeCell ref="A1:I1"/>
    <mergeCell ref="C3:M3"/>
    <mergeCell ref="C4:M4"/>
    <mergeCell ref="F2:I2"/>
    <mergeCell ref="C19:M19"/>
    <mergeCell ref="C9:M9"/>
    <mergeCell ref="C10:M10"/>
    <mergeCell ref="C11:M11"/>
    <mergeCell ref="C12:M12"/>
    <mergeCell ref="P32:Z32"/>
    <mergeCell ref="C5:M5"/>
    <mergeCell ref="C6:M6"/>
    <mergeCell ref="C7:M7"/>
    <mergeCell ref="C8:M8"/>
    <mergeCell ref="C16:M16"/>
    <mergeCell ref="C17:M17"/>
    <mergeCell ref="C18:M18"/>
    <mergeCell ref="C13:M13"/>
    <mergeCell ref="C14:M14"/>
    <mergeCell ref="C30:M30"/>
    <mergeCell ref="C31:M31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IC29:IM29"/>
    <mergeCell ref="IP29:IV29"/>
    <mergeCell ref="C33:M33"/>
    <mergeCell ref="EC29:EM29"/>
    <mergeCell ref="EP29:EZ29"/>
    <mergeCell ref="FC29:FM29"/>
    <mergeCell ref="P29:Z29"/>
    <mergeCell ref="AC29:AM29"/>
    <mergeCell ref="AP29:AZ29"/>
    <mergeCell ref="C32:M32"/>
    <mergeCell ref="P30:Z30"/>
    <mergeCell ref="AC30:AM30"/>
    <mergeCell ref="AP30:AZ30"/>
    <mergeCell ref="P31:Z31"/>
    <mergeCell ref="HC29:HM29"/>
    <mergeCell ref="HP29:HZ29"/>
    <mergeCell ref="DP29:DZ29"/>
    <mergeCell ref="AC31:AM31"/>
    <mergeCell ref="AP31:AZ31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FC30:FM30"/>
    <mergeCell ref="CC30:CM30"/>
    <mergeCell ref="CP30:CZ30"/>
    <mergeCell ref="DC30:DM30"/>
    <mergeCell ref="DP30:DZ30"/>
    <mergeCell ref="EC30:EM30"/>
    <mergeCell ref="EP30:EZ30"/>
    <mergeCell ref="BC39:BM39"/>
    <mergeCell ref="BP31:BZ31"/>
    <mergeCell ref="BP38:BZ38"/>
    <mergeCell ref="CC31:CM31"/>
    <mergeCell ref="CP31:CZ31"/>
    <mergeCell ref="DC31:DM31"/>
    <mergeCell ref="IC30:IM30"/>
    <mergeCell ref="IP30:IV30"/>
    <mergeCell ref="FP30:FZ30"/>
    <mergeCell ref="GC30:GM30"/>
    <mergeCell ref="GP30:GZ30"/>
    <mergeCell ref="HC30:HM30"/>
    <mergeCell ref="HP30:HZ30"/>
    <mergeCell ref="HP32:HZ32"/>
    <mergeCell ref="IC32:IM32"/>
    <mergeCell ref="IP32:IV32"/>
    <mergeCell ref="FC32:FM32"/>
    <mergeCell ref="GP32:GZ32"/>
    <mergeCell ref="FP31:FZ31"/>
    <mergeCell ref="GC31:GM31"/>
    <mergeCell ref="IP31:IV31"/>
    <mergeCell ref="HC31:HM31"/>
    <mergeCell ref="HP31:HZ31"/>
    <mergeCell ref="IC31:IM31"/>
    <mergeCell ref="DP31:DZ31"/>
    <mergeCell ref="EC31:EM31"/>
    <mergeCell ref="EP31:EZ31"/>
    <mergeCell ref="FC31:FM31"/>
    <mergeCell ref="CC32:CM32"/>
    <mergeCell ref="CP38:CZ38"/>
    <mergeCell ref="AC32:AM32"/>
    <mergeCell ref="AP32:AZ32"/>
    <mergeCell ref="CP32:CZ32"/>
    <mergeCell ref="GP31:GZ31"/>
    <mergeCell ref="BC31:BM31"/>
    <mergeCell ref="BC32:BM32"/>
    <mergeCell ref="HC32:HM32"/>
    <mergeCell ref="DC32:DM32"/>
    <mergeCell ref="DP32:DZ32"/>
    <mergeCell ref="EC32:EM32"/>
    <mergeCell ref="EP32:EZ32"/>
    <mergeCell ref="FP32:FZ32"/>
    <mergeCell ref="GC32:GM32"/>
    <mergeCell ref="FP38:FZ38"/>
    <mergeCell ref="GC38:GM38"/>
    <mergeCell ref="GP38:GZ38"/>
    <mergeCell ref="HC38:HM38"/>
    <mergeCell ref="P38:Z38"/>
    <mergeCell ref="AC38:AM38"/>
    <mergeCell ref="AP38:AZ38"/>
    <mergeCell ref="CC38:CM38"/>
    <mergeCell ref="IC39:IM39"/>
    <mergeCell ref="HC39:HM39"/>
    <mergeCell ref="IC38:IM38"/>
    <mergeCell ref="HP39:HZ39"/>
    <mergeCell ref="IP38:IV38"/>
    <mergeCell ref="DC38:DM38"/>
    <mergeCell ref="DP38:DZ38"/>
    <mergeCell ref="EC38:EM38"/>
    <mergeCell ref="EP38:EZ38"/>
    <mergeCell ref="FC38:FM38"/>
    <mergeCell ref="CP39:CZ39"/>
    <mergeCell ref="BP39:BZ39"/>
    <mergeCell ref="CC39:CM39"/>
    <mergeCell ref="DC39:DM39"/>
    <mergeCell ref="HP38:HZ38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IP40:IV40"/>
    <mergeCell ref="HC40:HM40"/>
    <mergeCell ref="HP40:HZ40"/>
    <mergeCell ref="IC40:IM40"/>
    <mergeCell ref="DP39:DZ39"/>
    <mergeCell ref="EC39:EM39"/>
    <mergeCell ref="GC39:GM39"/>
    <mergeCell ref="C45:M45"/>
    <mergeCell ref="C46:M46"/>
    <mergeCell ref="GC40:GM40"/>
    <mergeCell ref="GP40:GZ40"/>
    <mergeCell ref="EC40:EM40"/>
    <mergeCell ref="C44:M44"/>
    <mergeCell ref="FP40:FZ40"/>
    <mergeCell ref="C43:M43"/>
    <mergeCell ref="AP40:AZ40"/>
    <mergeCell ref="C42:M42"/>
    <mergeCell ref="C41:M41"/>
    <mergeCell ref="BC40:BM40"/>
    <mergeCell ref="BP40:BZ40"/>
    <mergeCell ref="FC40:FM40"/>
    <mergeCell ref="CC40:CM40"/>
    <mergeCell ref="CP40:CZ40"/>
    <mergeCell ref="DC40:DM40"/>
    <mergeCell ref="EP40:EZ40"/>
    <mergeCell ref="DP40:DZ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2011-08-22T11:49:40Z</cp:lastPrinted>
  <dcterms:created xsi:type="dcterms:W3CDTF">1997-12-04T19:04:30Z</dcterms:created>
  <dcterms:modified xsi:type="dcterms:W3CDTF">2025-01-10T20:33:26Z</dcterms:modified>
</cp:coreProperties>
</file>