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C24052F2-586C-40F3-83FC-B56E18BCAB8A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BFE1C7C0-5874-48D0-BCC7-F003CDE4F770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2" l="1"/>
  <c r="C10" i="12"/>
  <c r="B10" i="12"/>
  <c r="F189" i="1"/>
  <c r="G189" i="1"/>
  <c r="B12" i="12"/>
  <c r="H594" i="1"/>
  <c r="K594" i="1" s="1"/>
  <c r="K595" i="1" s="1"/>
  <c r="G638" i="1" s="1"/>
  <c r="H565" i="1"/>
  <c r="I565" i="1" s="1"/>
  <c r="G521" i="1"/>
  <c r="L521" i="1" s="1"/>
  <c r="H521" i="1"/>
  <c r="H524" i="1" s="1"/>
  <c r="H535" i="1" s="1"/>
  <c r="H511" i="1"/>
  <c r="G511" i="1"/>
  <c r="L511" i="1" s="1"/>
  <c r="F511" i="1"/>
  <c r="I350" i="1"/>
  <c r="H350" i="1"/>
  <c r="G350" i="1"/>
  <c r="F268" i="1"/>
  <c r="I268" i="1"/>
  <c r="H268" i="1"/>
  <c r="H282" i="1" s="1"/>
  <c r="H330" i="1" s="1"/>
  <c r="H344" i="1" s="1"/>
  <c r="G268" i="1"/>
  <c r="C9" i="12" s="1"/>
  <c r="H226" i="1"/>
  <c r="L226" i="1" s="1"/>
  <c r="H225" i="1"/>
  <c r="L225" i="1" s="1"/>
  <c r="L239" i="1" s="1"/>
  <c r="H650" i="1" s="1"/>
  <c r="H232" i="1"/>
  <c r="G232" i="1"/>
  <c r="L232" i="1" s="1"/>
  <c r="C17" i="10" s="1"/>
  <c r="H200" i="1"/>
  <c r="J199" i="1"/>
  <c r="I199" i="1"/>
  <c r="H199" i="1"/>
  <c r="G199" i="1"/>
  <c r="F199" i="1"/>
  <c r="K197" i="1"/>
  <c r="K203" i="1" s="1"/>
  <c r="K249" i="1" s="1"/>
  <c r="K263" i="1" s="1"/>
  <c r="H197" i="1"/>
  <c r="G197" i="1"/>
  <c r="L197" i="1" s="1"/>
  <c r="I197" i="1"/>
  <c r="I203" i="1" s="1"/>
  <c r="I249" i="1" s="1"/>
  <c r="I263" i="1" s="1"/>
  <c r="F197" i="1"/>
  <c r="H196" i="1"/>
  <c r="I195" i="1"/>
  <c r="H195" i="1"/>
  <c r="G195" i="1"/>
  <c r="F195" i="1"/>
  <c r="H194" i="1"/>
  <c r="G190" i="1"/>
  <c r="I190" i="1"/>
  <c r="H190" i="1"/>
  <c r="F190" i="1"/>
  <c r="B18" i="12" s="1"/>
  <c r="A22" i="12" s="1"/>
  <c r="J189" i="1"/>
  <c r="F5" i="13" s="1"/>
  <c r="I189" i="1"/>
  <c r="H189" i="1"/>
  <c r="F14" i="1"/>
  <c r="F113" i="1"/>
  <c r="F132" i="1" s="1"/>
  <c r="G128" i="1"/>
  <c r="C37" i="10"/>
  <c r="C60" i="2"/>
  <c r="B2" i="13"/>
  <c r="F8" i="13"/>
  <c r="G8" i="13"/>
  <c r="L196" i="1"/>
  <c r="E8" i="13" s="1"/>
  <c r="L214" i="1"/>
  <c r="D39" i="13"/>
  <c r="F13" i="13"/>
  <c r="G13" i="13"/>
  <c r="L198" i="1"/>
  <c r="C114" i="2" s="1"/>
  <c r="L216" i="1"/>
  <c r="C19" i="10" s="1"/>
  <c r="L234" i="1"/>
  <c r="E13" i="13"/>
  <c r="C13" i="13" s="1"/>
  <c r="F16" i="13"/>
  <c r="E16" i="13" s="1"/>
  <c r="C16" i="13" s="1"/>
  <c r="G16" i="13"/>
  <c r="L201" i="1"/>
  <c r="L219" i="1"/>
  <c r="L237" i="1"/>
  <c r="G5" i="13"/>
  <c r="L190" i="1"/>
  <c r="L191" i="1"/>
  <c r="C103" i="2" s="1"/>
  <c r="L192" i="1"/>
  <c r="C104" i="2" s="1"/>
  <c r="L207" i="1"/>
  <c r="L208" i="1"/>
  <c r="L209" i="1"/>
  <c r="L210" i="1"/>
  <c r="L227" i="1"/>
  <c r="L228" i="1"/>
  <c r="F6" i="13"/>
  <c r="G6" i="13"/>
  <c r="L194" i="1"/>
  <c r="D6" i="13" s="1"/>
  <c r="C6" i="13" s="1"/>
  <c r="L212" i="1"/>
  <c r="L230" i="1"/>
  <c r="F7" i="13"/>
  <c r="G7" i="13"/>
  <c r="L195" i="1"/>
  <c r="L213" i="1"/>
  <c r="C111" i="2" s="1"/>
  <c r="L231" i="1"/>
  <c r="D7" i="13"/>
  <c r="C7" i="13" s="1"/>
  <c r="F12" i="13"/>
  <c r="L215" i="1"/>
  <c r="L233" i="1"/>
  <c r="F14" i="13"/>
  <c r="G14" i="13"/>
  <c r="L199" i="1"/>
  <c r="L217" i="1"/>
  <c r="C20" i="10" s="1"/>
  <c r="L235" i="1"/>
  <c r="D14" i="13"/>
  <c r="C14" i="13" s="1"/>
  <c r="F15" i="13"/>
  <c r="G15" i="13"/>
  <c r="L200" i="1"/>
  <c r="H637" i="1" s="1"/>
  <c r="L218" i="1"/>
  <c r="L236" i="1"/>
  <c r="F17" i="13"/>
  <c r="G17" i="13"/>
  <c r="L243" i="1"/>
  <c r="D17" i="13"/>
  <c r="F18" i="13"/>
  <c r="G18" i="13"/>
  <c r="L244" i="1"/>
  <c r="C106" i="2" s="1"/>
  <c r="F19" i="13"/>
  <c r="D19" i="13" s="1"/>
  <c r="C19" i="13" s="1"/>
  <c r="G19" i="13"/>
  <c r="L245" i="1"/>
  <c r="F29" i="13"/>
  <c r="G29" i="13"/>
  <c r="L350" i="1"/>
  <c r="L351" i="1"/>
  <c r="F651" i="1" s="1"/>
  <c r="L352" i="1"/>
  <c r="H651" i="1" s="1"/>
  <c r="I359" i="1"/>
  <c r="I361" i="1" s="1"/>
  <c r="H624" i="1" s="1"/>
  <c r="D29" i="13"/>
  <c r="C29" i="13" s="1"/>
  <c r="J282" i="1"/>
  <c r="F31" i="13" s="1"/>
  <c r="J301" i="1"/>
  <c r="J330" i="1" s="1"/>
  <c r="J344" i="1" s="1"/>
  <c r="J320" i="1"/>
  <c r="K282" i="1"/>
  <c r="K301" i="1"/>
  <c r="G31" i="13" s="1"/>
  <c r="K320" i="1"/>
  <c r="L269" i="1"/>
  <c r="E102" i="2" s="1"/>
  <c r="L270" i="1"/>
  <c r="E103" i="2" s="1"/>
  <c r="L271" i="1"/>
  <c r="E104" i="2" s="1"/>
  <c r="L273" i="1"/>
  <c r="L274" i="1"/>
  <c r="E111" i="2" s="1"/>
  <c r="L275" i="1"/>
  <c r="L276" i="1"/>
  <c r="L277" i="1"/>
  <c r="L278" i="1"/>
  <c r="L279" i="1"/>
  <c r="L280" i="1"/>
  <c r="L287" i="1"/>
  <c r="L288" i="1"/>
  <c r="L301" i="1" s="1"/>
  <c r="L289" i="1"/>
  <c r="L290" i="1"/>
  <c r="L292" i="1"/>
  <c r="E110" i="2" s="1"/>
  <c r="E120" i="2" s="1"/>
  <c r="L293" i="1"/>
  <c r="L294" i="1"/>
  <c r="L295" i="1"/>
  <c r="L296" i="1"/>
  <c r="L297" i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E116" i="2" s="1"/>
  <c r="L318" i="1"/>
  <c r="L325" i="1"/>
  <c r="E106" i="2" s="1"/>
  <c r="L326" i="1"/>
  <c r="L327" i="1"/>
  <c r="L252" i="1"/>
  <c r="L253" i="1"/>
  <c r="L333" i="1"/>
  <c r="C32" i="10" s="1"/>
  <c r="L334" i="1"/>
  <c r="E124" i="2" s="1"/>
  <c r="H25" i="13"/>
  <c r="C25" i="13" s="1"/>
  <c r="H33" i="13"/>
  <c r="L247" i="1"/>
  <c r="F22" i="13" s="1"/>
  <c r="C22" i="13" s="1"/>
  <c r="L328" i="1"/>
  <c r="E122" i="2" s="1"/>
  <c r="C17" i="13"/>
  <c r="C11" i="13"/>
  <c r="C10" i="13"/>
  <c r="C9" i="13"/>
  <c r="L353" i="1"/>
  <c r="B4" i="12"/>
  <c r="B36" i="12"/>
  <c r="C36" i="12"/>
  <c r="B40" i="12"/>
  <c r="C40" i="12"/>
  <c r="A40" i="12" s="1"/>
  <c r="B27" i="12"/>
  <c r="C27" i="12"/>
  <c r="B31" i="12"/>
  <c r="C31" i="12"/>
  <c r="A31" i="12"/>
  <c r="B9" i="12"/>
  <c r="A13" i="12" s="1"/>
  <c r="B13" i="12"/>
  <c r="C13" i="12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6" i="1"/>
  <c r="L399" i="1" s="1"/>
  <c r="C132" i="2" s="1"/>
  <c r="L397" i="1"/>
  <c r="L398" i="1"/>
  <c r="L258" i="1"/>
  <c r="J52" i="1"/>
  <c r="J104" i="1" s="1"/>
  <c r="J185" i="1" s="1"/>
  <c r="G51" i="2"/>
  <c r="G54" i="2" s="1"/>
  <c r="G53" i="2"/>
  <c r="F2" i="11"/>
  <c r="L603" i="1"/>
  <c r="H653" i="1" s="1"/>
  <c r="L602" i="1"/>
  <c r="G653" i="1"/>
  <c r="L601" i="1"/>
  <c r="L604" i="1" s="1"/>
  <c r="F653" i="1"/>
  <c r="C40" i="10"/>
  <c r="F52" i="1"/>
  <c r="C48" i="2" s="1"/>
  <c r="C55" i="2" s="1"/>
  <c r="G52" i="1"/>
  <c r="H52" i="1"/>
  <c r="I52" i="1"/>
  <c r="F71" i="1"/>
  <c r="F86" i="1"/>
  <c r="F103" i="1"/>
  <c r="F104" i="1"/>
  <c r="F185" i="1" s="1"/>
  <c r="G617" i="1" s="1"/>
  <c r="J617" i="1" s="1"/>
  <c r="G103" i="1"/>
  <c r="G104" i="1"/>
  <c r="H71" i="1"/>
  <c r="H104" i="1" s="1"/>
  <c r="H86" i="1"/>
  <c r="H103" i="1"/>
  <c r="I103" i="1"/>
  <c r="I104" i="1"/>
  <c r="J103" i="1"/>
  <c r="F128" i="1"/>
  <c r="G113" i="1"/>
  <c r="G132" i="1" s="1"/>
  <c r="H113" i="1"/>
  <c r="H132" i="1" s="1"/>
  <c r="H128" i="1"/>
  <c r="I113" i="1"/>
  <c r="I128" i="1"/>
  <c r="I132" i="1"/>
  <c r="J113" i="1"/>
  <c r="J132" i="1" s="1"/>
  <c r="J128" i="1"/>
  <c r="F139" i="1"/>
  <c r="F154" i="1"/>
  <c r="F161" i="1"/>
  <c r="G139" i="1"/>
  <c r="D77" i="2" s="1"/>
  <c r="D83" i="2" s="1"/>
  <c r="G154" i="1"/>
  <c r="H139" i="1"/>
  <c r="H154" i="1"/>
  <c r="H161" i="1"/>
  <c r="I139" i="1"/>
  <c r="I161" i="1" s="1"/>
  <c r="I154" i="1"/>
  <c r="C15" i="10"/>
  <c r="C16" i="10"/>
  <c r="L242" i="1"/>
  <c r="L324" i="1"/>
  <c r="C23" i="10" s="1"/>
  <c r="L246" i="1"/>
  <c r="C25" i="10"/>
  <c r="L260" i="1"/>
  <c r="C26" i="10" s="1"/>
  <c r="L261" i="1"/>
  <c r="L341" i="1"/>
  <c r="L342" i="1"/>
  <c r="E135" i="2" s="1"/>
  <c r="I655" i="1"/>
  <c r="I660" i="1"/>
  <c r="F652" i="1"/>
  <c r="G652" i="1"/>
  <c r="I659" i="1"/>
  <c r="C6" i="10"/>
  <c r="C5" i="10"/>
  <c r="C42" i="10"/>
  <c r="L366" i="1"/>
  <c r="L367" i="1"/>
  <c r="F122" i="2" s="1"/>
  <c r="F136" i="2" s="1"/>
  <c r="F137" i="2" s="1"/>
  <c r="L368" i="1"/>
  <c r="L369" i="1"/>
  <c r="L370" i="1"/>
  <c r="L371" i="1"/>
  <c r="L372" i="1"/>
  <c r="B2" i="10"/>
  <c r="L336" i="1"/>
  <c r="L337" i="1"/>
  <c r="L338" i="1"/>
  <c r="L339" i="1"/>
  <c r="L343" i="1"/>
  <c r="K343" i="1"/>
  <c r="L512" i="1"/>
  <c r="F540" i="1" s="1"/>
  <c r="L513" i="1"/>
  <c r="F541" i="1"/>
  <c r="L516" i="1"/>
  <c r="G539" i="1" s="1"/>
  <c r="L517" i="1"/>
  <c r="G540" i="1" s="1"/>
  <c r="L518" i="1"/>
  <c r="G541" i="1"/>
  <c r="L522" i="1"/>
  <c r="H540" i="1"/>
  <c r="L523" i="1"/>
  <c r="H541" i="1"/>
  <c r="L526" i="1"/>
  <c r="I539" i="1" s="1"/>
  <c r="I542" i="1" s="1"/>
  <c r="L527" i="1"/>
  <c r="I540" i="1"/>
  <c r="L528" i="1"/>
  <c r="I541" i="1" s="1"/>
  <c r="L531" i="1"/>
  <c r="J539" i="1"/>
  <c r="J542" i="1" s="1"/>
  <c r="L532" i="1"/>
  <c r="L534" i="1" s="1"/>
  <c r="J540" i="1"/>
  <c r="L533" i="1"/>
  <c r="J541" i="1"/>
  <c r="E123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D9" i="2"/>
  <c r="D19" i="2" s="1"/>
  <c r="E9" i="2"/>
  <c r="E19" i="2" s="1"/>
  <c r="F9" i="2"/>
  <c r="F19" i="2" s="1"/>
  <c r="I431" i="1"/>
  <c r="I438" i="1" s="1"/>
  <c r="G632" i="1" s="1"/>
  <c r="C10" i="2"/>
  <c r="D10" i="2"/>
  <c r="E10" i="2"/>
  <c r="F10" i="2"/>
  <c r="I432" i="1"/>
  <c r="J10" i="1" s="1"/>
  <c r="G10" i="2" s="1"/>
  <c r="C11" i="2"/>
  <c r="C19" i="2" s="1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 s="1"/>
  <c r="G18" i="2" s="1"/>
  <c r="C22" i="2"/>
  <c r="D22" i="2"/>
  <c r="E22" i="2"/>
  <c r="F22" i="2"/>
  <c r="I440" i="1"/>
  <c r="I444" i="1" s="1"/>
  <c r="I451" i="1" s="1"/>
  <c r="H632" i="1" s="1"/>
  <c r="C23" i="2"/>
  <c r="D23" i="2"/>
  <c r="E23" i="2"/>
  <c r="F23" i="2"/>
  <c r="I441" i="1"/>
  <c r="J24" i="1" s="1"/>
  <c r="G23" i="2" s="1"/>
  <c r="C24" i="2"/>
  <c r="C32" i="2" s="1"/>
  <c r="D24" i="2"/>
  <c r="D32" i="2" s="1"/>
  <c r="E24" i="2"/>
  <c r="E32" i="2" s="1"/>
  <c r="F24" i="2"/>
  <c r="I442" i="1"/>
  <c r="J25" i="1" s="1"/>
  <c r="G24" i="2" s="1"/>
  <c r="C25" i="2"/>
  <c r="D25" i="2"/>
  <c r="E25" i="2"/>
  <c r="F25" i="2"/>
  <c r="C26" i="2"/>
  <c r="F26" i="2"/>
  <c r="C27" i="2"/>
  <c r="F27" i="2"/>
  <c r="F32" i="2" s="1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D42" i="2" s="1"/>
  <c r="D43" i="2" s="1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F43" i="2" s="1"/>
  <c r="I446" i="1"/>
  <c r="J37" i="1"/>
  <c r="G36" i="2" s="1"/>
  <c r="C37" i="2"/>
  <c r="D37" i="2"/>
  <c r="E37" i="2"/>
  <c r="F37" i="2"/>
  <c r="I447" i="1"/>
  <c r="J38" i="1"/>
  <c r="G37" i="2"/>
  <c r="C38" i="2"/>
  <c r="C42" i="2" s="1"/>
  <c r="C43" i="2" s="1"/>
  <c r="D38" i="2"/>
  <c r="E38" i="2"/>
  <c r="F38" i="2"/>
  <c r="I448" i="1"/>
  <c r="J40" i="1" s="1"/>
  <c r="G39" i="2" s="1"/>
  <c r="C40" i="2"/>
  <c r="D40" i="2"/>
  <c r="E40" i="2"/>
  <c r="F40" i="2"/>
  <c r="I449" i="1"/>
  <c r="I450" i="1" s="1"/>
  <c r="J41" i="1"/>
  <c r="G40" i="2"/>
  <c r="C41" i="2"/>
  <c r="D41" i="2"/>
  <c r="E41" i="2"/>
  <c r="F41" i="2"/>
  <c r="D48" i="2"/>
  <c r="E48" i="2"/>
  <c r="F48" i="2"/>
  <c r="F55" i="2" s="1"/>
  <c r="C49" i="2"/>
  <c r="C50" i="2"/>
  <c r="C54" i="2" s="1"/>
  <c r="E50" i="2"/>
  <c r="C51" i="2"/>
  <c r="D51" i="2"/>
  <c r="D54" i="2" s="1"/>
  <c r="D55" i="2" s="1"/>
  <c r="E51" i="2"/>
  <c r="F51" i="2"/>
  <c r="D52" i="2"/>
  <c r="C53" i="2"/>
  <c r="D53" i="2"/>
  <c r="E53" i="2"/>
  <c r="F53" i="2"/>
  <c r="F54" i="2"/>
  <c r="C58" i="2"/>
  <c r="C59" i="2"/>
  <c r="C61" i="2"/>
  <c r="D61" i="2"/>
  <c r="E61" i="2"/>
  <c r="F61" i="2"/>
  <c r="G61" i="2"/>
  <c r="G62" i="2" s="1"/>
  <c r="C62" i="2"/>
  <c r="D62" i="2"/>
  <c r="E62" i="2"/>
  <c r="F62" i="2"/>
  <c r="C64" i="2"/>
  <c r="F64" i="2"/>
  <c r="F70" i="2" s="1"/>
  <c r="F73" i="2" s="1"/>
  <c r="C65" i="2"/>
  <c r="F65" i="2"/>
  <c r="C66" i="2"/>
  <c r="C67" i="2"/>
  <c r="C70" i="2" s="1"/>
  <c r="C73" i="2" s="1"/>
  <c r="C68" i="2"/>
  <c r="E68" i="2"/>
  <c r="E70" i="2" s="1"/>
  <c r="E73" i="2" s="1"/>
  <c r="F68" i="2"/>
  <c r="C69" i="2"/>
  <c r="D69" i="2"/>
  <c r="D70" i="2" s="1"/>
  <c r="D73" i="2" s="1"/>
  <c r="E69" i="2"/>
  <c r="F69" i="2"/>
  <c r="G69" i="2"/>
  <c r="G70" i="2"/>
  <c r="C71" i="2"/>
  <c r="D71" i="2"/>
  <c r="E71" i="2"/>
  <c r="C72" i="2"/>
  <c r="E72" i="2"/>
  <c r="C77" i="2"/>
  <c r="C83" i="2" s="1"/>
  <c r="E77" i="2"/>
  <c r="E83" i="2" s="1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D88" i="2"/>
  <c r="D95" i="2" s="1"/>
  <c r="E88" i="2"/>
  <c r="E95" i="2" s="1"/>
  <c r="F88" i="2"/>
  <c r="F95" i="2" s="1"/>
  <c r="G88" i="2"/>
  <c r="G95" i="2" s="1"/>
  <c r="C89" i="2"/>
  <c r="D89" i="2"/>
  <c r="E89" i="2"/>
  <c r="F89" i="2"/>
  <c r="G89" i="2"/>
  <c r="C90" i="2"/>
  <c r="D90" i="2"/>
  <c r="E90" i="2"/>
  <c r="G90" i="2"/>
  <c r="C91" i="2"/>
  <c r="C95" i="2" s="1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105" i="2"/>
  <c r="E105" i="2"/>
  <c r="D107" i="2"/>
  <c r="F107" i="2"/>
  <c r="G107" i="2"/>
  <c r="E112" i="2"/>
  <c r="E113" i="2"/>
  <c r="E114" i="2"/>
  <c r="E115" i="2"/>
  <c r="C117" i="2"/>
  <c r="F120" i="2"/>
  <c r="G120" i="2"/>
  <c r="C122" i="2"/>
  <c r="D126" i="2"/>
  <c r="D136" i="2" s="1"/>
  <c r="E126" i="2"/>
  <c r="F126" i="2"/>
  <c r="K411" i="1"/>
  <c r="K419" i="1"/>
  <c r="K425" i="1"/>
  <c r="K426" i="1"/>
  <c r="G126" i="2" s="1"/>
  <c r="G136" i="2" s="1"/>
  <c r="G137" i="2" s="1"/>
  <c r="L255" i="1"/>
  <c r="C127" i="2" s="1"/>
  <c r="E127" i="2"/>
  <c r="L256" i="1"/>
  <c r="C128" i="2" s="1"/>
  <c r="L257" i="1"/>
  <c r="C129" i="2" s="1"/>
  <c r="E129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 s="1"/>
  <c r="G490" i="1"/>
  <c r="K490" i="1" s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/>
  <c r="H493" i="1"/>
  <c r="K493" i="1" s="1"/>
  <c r="D156" i="2"/>
  <c r="I493" i="1"/>
  <c r="E156" i="2" s="1"/>
  <c r="J493" i="1"/>
  <c r="F156" i="2" s="1"/>
  <c r="F19" i="1"/>
  <c r="G607" i="1" s="1"/>
  <c r="G19" i="1"/>
  <c r="H19" i="1"/>
  <c r="I19" i="1"/>
  <c r="F33" i="1"/>
  <c r="G33" i="1"/>
  <c r="G44" i="1" s="1"/>
  <c r="H608" i="1" s="1"/>
  <c r="H33" i="1"/>
  <c r="H44" i="1" s="1"/>
  <c r="H609" i="1" s="1"/>
  <c r="I33" i="1"/>
  <c r="F43" i="1"/>
  <c r="F44" i="1" s="1"/>
  <c r="H607" i="1" s="1"/>
  <c r="G43" i="1"/>
  <c r="H43" i="1"/>
  <c r="I43" i="1"/>
  <c r="G615" i="1" s="1"/>
  <c r="I44" i="1"/>
  <c r="H610" i="1" s="1"/>
  <c r="F169" i="1"/>
  <c r="I169" i="1"/>
  <c r="I184" i="1" s="1"/>
  <c r="F175" i="1"/>
  <c r="G175" i="1"/>
  <c r="H175" i="1"/>
  <c r="I175" i="1"/>
  <c r="J175" i="1"/>
  <c r="J184" i="1" s="1"/>
  <c r="F180" i="1"/>
  <c r="G180" i="1"/>
  <c r="G184" i="1" s="1"/>
  <c r="H180" i="1"/>
  <c r="H184" i="1" s="1"/>
  <c r="I180" i="1"/>
  <c r="F184" i="1"/>
  <c r="G203" i="1"/>
  <c r="H203" i="1"/>
  <c r="H249" i="1" s="1"/>
  <c r="H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F282" i="1"/>
  <c r="F330" i="1" s="1"/>
  <c r="F344" i="1" s="1"/>
  <c r="I282" i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I330" i="1"/>
  <c r="I344" i="1" s="1"/>
  <c r="K330" i="1"/>
  <c r="K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G426" i="1"/>
  <c r="H426" i="1"/>
  <c r="I426" i="1"/>
  <c r="F438" i="1"/>
  <c r="G438" i="1"/>
  <c r="H438" i="1"/>
  <c r="G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G460" i="1"/>
  <c r="H460" i="1"/>
  <c r="H466" i="1" s="1"/>
  <c r="H614" i="1" s="1"/>
  <c r="I460" i="1"/>
  <c r="I466" i="1" s="1"/>
  <c r="H615" i="1" s="1"/>
  <c r="J460" i="1"/>
  <c r="J466" i="1" s="1"/>
  <c r="H616" i="1" s="1"/>
  <c r="F464" i="1"/>
  <c r="F466" i="1" s="1"/>
  <c r="H612" i="1" s="1"/>
  <c r="G464" i="1"/>
  <c r="G466" i="1" s="1"/>
  <c r="H613" i="1" s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K514" i="1"/>
  <c r="F519" i="1"/>
  <c r="G519" i="1"/>
  <c r="H519" i="1"/>
  <c r="I519" i="1"/>
  <c r="J519" i="1"/>
  <c r="J535" i="1" s="1"/>
  <c r="K519" i="1"/>
  <c r="K535" i="1" s="1"/>
  <c r="L519" i="1"/>
  <c r="F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48" i="1"/>
  <c r="L549" i="1"/>
  <c r="F550" i="1"/>
  <c r="G550" i="1"/>
  <c r="H550" i="1"/>
  <c r="H561" i="1" s="1"/>
  <c r="I550" i="1"/>
  <c r="I561" i="1" s="1"/>
  <c r="J550" i="1"/>
  <c r="J561" i="1" s="1"/>
  <c r="K550" i="1"/>
  <c r="K561" i="1" s="1"/>
  <c r="L550" i="1"/>
  <c r="L561" i="1" s="1"/>
  <c r="L552" i="1"/>
  <c r="L553" i="1"/>
  <c r="L554" i="1"/>
  <c r="F555" i="1"/>
  <c r="G555" i="1"/>
  <c r="H555" i="1"/>
  <c r="I555" i="1"/>
  <c r="J555" i="1"/>
  <c r="K555" i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8" i="1" s="1"/>
  <c r="G637" i="1" s="1"/>
  <c r="K585" i="1"/>
  <c r="K586" i="1"/>
  <c r="K587" i="1"/>
  <c r="H588" i="1"/>
  <c r="H639" i="1" s="1"/>
  <c r="I588" i="1"/>
  <c r="J588" i="1"/>
  <c r="K592" i="1"/>
  <c r="K593" i="1"/>
  <c r="H595" i="1"/>
  <c r="I595" i="1"/>
  <c r="J595" i="1"/>
  <c r="F604" i="1"/>
  <c r="G604" i="1"/>
  <c r="H604" i="1"/>
  <c r="I604" i="1"/>
  <c r="J604" i="1"/>
  <c r="K604" i="1"/>
  <c r="G608" i="1"/>
  <c r="J608" i="1" s="1"/>
  <c r="G609" i="1"/>
  <c r="J609" i="1" s="1"/>
  <c r="G610" i="1"/>
  <c r="J610" i="1" s="1"/>
  <c r="G612" i="1"/>
  <c r="J612" i="1" s="1"/>
  <c r="G613" i="1"/>
  <c r="G614" i="1"/>
  <c r="J614" i="1" s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29" i="1"/>
  <c r="J629" i="1" s="1"/>
  <c r="G630" i="1"/>
  <c r="G633" i="1"/>
  <c r="G634" i="1"/>
  <c r="G635" i="1"/>
  <c r="G640" i="1"/>
  <c r="J640" i="1" s="1"/>
  <c r="H640" i="1"/>
  <c r="G641" i="1"/>
  <c r="J641" i="1" s="1"/>
  <c r="H641" i="1"/>
  <c r="G642" i="1"/>
  <c r="J642" i="1" s="1"/>
  <c r="H642" i="1"/>
  <c r="G643" i="1"/>
  <c r="H643" i="1"/>
  <c r="J643" i="1"/>
  <c r="G644" i="1"/>
  <c r="J644" i="1" s="1"/>
  <c r="H644" i="1"/>
  <c r="G645" i="1"/>
  <c r="J645" i="1" s="1"/>
  <c r="H645" i="1"/>
  <c r="E33" i="13" l="1"/>
  <c r="D35" i="13" s="1"/>
  <c r="C8" i="13"/>
  <c r="C11" i="10"/>
  <c r="L514" i="1"/>
  <c r="L535" i="1" s="1"/>
  <c r="F539" i="1"/>
  <c r="G535" i="1"/>
  <c r="G42" i="2"/>
  <c r="C39" i="10"/>
  <c r="J634" i="1"/>
  <c r="J615" i="1"/>
  <c r="D96" i="2"/>
  <c r="G542" i="1"/>
  <c r="H185" i="1"/>
  <c r="G619" i="1" s="1"/>
  <c r="J619" i="1" s="1"/>
  <c r="I653" i="1"/>
  <c r="E136" i="2"/>
  <c r="G636" i="1"/>
  <c r="G621" i="1"/>
  <c r="J621" i="1" s="1"/>
  <c r="J633" i="1"/>
  <c r="J631" i="1"/>
  <c r="G153" i="2"/>
  <c r="K541" i="1"/>
  <c r="I185" i="1"/>
  <c r="G620" i="1" s="1"/>
  <c r="J620" i="1" s="1"/>
  <c r="G185" i="1"/>
  <c r="G618" i="1" s="1"/>
  <c r="J618" i="1" s="1"/>
  <c r="L400" i="1"/>
  <c r="C130" i="2"/>
  <c r="C133" i="2" s="1"/>
  <c r="F33" i="13"/>
  <c r="L524" i="1"/>
  <c r="H539" i="1"/>
  <c r="H542" i="1" s="1"/>
  <c r="C96" i="2"/>
  <c r="J607" i="1"/>
  <c r="J630" i="1"/>
  <c r="G73" i="2"/>
  <c r="D12" i="13"/>
  <c r="C12" i="13" s="1"/>
  <c r="C113" i="2"/>
  <c r="C18" i="10"/>
  <c r="J637" i="1"/>
  <c r="J632" i="1"/>
  <c r="K540" i="1"/>
  <c r="C38" i="10"/>
  <c r="J613" i="1"/>
  <c r="F96" i="2"/>
  <c r="L189" i="1"/>
  <c r="G524" i="1"/>
  <c r="J203" i="1"/>
  <c r="J249" i="1" s="1"/>
  <c r="C102" i="2"/>
  <c r="L221" i="1"/>
  <c r="G650" i="1" s="1"/>
  <c r="G161" i="1"/>
  <c r="J23" i="1"/>
  <c r="J9" i="1"/>
  <c r="H652" i="1"/>
  <c r="H654" i="1" s="1"/>
  <c r="G48" i="2"/>
  <c r="G55" i="2" s="1"/>
  <c r="L354" i="1"/>
  <c r="D18" i="13"/>
  <c r="C18" i="13" s="1"/>
  <c r="G12" i="13"/>
  <c r="G33" i="13" s="1"/>
  <c r="D119" i="2"/>
  <c r="D120" i="2" s="1"/>
  <c r="D137" i="2" s="1"/>
  <c r="C112" i="2"/>
  <c r="C24" i="10"/>
  <c r="C13" i="10"/>
  <c r="L268" i="1"/>
  <c r="G639" i="1"/>
  <c r="J639" i="1" s="1"/>
  <c r="E49" i="2"/>
  <c r="E54" i="2" s="1"/>
  <c r="E55" i="2" s="1"/>
  <c r="E96" i="2" s="1"/>
  <c r="G651" i="1"/>
  <c r="I651" i="1" s="1"/>
  <c r="C12" i="10"/>
  <c r="F203" i="1"/>
  <c r="F249" i="1" s="1"/>
  <c r="F263" i="1" s="1"/>
  <c r="J43" i="1"/>
  <c r="C134" i="2"/>
  <c r="C35" i="10"/>
  <c r="L374" i="1"/>
  <c r="G626" i="1" s="1"/>
  <c r="J626" i="1" s="1"/>
  <c r="C116" i="2"/>
  <c r="C110" i="2"/>
  <c r="D15" i="13"/>
  <c r="C15" i="13" s="1"/>
  <c r="C29" i="10"/>
  <c r="C21" i="10"/>
  <c r="G282" i="1"/>
  <c r="G330" i="1" s="1"/>
  <c r="G344" i="1" s="1"/>
  <c r="C115" i="2"/>
  <c r="H662" i="1" l="1"/>
  <c r="H657" i="1"/>
  <c r="H636" i="1"/>
  <c r="G627" i="1"/>
  <c r="J627" i="1" s="1"/>
  <c r="J19" i="1"/>
  <c r="G611" i="1" s="1"/>
  <c r="G9" i="2"/>
  <c r="G19" i="2" s="1"/>
  <c r="G43" i="2"/>
  <c r="G22" i="2"/>
  <c r="G32" i="2" s="1"/>
  <c r="J33" i="1"/>
  <c r="C136" i="2"/>
  <c r="J636" i="1"/>
  <c r="K539" i="1"/>
  <c r="K542" i="1" s="1"/>
  <c r="F542" i="1"/>
  <c r="L282" i="1"/>
  <c r="E101" i="2"/>
  <c r="E107" i="2" s="1"/>
  <c r="E137" i="2" s="1"/>
  <c r="C120" i="2"/>
  <c r="G654" i="1"/>
  <c r="L203" i="1"/>
  <c r="C10" i="10"/>
  <c r="C101" i="2"/>
  <c r="C107" i="2" s="1"/>
  <c r="C27" i="10"/>
  <c r="G625" i="1"/>
  <c r="J625" i="1" s="1"/>
  <c r="G96" i="2"/>
  <c r="I652" i="1"/>
  <c r="J44" i="1"/>
  <c r="H611" i="1" s="1"/>
  <c r="G616" i="1"/>
  <c r="J616" i="1" s="1"/>
  <c r="H638" i="1"/>
  <c r="J638" i="1" s="1"/>
  <c r="J263" i="1"/>
  <c r="C36" i="10"/>
  <c r="D5" i="13"/>
  <c r="L249" i="1" l="1"/>
  <c r="L263" i="1" s="1"/>
  <c r="G622" i="1" s="1"/>
  <c r="J622" i="1" s="1"/>
  <c r="F650" i="1"/>
  <c r="G662" i="1"/>
  <c r="G657" i="1"/>
  <c r="J611" i="1"/>
  <c r="D31" i="13"/>
  <c r="C31" i="13" s="1"/>
  <c r="L330" i="1"/>
  <c r="L344" i="1" s="1"/>
  <c r="G623" i="1" s="1"/>
  <c r="J623" i="1" s="1"/>
  <c r="D33" i="13"/>
  <c r="D36" i="13" s="1"/>
  <c r="C5" i="13"/>
  <c r="D36" i="10"/>
  <c r="D27" i="10"/>
  <c r="C41" i="10"/>
  <c r="C137" i="2"/>
  <c r="C28" i="10"/>
  <c r="D10" i="10" s="1"/>
  <c r="H646" i="1" l="1"/>
  <c r="C30" i="10"/>
  <c r="D22" i="10"/>
  <c r="D15" i="10"/>
  <c r="D26" i="10"/>
  <c r="D16" i="10"/>
  <c r="D23" i="10"/>
  <c r="D25" i="10"/>
  <c r="D19" i="10"/>
  <c r="D17" i="10"/>
  <c r="D20" i="10"/>
  <c r="D11" i="10"/>
  <c r="D28" i="10" s="1"/>
  <c r="D24" i="10"/>
  <c r="D18" i="10"/>
  <c r="D12" i="10"/>
  <c r="D21" i="10"/>
  <c r="D13" i="10"/>
  <c r="I650" i="1"/>
  <c r="I654" i="1" s="1"/>
  <c r="F654" i="1"/>
  <c r="D40" i="10"/>
  <c r="D37" i="10"/>
  <c r="D35" i="10"/>
  <c r="D39" i="10"/>
  <c r="D38" i="10"/>
  <c r="D41" i="10" l="1"/>
  <c r="I662" i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9B5D426B-C4F2-4BAC-A571-BA58AFED646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E0ECA96-11A8-4613-9512-F2C9DCB1382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D3356DD-280B-4FFC-89D8-E57452CCB2C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27927D0-C3B4-4044-98B0-F7144402D2BE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43FE65A-AFE7-4B02-807F-CCEF4ADCD66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A0CF3ABB-9BA9-4F2E-B428-072509C54B1E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4DA28E8-9272-41C6-B3DD-95E06E53895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11236DF-6C72-4BD9-A4F3-BF05413F7452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9225FB4-9BB8-4F91-9FC0-54B299348D3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0C2EBC97-D180-4BE5-9F2C-40AF571238B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6E442476-EB85-42DD-A9C1-7CE60FAF0D0D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D794AA4-5546-45B8-9307-386FC138F539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<sst xmlns="http://schemas.openxmlformats.org/spreadsheetml/2006/main" count="3858" uniqueCount="895">
  <si>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</si>
  <si>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</si>
  <si>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</si>
  <si>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</si>
  <si>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</si>
  <si>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</si>
  <si>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</si>
  <si>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</si>
  <si>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</si>
  <si>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</si>
  <si>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</si>
  <si>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</si>
  <si>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</si>
  <si>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</si>
  <si>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</si>
  <si>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</si>
  <si>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</si>
  <si>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</si>
  <si>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</si>
  <si>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</si>
  <si>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</si>
  <si>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</si>
  <si>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</si>
  <si>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</si>
  <si>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</si>
  <si>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</si>
  <si>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</si>
  <si>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</si>
  <si>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</si>
  <si>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</si>
  <si>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</si>
  <si>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</si>
  <si>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</si>
  <si>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</si>
  <si>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</si>
  <si>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</si>
  <si>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</si>
  <si>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</si>
  <si>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</si>
  <si>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</si>
  <si>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</si>
  <si>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</si>
  <si>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</si>
  <si>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</si>
  <si>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</si>
  <si>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</si>
  <si>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</si>
  <si>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</si>
  <si>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</si>
  <si>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</si>
  <si>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</si>
  <si>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</si>
  <si>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</si>
  <si>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</si>
  <si>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</si>
  <si>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</si>
  <si>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</si>
  <si>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</si>
  <si>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</si>
  <si>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</si>
  <si>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</si>
  <si>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</si>
  <si>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</si>
  <si>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</si>
  <si>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</si>
  <si>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</si>
  <si>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</si>
  <si>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</si>
  <si>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</si>
  <si>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</si>
  <si>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</si>
  <si>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</si>
  <si>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</si>
  <si>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</si>
  <si>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</si>
  <si>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</si>
  <si>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</si>
  <si>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</si>
  <si>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</si>
  <si>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</si>
  <si>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</si>
  <si>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</si>
  <si>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</si>
  <si>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</si>
  <si>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</si>
  <si>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</si>
  <si>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</si>
  <si>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</si>
  <si>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</si>
  <si>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</si>
  <si>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</si>
  <si>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</si>
  <si>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</si>
  <si>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</si>
  <si>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</si>
  <si>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</si>
  <si>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</si>
  <si>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</si>
  <si>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</si>
  <si>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</si>
  <si>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</si>
  <si>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</si>
  <si>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</si>
  <si>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</si>
  <si>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</si>
  <si>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</si>
  <si>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</si>
  <si>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</si>
  <si>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</si>
  <si>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</si>
  <si>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</si>
  <si>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</si>
  <si>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</si>
  <si>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</si>
  <si>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</si>
  <si>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</si>
  <si>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</si>
  <si>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</si>
  <si>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</si>
  <si>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</si>
  <si>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</si>
  <si>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</si>
  <si>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</si>
  <si>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</si>
  <si>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</si>
  <si>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</si>
  <si>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</si>
  <si>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</si>
  <si>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</si>
  <si>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</si>
  <si>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</si>
  <si>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</si>
  <si>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</si>
  <si>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</si>
  <si>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</si>
  <si>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</si>
  <si>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</si>
  <si>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</si>
  <si>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</si>
  <si>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</si>
  <si>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</si>
  <si>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</si>
  <si>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</si>
  <si>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</si>
  <si>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</si>
  <si>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</si>
  <si>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</si>
  <si>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</si>
  <si>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</si>
  <si>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</si>
  <si>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</si>
  <si>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</si>
  <si>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</si>
  <si>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</si>
  <si>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</si>
  <si>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</si>
  <si>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</si>
  <si>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</si>
  <si>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</si>
  <si>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</si>
  <si>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</si>
  <si>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</si>
  <si>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</si>
  <si>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</si>
  <si>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</si>
  <si>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</si>
  <si>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</si>
  <si>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</si>
  <si>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</si>
  <si>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</si>
  <si>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</si>
  <si>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</si>
  <si>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</si>
  <si>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</si>
  <si>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</si>
  <si>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</si>
  <si>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</si>
  <si>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</si>
  <si>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</si>
  <si>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</si>
  <si>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</si>
  <si>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</si>
  <si>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</si>
  <si>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</si>
  <si>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</si>
  <si>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</si>
  <si>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</si>
  <si>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</si>
  <si>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</si>
  <si>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</si>
  <si>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</si>
  <si>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</si>
  <si>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</si>
  <si>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</si>
  <si>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</si>
  <si>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</si>
  <si>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</si>
  <si>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</si>
  <si>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</si>
  <si>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</si>
  <si>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</si>
  <si>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</si>
  <si>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</si>
  <si>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</si>
  <si>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</si>
  <si>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</si>
  <si>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</si>
  <si>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</si>
  <si>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</si>
  <si>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</si>
  <si>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</si>
  <si>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</si>
  <si>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</si>
  <si>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</si>
  <si>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</si>
  <si>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</si>
  <si>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</si>
  <si>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</si>
  <si>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</si>
  <si>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</si>
  <si>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</si>
  <si>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</si>
  <si>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</si>
  <si>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</si>
  <si>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</si>
  <si>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</si>
  <si>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</si>
  <si>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</si>
  <si>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</si>
  <si>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</si>
  <si>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</si>
  <si>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</si>
  <si>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</si>
  <si>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</si>
  <si>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</si>
  <si>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</si>
  <si>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</si>
  <si>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</si>
  <si>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</si>
  <si>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</si>
  <si>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</si>
  <si>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</si>
  <si>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</si>
  <si>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</si>
  <si>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</si>
  <si>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</si>
  <si>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</si>
  <si>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</si>
  <si>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</si>
  <si>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</si>
  <si>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</si>
  <si>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</si>
  <si>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</si>
  <si>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</si>
  <si>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</si>
  <si>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</si>
  <si>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</si>
  <si>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</si>
  <si>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</si>
  <si>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</si>
  <si>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</si>
  <si>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</si>
  <si>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</si>
  <si>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</si>
  <si>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</si>
  <si>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</si>
  <si>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</si>
  <si>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</si>
  <si>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</si>
  <si>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</si>
  <si>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</si>
  <si>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</si>
  <si>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</si>
  <si>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</si>
  <si>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</si>
  <si>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</si>
  <si>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</si>
  <si>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</si>
  <si>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</si>
  <si>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</si>
  <si>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</si>
  <si>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</si>
  <si>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</si>
  <si>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</si>
  <si>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</si>
  <si>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</si>
  <si>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</si>
  <si>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</si>
  <si>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</si>
  <si>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</si>
  <si>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</si>
  <si>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</si>
  <si>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</si>
  <si>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</si>
  <si>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</si>
  <si>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</si>
  <si>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</si>
  <si>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</si>
  <si>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</si>
  <si>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</si>
  <si>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</si>
  <si>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</si>
  <si>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</si>
  <si>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</si>
  <si>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</si>
  <si>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</si>
  <si>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</si>
  <si>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</si>
  <si>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</si>
  <si>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</si>
  <si>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</si>
  <si>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</si>
  <si>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</si>
  <si>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</si>
  <si>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</si>
  <si>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</si>
  <si>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</si>
  <si>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</si>
  <si>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</si>
  <si>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</si>
  <si>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</si>
  <si>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</si>
  <si>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</si>
  <si>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</si>
  <si>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</si>
  <si>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</si>
  <si>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</si>
  <si>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</si>
  <si>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</si>
  <si>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</si>
  <si>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</si>
  <si>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</si>
  <si>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</si>
  <si>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</si>
  <si>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</si>
  <si>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</si>
  <si>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</si>
  <si>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</si>
  <si>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</si>
  <si>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</si>
  <si>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</si>
  <si>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</si>
  <si>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</si>
  <si>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</si>
  <si>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</si>
  <si>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</si>
  <si>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</si>
  <si>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</si>
  <si>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</si>
  <si>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</si>
  <si>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</si>
  <si>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</si>
  <si>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</si>
  <si>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</si>
  <si>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</si>
  <si>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</si>
  <si>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</si>
  <si>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</si>
  <si>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</si>
  <si>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</si>
  <si>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</si>
  <si>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</si>
  <si>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</si>
  <si>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</si>
  <si>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</si>
  <si>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</si>
  <si>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</si>
  <si>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</si>
  <si>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</si>
  <si>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</si>
  <si>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</si>
  <si>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</si>
  <si>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</si>
  <si>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</si>
  <si>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</si>
  <si>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</si>
  <si>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</si>
  <si>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</si>
  <si>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</si>
  <si>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</si>
  <si>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</si>
  <si>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</si>
  <si>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</si>
  <si>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</si>
  <si>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</si>
  <si>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</si>
  <si>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</si>
  <si>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</si>
  <si>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</si>
  <si>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</si>
  <si>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</si>
  <si>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</si>
  <si>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</si>
  <si>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</si>
  <si>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</si>
  <si>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</si>
  <si>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</si>
  <si>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</si>
  <si>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</si>
  <si>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</si>
  <si>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</si>
  <si>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</si>
  <si>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</si>
  <si>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</si>
  <si>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</si>
  <si>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</si>
  <si>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</si>
  <si>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</si>
  <si>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</si>
  <si>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</si>
  <si>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</si>
  <si>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</si>
  <si>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</si>
  <si>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</si>
  <si>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</si>
  <si>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</si>
  <si>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</si>
  <si>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</si>
  <si>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</si>
  <si>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</si>
  <si>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</si>
  <si>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</si>
  <si>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</si>
  <si>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</si>
  <si>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</si>
  <si>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</si>
  <si>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</si>
  <si>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</si>
  <si>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</si>
  <si>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</si>
  <si>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</si>
  <si>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</si>
  <si>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</si>
  <si>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</si>
  <si>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</si>
  <si>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</si>
  <si>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</si>
  <si>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</si>
  <si>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</si>
  <si>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</si>
  <si>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</si>
  <si>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</si>
  <si>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</si>
  <si>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</si>
  <si>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</si>
  <si>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</si>
  <si>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</si>
  <si>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</si>
  <si>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</si>
  <si>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</si>
  <si>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</si>
  <si>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</si>
  <si>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</si>
  <si>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</si>
  <si>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</si>
  <si>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</si>
  <si>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</si>
  <si>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</si>
  <si>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</si>
  <si>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</si>
  <si>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</si>
  <si>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</si>
  <si>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</si>
  <si>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</si>
  <si>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</si>
  <si>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</si>
  <si>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</si>
  <si>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</si>
  <si>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</si>
  <si>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</si>
  <si>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</si>
  <si>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</si>
  <si>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</si>
  <si>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</si>
  <si>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</si>
  <si>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</si>
  <si>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</si>
  <si>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</si>
  <si>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</si>
  <si>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</si>
  <si>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</si>
  <si>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</si>
  <si>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</si>
  <si>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</si>
  <si>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</si>
  <si>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</si>
  <si>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</si>
  <si>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</si>
  <si>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</si>
  <si>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</si>
  <si>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</si>
  <si>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</si>
  <si>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</si>
  <si>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</si>
  <si>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</si>
  <si>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</si>
  <si>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</si>
  <si>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</si>
  <si>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</si>
  <si>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</si>
  <si>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</si>
  <si>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</si>
  <si>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</si>
  <si>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</si>
  <si>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</si>
  <si>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</si>
  <si>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</si>
  <si>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</si>
  <si>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</si>
  <si>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</si>
  <si>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</si>
  <si>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</si>
  <si>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</si>
  <si>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</si>
  <si>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</si>
  <si>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</si>
  <si>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</si>
  <si>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</si>
  <si>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</si>
  <si>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</si>
  <si>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</si>
  <si>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</si>
  <si>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</si>
  <si>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</si>
  <si>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</si>
  <si>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</si>
  <si>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</si>
  <si>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</si>
  <si>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</si>
  <si>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</si>
  <si>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</si>
  <si>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</si>
  <si>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</si>
  <si>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</si>
  <si>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</si>
  <si>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</si>
  <si>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</si>
  <si>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</si>
  <si>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</si>
  <si>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</si>
  <si>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</si>
  <si>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</si>
  <si>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</si>
  <si>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</si>
  <si>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</si>
  <si>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</si>
  <si>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</si>
  <si>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</si>
  <si>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</si>
  <si>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</si>
  <si>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</si>
  <si>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</si>
  <si>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</si>
  <si>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</si>
  <si>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</si>
  <si>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</si>
  <si>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</si>
  <si>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</si>
  <si>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</si>
  <si>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</si>
  <si>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</si>
  <si>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</si>
  <si>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</si>
  <si>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</si>
  <si>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</si>
  <si>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</si>
  <si>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</si>
  <si>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</si>
  <si>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</si>
  <si>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</si>
  <si>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</si>
  <si>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</si>
  <si>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</si>
  <si>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</si>
  <si>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</si>
  <si>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</si>
  <si>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</si>
  <si>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</si>
  <si>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</si>
  <si>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</si>
  <si>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</si>
  <si>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</si>
  <si>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</si>
  <si>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</si>
  <si>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</si>
  <si>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</si>
  <si>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</si>
  <si>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</si>
  <si>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</si>
  <si>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</si>
  <si>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</si>
  <si>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</si>
  <si>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</si>
  <si>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</si>
  <si>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</si>
  <si>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</si>
  <si>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</si>
  <si>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</si>
  <si>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</si>
  <si>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</si>
  <si>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</si>
  <si>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</si>
  <si>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</si>
  <si>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</si>
  <si>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</si>
  <si>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</si>
  <si>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</si>
  <si>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</si>
  <si>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</si>
  <si>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</si>
  <si>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</si>
  <si>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</si>
  <si>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</si>
  <si>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</si>
  <si>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</si>
  <si>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</si>
  <si>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</si>
  <si>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</si>
  <si>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</si>
  <si>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</si>
  <si>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</si>
  <si>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</si>
  <si>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</si>
  <si>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</si>
  <si>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</si>
  <si>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</si>
  <si>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</si>
  <si>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</si>
  <si>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</si>
  <si>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</si>
  <si>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</si>
  <si>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</si>
  <si>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</si>
  <si>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</si>
  <si>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</si>
  <si>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</si>
  <si>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</si>
  <si>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</si>
  <si>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</si>
  <si>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</si>
  <si>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</si>
  <si>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</si>
  <si>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</si>
  <si>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</si>
  <si>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</si>
  <si>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</si>
  <si>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</si>
  <si>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</si>
  <si>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</si>
  <si>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</si>
  <si>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</si>
  <si>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</si>
  <si>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</si>
  <si>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</si>
  <si>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</si>
  <si>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</si>
  <si>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</si>
  <si>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</si>
  <si>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</si>
  <si>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</si>
  <si>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</si>
  <si>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</si>
  <si>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</si>
  <si>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</si>
  <si>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</si>
  <si>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</si>
  <si>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</si>
  <si>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</si>
  <si>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</si>
  <si>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</si>
  <si>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</si>
  <si>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</si>
  <si>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</si>
  <si>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</si>
  <si>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</si>
  <si>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</si>
  <si>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</si>
  <si>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</si>
  <si>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</si>
  <si>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</si>
  <si>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</si>
  <si>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</si>
  <si>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</si>
  <si>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</si>
  <si>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</si>
  <si>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</si>
  <si>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</si>
  <si>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</si>
  <si>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</si>
  <si>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</si>
  <si>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</si>
  <si>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</si>
  <si>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</si>
  <si>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</si>
  <si>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</si>
  <si>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</si>
  <si>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</si>
  <si>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</si>
  <si>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</si>
  <si>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</si>
  <si>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</si>
  <si>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</si>
  <si>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</si>
  <si>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</si>
  <si>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</si>
  <si>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</si>
  <si>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</si>
  <si>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</si>
  <si>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</si>
  <si>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</si>
  <si>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</si>
  <si>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</si>
  <si>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</si>
  <si>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</si>
  <si>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</si>
  <si>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</si>
  <si>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</si>
  <si>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</si>
  <si>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</si>
  <si>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</si>
  <si>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</si>
  <si>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</si>
  <si>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</si>
  <si>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</si>
  <si>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</si>
  <si>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</si>
  <si>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</si>
  <si>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</si>
  <si>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</si>
  <si>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</si>
  <si>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</si>
  <si>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</si>
  <si>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</si>
  <si>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</si>
  <si>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</si>
  <si>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</si>
  <si>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</si>
  <si>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</si>
  <si>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</si>
  <si>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</si>
  <si>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</si>
  <si>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</si>
  <si>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</si>
  <si>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</si>
  <si>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</si>
  <si>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</si>
  <si>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</si>
  <si>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</si>
  <si>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</si>
  <si>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</si>
  <si>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</si>
  <si>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</si>
  <si>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</si>
  <si>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</si>
  <si>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</si>
  <si>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</si>
  <si>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</si>
  <si>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</si>
  <si>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</si>
  <si>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</si>
  <si>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</si>
  <si>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</si>
  <si>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</si>
  <si>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</si>
  <si>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</si>
  <si>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</si>
  <si>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</si>
  <si>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</si>
  <si>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</si>
  <si>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</si>
  <si>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</si>
  <si>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</si>
  <si>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</si>
  <si>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</si>
  <si>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</si>
  <si>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</si>
  <si>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</si>
  <si>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</si>
  <si>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</si>
  <si>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</si>
  <si>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</si>
  <si>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</si>
  <si>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</si>
  <si>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</si>
  <si>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</si>
  <si>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</si>
  <si>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</si>
  <si>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</si>
  <si>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</si>
  <si>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</si>
  <si>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</si>
  <si>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</si>
  <si>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</si>
  <si>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</si>
  <si>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</si>
  <si>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</si>
  <si>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</si>
  <si>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</si>
  <si>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</si>
  <si>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</si>
  <si>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</si>
  <si>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</si>
  <si>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</si>
  <si>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</si>
  <si>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</si>
  <si>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</si>
  <si>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</si>
  <si>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</si>
  <si>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</si>
  <si>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</si>
  <si>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</si>
  <si>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</si>
  <si>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</si>
  <si>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</si>
  <si>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</si>
  <si>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</si>
  <si>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</si>
  <si>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</si>
  <si>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</si>
  <si>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</si>
  <si>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</si>
  <si>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</si>
  <si>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</si>
  <si>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</si>
  <si>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</si>
  <si>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</si>
  <si>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</si>
  <si>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</si>
  <si>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</si>
  <si>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</si>
  <si>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</si>
  <si>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</si>
  <si>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</si>
  <si>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</si>
  <si>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</si>
  <si>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</si>
  <si>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</si>
  <si>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</si>
  <si>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</si>
  <si>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</si>
  <si>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</si>
  <si>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</si>
  <si>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</si>
  <si>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</si>
  <si>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</si>
  <si>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</si>
  <si>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</si>
  <si>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</si>
  <si>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</si>
  <si>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</si>
  <si>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</si>
  <si>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</si>
  <si>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</si>
  <si>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</si>
  <si>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</si>
  <si>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</si>
  <si>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</si>
  <si>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</si>
  <si>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</si>
  <si>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</si>
  <si>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</si>
  <si>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</si>
  <si>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</si>
  <si>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</si>
  <si>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</si>
  <si>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</si>
  <si>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</si>
  <si>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</si>
  <si>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</si>
  <si>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</si>
  <si>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</si>
  <si>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</si>
  <si>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</si>
  <si>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</si>
  <si>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</si>
  <si>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</si>
  <si>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</si>
  <si>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</si>
  <si>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</si>
  <si>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</si>
  <si>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</si>
  <si>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</si>
  <si>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</si>
  <si>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</si>
  <si>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</si>
  <si>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</si>
  <si>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</si>
  <si>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</si>
  <si>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</si>
  <si>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</si>
  <si>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</si>
  <si>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</si>
  <si>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</si>
  <si>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</si>
  <si>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STARK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</si>
</sst>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4B02-D229-4509-8292-2A24A4D39C9F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3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499</v>
      </c>
      <c r="C2" s="21">
        <v>499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107972.36</v>
      </c>
      <c r="G9" s="18"/>
      <c r="H9" s="18"/>
      <c r="I9" s="18"/>
      <c r="J9" s="67">
        <f>SUM(I431)</f>
        <v>181752.41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9216.9699999999993</v>
      </c>
      <c r="G12" s="18">
        <v>687.83</v>
      </c>
      <c r="H12" s="18">
        <v>0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f>494.2+2414.77</f>
        <v>2908.97</v>
      </c>
      <c r="G14" s="18">
        <v>2414.77</v>
      </c>
      <c r="H14" s="18">
        <v>9216.9699999999993</v>
      </c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120098.3</v>
      </c>
      <c r="G19" s="41">
        <f>SUM(G9:G18)</f>
        <v>3102.6</v>
      </c>
      <c r="H19" s="41">
        <f>SUM(H9:H18)</f>
        <v>9216.9699999999993</v>
      </c>
      <c r="I19" s="41">
        <f>SUM(I9:I18)</f>
        <v>0</v>
      </c>
      <c r="J19" s="41">
        <f>SUM(J9:J18)</f>
        <v>181752.41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687.83</v>
      </c>
      <c r="G23" s="18">
        <v>2414.77</v>
      </c>
      <c r="H23" s="18">
        <v>9216.9699999999993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13513.52</v>
      </c>
      <c r="G29" s="18">
        <v>687.83</v>
      </c>
      <c r="H29" s="18">
        <v>0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14201.35</v>
      </c>
      <c r="G33" s="41">
        <f>SUM(G23:G32)</f>
        <v>3102.6</v>
      </c>
      <c r="H33" s="41">
        <f>SUM(H23:H32)</f>
        <v>9216.9699999999993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181752.41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105896.95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105896.95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181752.41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120098.3</v>
      </c>
      <c r="G44" s="41">
        <f>G43+G33</f>
        <v>3102.6</v>
      </c>
      <c r="H44" s="41">
        <f>H43+H33</f>
        <v>9216.9699999999993</v>
      </c>
      <c r="I44" s="41">
        <f>I43+I33</f>
        <v>0</v>
      </c>
      <c r="J44" s="41">
        <f>J43+J33</f>
        <v>181752.41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494537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494537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43.76</v>
      </c>
      <c r="G88" s="18"/>
      <c r="H88" s="18"/>
      <c r="I88" s="18"/>
      <c r="J88" s="18">
        <v>-50.24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4830.8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-2592.77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-2549.0099999999998</v>
      </c>
      <c r="G103" s="41">
        <f>SUM(G88:G102)</f>
        <v>4830.8</v>
      </c>
      <c r="H103" s="41">
        <f>SUM(H88:H102)</f>
        <v>0</v>
      </c>
      <c r="I103" s="41">
        <f>SUM(I88:I102)</f>
        <v>0</v>
      </c>
      <c r="J103" s="41">
        <f>SUM(J88:J102)</f>
        <v>-50.24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491987.99</v>
      </c>
      <c r="G104" s="41">
        <f>G52+G103</f>
        <v>4830.8</v>
      </c>
      <c r="H104" s="41">
        <f>H52+H71+H86+H103</f>
        <v>0</v>
      </c>
      <c r="I104" s="41">
        <f>I52+I103</f>
        <v>0</v>
      </c>
      <c r="J104" s="41">
        <f>J52+J103</f>
        <v>-50.24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335481.19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114373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12167.81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462022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147.44999999999999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147.44999999999999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462022</v>
      </c>
      <c r="G132" s="41">
        <f>G113+SUM(G128:G129)</f>
        <v>147.44999999999999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25903.759999999998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31275.65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10640.94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14359.66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821.02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15180.68</v>
      </c>
      <c r="G154" s="41">
        <f>SUM(G142:G153)</f>
        <v>10640.94</v>
      </c>
      <c r="H154" s="41">
        <f>SUM(H142:H153)</f>
        <v>57179.41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23976.51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39157.19</v>
      </c>
      <c r="G161" s="41">
        <f>G139+G154+SUM(G155:G160)</f>
        <v>10640.94</v>
      </c>
      <c r="H161" s="41">
        <f>H139+H154+SUM(H155:H160)</f>
        <v>57179.41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22349.919999999998</v>
      </c>
      <c r="H171" s="18"/>
      <c r="I171" s="18"/>
      <c r="J171" s="18">
        <v>10876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22349.919999999998</v>
      </c>
      <c r="H175" s="41">
        <f>SUM(H171:H174)</f>
        <v>0</v>
      </c>
      <c r="I175" s="41">
        <f>SUM(I171:I174)</f>
        <v>0</v>
      </c>
      <c r="J175" s="41">
        <f>SUM(J171:J174)</f>
        <v>10876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22349.919999999998</v>
      </c>
      <c r="H184" s="41">
        <f>+H175+SUM(H180:H183)</f>
        <v>0</v>
      </c>
      <c r="I184" s="41">
        <f>I169+I175+SUM(I180:I183)</f>
        <v>0</v>
      </c>
      <c r="J184" s="41">
        <f>J175</f>
        <v>10876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993167.17999999993</v>
      </c>
      <c r="G185" s="47">
        <f>G104+G132+G161+G184</f>
        <v>37969.11</v>
      </c>
      <c r="H185" s="47">
        <f>H104+H132+H161+H184</f>
        <v>57179.41</v>
      </c>
      <c r="I185" s="47">
        <f>I104+I132+I161+I184</f>
        <v>0</v>
      </c>
      <c r="J185" s="47">
        <f>J104+J132+J184</f>
        <v>10825.76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3819.66+107220.6+5596.56+7190.51</f>
        <v>123827.33</v>
      </c>
      <c r="G189" s="18">
        <f>26327.04+450.8+8832.97+1374.12+6846.86+2779+570+442.26</f>
        <v>47623.05</v>
      </c>
      <c r="H189" s="18">
        <f>1449.64-393.09+1580.67</f>
        <v>2637.2200000000003</v>
      </c>
      <c r="I189" s="18">
        <f>4410.33+670.77</f>
        <v>5081.1000000000004</v>
      </c>
      <c r="J189" s="18">
        <f>8104.62</f>
        <v>8104.62</v>
      </c>
      <c r="K189" s="18">
        <v>0</v>
      </c>
      <c r="L189" s="19">
        <f>SUM(F189:K189)</f>
        <v>187273.32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22066.72+12065</f>
        <v>34131.72</v>
      </c>
      <c r="G190" s="18">
        <f>5514.24+134.75+2479.61+1689.49+220+63.18</f>
        <v>10101.27</v>
      </c>
      <c r="H190" s="18">
        <f>9506.85+231.3</f>
        <v>9738.15</v>
      </c>
      <c r="I190" s="18">
        <f>89.26</f>
        <v>89.26</v>
      </c>
      <c r="J190" s="18">
        <v>0</v>
      </c>
      <c r="K190" s="18">
        <v>0</v>
      </c>
      <c r="L190" s="19">
        <f>SUM(F190:K190)</f>
        <v>54060.400000000009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-421</v>
      </c>
      <c r="G192" s="18">
        <v>-32.14</v>
      </c>
      <c r="H192" s="18">
        <v>481.5</v>
      </c>
      <c r="I192" s="18">
        <v>153.1</v>
      </c>
      <c r="J192" s="18">
        <v>0</v>
      </c>
      <c r="K192" s="18">
        <v>0</v>
      </c>
      <c r="L192" s="19">
        <f>SUM(F192:K192)</f>
        <v>181.46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0</v>
      </c>
      <c r="G194" s="18">
        <v>0</v>
      </c>
      <c r="H194" s="18">
        <f>4601.03+2411.06+77.56+7746.34</f>
        <v>14835.990000000002</v>
      </c>
      <c r="I194" s="18">
        <v>298.14</v>
      </c>
      <c r="J194" s="18">
        <v>0</v>
      </c>
      <c r="K194" s="18">
        <v>0</v>
      </c>
      <c r="L194" s="19">
        <f t="shared" ref="L194:L200" si="0">SUM(F194:K194)</f>
        <v>15134.130000000001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1577.52+3000</f>
        <v>4577.5200000000004</v>
      </c>
      <c r="G195" s="18">
        <f>120.62+229.52+120+10.53</f>
        <v>480.66999999999996</v>
      </c>
      <c r="H195" s="18">
        <f>3250.03+794.34+698</f>
        <v>4742.3700000000008</v>
      </c>
      <c r="I195" s="18">
        <f>25+622.83</f>
        <v>647.83000000000004</v>
      </c>
      <c r="J195" s="18">
        <v>0</v>
      </c>
      <c r="K195" s="18">
        <v>0</v>
      </c>
      <c r="L195" s="19">
        <f t="shared" si="0"/>
        <v>10448.390000000001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2220</v>
      </c>
      <c r="G196" s="18">
        <v>170</v>
      </c>
      <c r="H196" s="18">
        <f>4584+2100+3384+33030</f>
        <v>43098</v>
      </c>
      <c r="I196" s="18">
        <v>0</v>
      </c>
      <c r="J196" s="18">
        <v>0</v>
      </c>
      <c r="K196" s="18">
        <v>1078</v>
      </c>
      <c r="L196" s="19">
        <f t="shared" si="0"/>
        <v>46566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16550.04+14882.66</f>
        <v>31432.7</v>
      </c>
      <c r="G197" s="18">
        <f>4134.64+101.09+2305.66+1266.74+1504+220+42.12+69+10.53</f>
        <v>9653.7800000000025</v>
      </c>
      <c r="H197" s="18">
        <f>200+768.69+4157.69+24</f>
        <v>5150.3799999999992</v>
      </c>
      <c r="I197" s="18">
        <f>353.44+3200.81</f>
        <v>3554.25</v>
      </c>
      <c r="J197" s="18">
        <v>60</v>
      </c>
      <c r="K197" s="18">
        <f>580.5+122.5+125</f>
        <v>828</v>
      </c>
      <c r="L197" s="19">
        <f t="shared" si="0"/>
        <v>50679.11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8406.4+7465.24</f>
        <v>15871.64</v>
      </c>
      <c r="G199" s="18">
        <f>1214.28+220+221.13</f>
        <v>1655.4099999999999</v>
      </c>
      <c r="H199" s="18">
        <f>960+660+6925.27+2820+1069.73</f>
        <v>12435</v>
      </c>
      <c r="I199" s="18">
        <f>4779.27+5911.87+789.42+8478.36</f>
        <v>19958.919999999998</v>
      </c>
      <c r="J199" s="18">
        <f>53.85+1</f>
        <v>54.85</v>
      </c>
      <c r="K199" s="18">
        <v>0</v>
      </c>
      <c r="L199" s="19">
        <f t="shared" si="0"/>
        <v>49975.82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f>838.45+20616</f>
        <v>21454.45</v>
      </c>
      <c r="I200" s="18">
        <v>0</v>
      </c>
      <c r="J200" s="18">
        <v>0</v>
      </c>
      <c r="K200" s="18">
        <v>0</v>
      </c>
      <c r="L200" s="19">
        <f t="shared" si="0"/>
        <v>21454.45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211639.90999999997</v>
      </c>
      <c r="G203" s="41">
        <f t="shared" si="1"/>
        <v>69652.040000000008</v>
      </c>
      <c r="H203" s="41">
        <f t="shared" si="1"/>
        <v>114573.06000000001</v>
      </c>
      <c r="I203" s="41">
        <f t="shared" si="1"/>
        <v>29782.6</v>
      </c>
      <c r="J203" s="41">
        <f t="shared" si="1"/>
        <v>8219.4699999999993</v>
      </c>
      <c r="K203" s="41">
        <f t="shared" si="1"/>
        <v>1906</v>
      </c>
      <c r="L203" s="41">
        <f t="shared" si="1"/>
        <v>435773.08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121258.72+235820.82</f>
        <v>357079.54000000004</v>
      </c>
      <c r="I225" s="18"/>
      <c r="J225" s="18"/>
      <c r="K225" s="18"/>
      <c r="L225" s="19">
        <f>SUM(F225:K225)</f>
        <v>357079.54000000004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3208.19</f>
        <v>3208.19</v>
      </c>
      <c r="I226" s="18"/>
      <c r="J226" s="18"/>
      <c r="K226" s="18"/>
      <c r="L226" s="19">
        <f>SUM(F226:K226)</f>
        <v>3208.19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2220</v>
      </c>
      <c r="G232" s="18">
        <f>169.73</f>
        <v>169.73</v>
      </c>
      <c r="H232" s="18">
        <f>4584.8+2100+3383.6+33030.11</f>
        <v>43098.51</v>
      </c>
      <c r="I232" s="18">
        <v>0</v>
      </c>
      <c r="J232" s="18">
        <v>0</v>
      </c>
      <c r="K232" s="18">
        <v>1078.4100000000001</v>
      </c>
      <c r="L232" s="19">
        <f t="shared" si="4"/>
        <v>46566.650000000009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20616</v>
      </c>
      <c r="I236" s="18">
        <v>0</v>
      </c>
      <c r="J236" s="18">
        <v>0</v>
      </c>
      <c r="K236" s="18">
        <v>0</v>
      </c>
      <c r="L236" s="19">
        <f t="shared" si="4"/>
        <v>20616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2220</v>
      </c>
      <c r="G239" s="41">
        <f t="shared" si="5"/>
        <v>169.73</v>
      </c>
      <c r="H239" s="41">
        <f t="shared" si="5"/>
        <v>424002.24000000005</v>
      </c>
      <c r="I239" s="41">
        <f t="shared" si="5"/>
        <v>0</v>
      </c>
      <c r="J239" s="41">
        <f t="shared" si="5"/>
        <v>0</v>
      </c>
      <c r="K239" s="41">
        <f t="shared" si="5"/>
        <v>1078.4100000000001</v>
      </c>
      <c r="L239" s="41">
        <f t="shared" si="5"/>
        <v>427470.38000000006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>
        <v>0</v>
      </c>
      <c r="G247" s="18">
        <v>0</v>
      </c>
      <c r="H247" s="18">
        <v>4831.45</v>
      </c>
      <c r="I247" s="18">
        <v>0</v>
      </c>
      <c r="J247" s="18">
        <v>0</v>
      </c>
      <c r="K247" s="18">
        <v>0</v>
      </c>
      <c r="L247" s="19">
        <f t="shared" si="6"/>
        <v>4831.45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4831.45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4831.45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213859.90999999997</v>
      </c>
      <c r="G249" s="41">
        <f t="shared" si="8"/>
        <v>69821.77</v>
      </c>
      <c r="H249" s="41">
        <f t="shared" si="8"/>
        <v>543406.75</v>
      </c>
      <c r="I249" s="41">
        <f t="shared" si="8"/>
        <v>29782.6</v>
      </c>
      <c r="J249" s="41">
        <f t="shared" si="8"/>
        <v>8219.4699999999993</v>
      </c>
      <c r="K249" s="41">
        <f t="shared" si="8"/>
        <v>2984.41</v>
      </c>
      <c r="L249" s="41">
        <f t="shared" si="8"/>
        <v>868074.91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22349.919999999998</v>
      </c>
      <c r="L255" s="19">
        <f>SUM(F255:K255)</f>
        <v>22349.919999999998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10876</v>
      </c>
      <c r="L258" s="19">
        <f t="shared" si="9"/>
        <v>10876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33225.919999999998</v>
      </c>
      <c r="L262" s="41">
        <f t="shared" si="9"/>
        <v>33225.919999999998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213859.90999999997</v>
      </c>
      <c r="G263" s="42">
        <f t="shared" si="11"/>
        <v>69821.77</v>
      </c>
      <c r="H263" s="42">
        <f t="shared" si="11"/>
        <v>543406.75</v>
      </c>
      <c r="I263" s="42">
        <f t="shared" si="11"/>
        <v>29782.6</v>
      </c>
      <c r="J263" s="42">
        <f t="shared" si="11"/>
        <v>8219.4699999999993</v>
      </c>
      <c r="K263" s="42">
        <f t="shared" si="11"/>
        <v>36210.33</v>
      </c>
      <c r="L263" s="42">
        <f t="shared" si="11"/>
        <v>901300.83000000007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4005+1519.25+15236.75+4522.5+7800+2120.04+177.5</f>
        <v>35381.040000000001</v>
      </c>
      <c r="G268" s="18">
        <f>306.39+18.32+241+11.09+115.88+4.16+105.86+1274.43+1124.55+790.01+359.55+38.47+174.84+596.7+115.42+202.1+136.42+18.31+69.63</f>
        <v>5703.1300000000019</v>
      </c>
      <c r="H268" s="18">
        <f>5079.15+117+3477.36+2297+122+1977</f>
        <v>13069.51</v>
      </c>
      <c r="I268" s="18">
        <f>485.2+167.37+381.5+1369.72+621.94</f>
        <v>3025.73</v>
      </c>
      <c r="J268" s="18">
        <v>0</v>
      </c>
      <c r="K268" s="18">
        <v>0</v>
      </c>
      <c r="L268" s="19">
        <f>SUM(F268:K268)</f>
        <v>57179.410000000011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35381.040000000001</v>
      </c>
      <c r="G282" s="42">
        <f t="shared" si="13"/>
        <v>5703.1300000000019</v>
      </c>
      <c r="H282" s="42">
        <f t="shared" si="13"/>
        <v>13069.51</v>
      </c>
      <c r="I282" s="42">
        <f t="shared" si="13"/>
        <v>3025.73</v>
      </c>
      <c r="J282" s="42">
        <f t="shared" si="13"/>
        <v>0</v>
      </c>
      <c r="K282" s="42">
        <f t="shared" si="13"/>
        <v>0</v>
      </c>
      <c r="L282" s="41">
        <f t="shared" si="13"/>
        <v>57179.410000000011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35381.040000000001</v>
      </c>
      <c r="G330" s="41">
        <f t="shared" si="20"/>
        <v>5703.1300000000019</v>
      </c>
      <c r="H330" s="41">
        <f t="shared" si="20"/>
        <v>13069.51</v>
      </c>
      <c r="I330" s="41">
        <f t="shared" si="20"/>
        <v>3025.73</v>
      </c>
      <c r="J330" s="41">
        <f t="shared" si="20"/>
        <v>0</v>
      </c>
      <c r="K330" s="41">
        <f t="shared" si="20"/>
        <v>0</v>
      </c>
      <c r="L330" s="41">
        <f t="shared" si="20"/>
        <v>57179.410000000011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35381.040000000001</v>
      </c>
      <c r="G344" s="41">
        <f>G330</f>
        <v>5703.1300000000019</v>
      </c>
      <c r="H344" s="41">
        <f>H330</f>
        <v>13069.51</v>
      </c>
      <c r="I344" s="41">
        <f>I330</f>
        <v>3025.73</v>
      </c>
      <c r="J344" s="41">
        <f>J330</f>
        <v>0</v>
      </c>
      <c r="K344" s="47">
        <f>K330+K343</f>
        <v>0</v>
      </c>
      <c r="L344" s="41">
        <f>L330+L343</f>
        <v>57179.410000000011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17344.87</v>
      </c>
      <c r="G350" s="18">
        <f>7311.16+1335.83+1691.69+370+263.25</f>
        <v>10971.93</v>
      </c>
      <c r="H350" s="18">
        <f>245+877.65+440.2</f>
        <v>1562.8500000000001</v>
      </c>
      <c r="I350" s="18">
        <f>1084.69+6756.52</f>
        <v>7841.2100000000009</v>
      </c>
      <c r="J350" s="18">
        <v>0</v>
      </c>
      <c r="K350" s="18">
        <v>248.25</v>
      </c>
      <c r="L350" s="13">
        <f>SUM(F350:K350)</f>
        <v>37969.11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17344.87</v>
      </c>
      <c r="G354" s="47">
        <f t="shared" si="22"/>
        <v>10971.93</v>
      </c>
      <c r="H354" s="47">
        <f t="shared" si="22"/>
        <v>1562.8500000000001</v>
      </c>
      <c r="I354" s="47">
        <f t="shared" si="22"/>
        <v>7841.2100000000009</v>
      </c>
      <c r="J354" s="47">
        <f t="shared" si="22"/>
        <v>0</v>
      </c>
      <c r="K354" s="47">
        <f t="shared" si="22"/>
        <v>248.25</v>
      </c>
      <c r="L354" s="47">
        <f t="shared" si="22"/>
        <v>37969.11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6756.52</v>
      </c>
      <c r="G359" s="18"/>
      <c r="H359" s="18"/>
      <c r="I359" s="56">
        <f>SUM(F359:H359)</f>
        <v>6756.52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1084.69</v>
      </c>
      <c r="G360" s="63"/>
      <c r="H360" s="63"/>
      <c r="I360" s="56">
        <f>SUM(F360:H360)</f>
        <v>1084.69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7841.2100000000009</v>
      </c>
      <c r="G361" s="47">
        <f>SUM(G359:G360)</f>
        <v>0</v>
      </c>
      <c r="H361" s="47">
        <f>SUM(H359:H360)</f>
        <v>0</v>
      </c>
      <c r="I361" s="47">
        <f>SUM(I359:I360)</f>
        <v>7841.2100000000009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10876</v>
      </c>
      <c r="H388" s="18">
        <v>-43.02</v>
      </c>
      <c r="I388" s="18"/>
      <c r="J388" s="24" t="s">
        <v>312</v>
      </c>
      <c r="K388" s="24" t="s">
        <v>312</v>
      </c>
      <c r="L388" s="56">
        <f t="shared" si="26"/>
        <v>10832.98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-7.22</v>
      </c>
      <c r="I389" s="18"/>
      <c r="J389" s="24" t="s">
        <v>312</v>
      </c>
      <c r="K389" s="24" t="s">
        <v>312</v>
      </c>
      <c r="L389" s="56">
        <f t="shared" si="26"/>
        <v>-7.22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10876</v>
      </c>
      <c r="H393" s="47">
        <f>SUM(H387:H392)</f>
        <v>-50.24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10825.76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10876</v>
      </c>
      <c r="H400" s="47">
        <f>H385+H393+H399</f>
        <v>-50.24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10825.76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181752.41</v>
      </c>
      <c r="H431" s="18"/>
      <c r="I431" s="56">
        <f t="shared" ref="I431:I437" si="33">SUM(F431:H431)</f>
        <v>181752.41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181752.41</v>
      </c>
      <c r="H438" s="13">
        <f>SUM(H431:H437)</f>
        <v>0</v>
      </c>
      <c r="I438" s="13">
        <f>SUM(I431:I437)</f>
        <v>181752.41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>
        <v>181752.41</v>
      </c>
      <c r="H447" s="18"/>
      <c r="I447" s="56">
        <f>SUM(F447:H447)</f>
        <v>181752.41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/>
      <c r="H449" s="18"/>
      <c r="I449" s="56">
        <f>SUM(F449:H449)</f>
        <v>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181752.41</v>
      </c>
      <c r="H450" s="83">
        <f>SUM(H446:H449)</f>
        <v>0</v>
      </c>
      <c r="I450" s="83">
        <f>SUM(I446:I449)</f>
        <v>181752.41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181752.41</v>
      </c>
      <c r="H451" s="42">
        <f>H444+H450</f>
        <v>0</v>
      </c>
      <c r="I451" s="42">
        <f>I444+I450</f>
        <v>181752.41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14030.6</v>
      </c>
      <c r="G455" s="18"/>
      <c r="H455" s="18"/>
      <c r="I455" s="18"/>
      <c r="J455" s="18">
        <v>170926.65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993167.18</v>
      </c>
      <c r="G458" s="18">
        <v>37969.11</v>
      </c>
      <c r="H458" s="18">
        <v>57179.41</v>
      </c>
      <c r="I458" s="18"/>
      <c r="J458" s="18">
        <v>10825.76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993167.18</v>
      </c>
      <c r="G460" s="53">
        <f>SUM(G458:G459)</f>
        <v>37969.11</v>
      </c>
      <c r="H460" s="53">
        <f>SUM(H458:H459)</f>
        <v>57179.41</v>
      </c>
      <c r="I460" s="53">
        <f>SUM(I458:I459)</f>
        <v>0</v>
      </c>
      <c r="J460" s="53">
        <f>SUM(J458:J459)</f>
        <v>10825.76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901300.83</v>
      </c>
      <c r="G462" s="18">
        <v>37969.11</v>
      </c>
      <c r="H462" s="18">
        <v>57179.41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901300.83</v>
      </c>
      <c r="G464" s="53">
        <f>SUM(G462:G463)</f>
        <v>37969.11</v>
      </c>
      <c r="H464" s="53">
        <f>SUM(H462:H463)</f>
        <v>57179.41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105896.95000000007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181752.41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22066.72+12065</f>
        <v>34131.72</v>
      </c>
      <c r="G511" s="18">
        <f>5514.24+134.75+2479.61+1689.49+220+63.18</f>
        <v>10101.27</v>
      </c>
      <c r="H511" s="18">
        <f>9506.85+231.3</f>
        <v>9738.15</v>
      </c>
      <c r="I511" s="18">
        <v>89.26</v>
      </c>
      <c r="J511" s="18">
        <v>0</v>
      </c>
      <c r="K511" s="18">
        <v>0</v>
      </c>
      <c r="L511" s="88">
        <f>SUM(F511:K511)</f>
        <v>54060.400000000009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v>3208.19</v>
      </c>
      <c r="I513" s="18">
        <v>0</v>
      </c>
      <c r="J513" s="18">
        <v>0</v>
      </c>
      <c r="K513" s="18">
        <v>0</v>
      </c>
      <c r="L513" s="88">
        <f>SUM(F513:K513)</f>
        <v>3208.19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34131.72</v>
      </c>
      <c r="G514" s="108">
        <f t="shared" ref="G514:L514" si="35">SUM(G511:G513)</f>
        <v>10101.27</v>
      </c>
      <c r="H514" s="108">
        <f t="shared" si="35"/>
        <v>12946.34</v>
      </c>
      <c r="I514" s="108">
        <f t="shared" si="35"/>
        <v>89.26</v>
      </c>
      <c r="J514" s="108">
        <f t="shared" si="35"/>
        <v>0</v>
      </c>
      <c r="K514" s="108">
        <f t="shared" si="35"/>
        <v>0</v>
      </c>
      <c r="L514" s="89">
        <f t="shared" si="35"/>
        <v>57268.590000000011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0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0</v>
      </c>
      <c r="G521" s="18">
        <f>69+10.53</f>
        <v>79.53</v>
      </c>
      <c r="H521" s="18">
        <f>4157.69+24</f>
        <v>4181.6899999999996</v>
      </c>
      <c r="I521" s="18">
        <v>0</v>
      </c>
      <c r="J521" s="18">
        <v>0</v>
      </c>
      <c r="K521" s="18">
        <v>125</v>
      </c>
      <c r="L521" s="88">
        <f>SUM(F521:K521)</f>
        <v>4386.2199999999993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79.53</v>
      </c>
      <c r="H524" s="89">
        <f t="shared" si="37"/>
        <v>4181.6899999999996</v>
      </c>
      <c r="I524" s="89">
        <f t="shared" si="37"/>
        <v>0</v>
      </c>
      <c r="J524" s="89">
        <f t="shared" si="37"/>
        <v>0</v>
      </c>
      <c r="K524" s="89">
        <f t="shared" si="37"/>
        <v>125</v>
      </c>
      <c r="L524" s="89">
        <f t="shared" si="37"/>
        <v>4386.2199999999993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34131.72</v>
      </c>
      <c r="G535" s="89">
        <f t="shared" ref="G535:L535" si="40">G514+G519+G524+G529+G534</f>
        <v>10180.800000000001</v>
      </c>
      <c r="H535" s="89">
        <f t="shared" si="40"/>
        <v>17128.03</v>
      </c>
      <c r="I535" s="89">
        <f t="shared" si="40"/>
        <v>89.26</v>
      </c>
      <c r="J535" s="89">
        <f t="shared" si="40"/>
        <v>0</v>
      </c>
      <c r="K535" s="89">
        <f t="shared" si="40"/>
        <v>125</v>
      </c>
      <c r="L535" s="89">
        <f t="shared" si="40"/>
        <v>61654.810000000012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54060.400000000009</v>
      </c>
      <c r="G539" s="87">
        <f>L516</f>
        <v>0</v>
      </c>
      <c r="H539" s="87">
        <f>L521</f>
        <v>4386.2199999999993</v>
      </c>
      <c r="I539" s="87">
        <f>L526</f>
        <v>0</v>
      </c>
      <c r="J539" s="87">
        <f>L531</f>
        <v>0</v>
      </c>
      <c r="K539" s="87">
        <f>SUM(F539:J539)</f>
        <v>58446.62000000001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3208.19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3208.19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57268.590000000011</v>
      </c>
      <c r="G542" s="89">
        <f t="shared" si="41"/>
        <v>0</v>
      </c>
      <c r="H542" s="89">
        <f t="shared" si="41"/>
        <v>4386.2199999999993</v>
      </c>
      <c r="I542" s="89">
        <f t="shared" si="41"/>
        <v>0</v>
      </c>
      <c r="J542" s="89">
        <f t="shared" si="41"/>
        <v>0</v>
      </c>
      <c r="K542" s="89">
        <f t="shared" si="41"/>
        <v>61654.810000000012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121258.72+235820.82</f>
        <v>357079.54000000004</v>
      </c>
      <c r="I565" s="87">
        <f>SUM(F565:H565)</f>
        <v>357079.54000000004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20616</v>
      </c>
      <c r="I581" s="18"/>
      <c r="J581" s="18">
        <v>20616</v>
      </c>
      <c r="K581" s="104">
        <f t="shared" ref="K581:K587" si="47">SUM(H581:J581)</f>
        <v>41232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838.45</v>
      </c>
      <c r="I585" s="18"/>
      <c r="J585" s="18"/>
      <c r="K585" s="104">
        <f t="shared" si="47"/>
        <v>838.45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21454.45</v>
      </c>
      <c r="I588" s="108">
        <f>SUM(I581:I587)</f>
        <v>0</v>
      </c>
      <c r="J588" s="108">
        <f>SUM(J581:J587)</f>
        <v>20616</v>
      </c>
      <c r="K588" s="108">
        <f>SUM(K581:K587)</f>
        <v>42070.45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8104.62+60+53.85+1</f>
        <v>8219.4699999999993</v>
      </c>
      <c r="I594" s="18"/>
      <c r="J594" s="18"/>
      <c r="K594" s="104">
        <f>SUM(H594:J594)</f>
        <v>8219.4699999999993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8219.4699999999993</v>
      </c>
      <c r="I595" s="108">
        <f>SUM(I592:I594)</f>
        <v>0</v>
      </c>
      <c r="J595" s="108">
        <f>SUM(J592:J594)</f>
        <v>0</v>
      </c>
      <c r="K595" s="108">
        <f>SUM(K592:K594)</f>
        <v>8219.4699999999993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120098.3</v>
      </c>
      <c r="H607" s="109">
        <f>SUM(F44)</f>
        <v>120098.3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3102.6</v>
      </c>
      <c r="H608" s="109">
        <f>SUM(G44)</f>
        <v>3102.6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9216.9699999999993</v>
      </c>
      <c r="H609" s="109">
        <f>SUM(H44)</f>
        <v>9216.9699999999993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181752.41</v>
      </c>
      <c r="H611" s="109">
        <f>SUM(J44)</f>
        <v>181752.41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105896.95</v>
      </c>
      <c r="H612" s="109">
        <f>F466</f>
        <v>105896.95000000007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181752.41</v>
      </c>
      <c r="H616" s="109">
        <f>J466</f>
        <v>181752.41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993167.17999999993</v>
      </c>
      <c r="H617" s="104">
        <f>SUM(F458)</f>
        <v>993167.18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37969.11</v>
      </c>
      <c r="H618" s="104">
        <f>SUM(G458)</f>
        <v>37969.11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57179.41</v>
      </c>
      <c r="H619" s="104">
        <f>SUM(H458)</f>
        <v>57179.41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10825.76</v>
      </c>
      <c r="H621" s="104">
        <f>SUM(J458)</f>
        <v>10825.76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901300.83000000007</v>
      </c>
      <c r="H622" s="104">
        <f>SUM(F462)</f>
        <v>901300.83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57179.410000000011</v>
      </c>
      <c r="H623" s="104">
        <f>SUM(H462)</f>
        <v>57179.41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7841.2100000000009</v>
      </c>
      <c r="H624" s="104">
        <f>I361</f>
        <v>7841.2100000000009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37969.11</v>
      </c>
      <c r="H625" s="104">
        <f>SUM(G462)</f>
        <v>37969.11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10825.76</v>
      </c>
      <c r="H627" s="164">
        <f>SUM(J458)</f>
        <v>10825.76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181752.41</v>
      </c>
      <c r="H630" s="104">
        <f>SUM(G451)</f>
        <v>181752.41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181752.41</v>
      </c>
      <c r="H632" s="104">
        <f>SUM(I451)</f>
        <v>181752.41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-50.24</v>
      </c>
      <c r="H634" s="104">
        <f>H400</f>
        <v>-50.24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10876</v>
      </c>
      <c r="H635" s="104">
        <f>G400</f>
        <v>10876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10825.76</v>
      </c>
      <c r="H636" s="104">
        <f>L400</f>
        <v>10825.76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42070.45</v>
      </c>
      <c r="H637" s="104">
        <f>L200+L218+L236</f>
        <v>42070.45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8219.4699999999993</v>
      </c>
      <c r="H638" s="104">
        <f>(J249+J330)-(J247+J328)</f>
        <v>8219.4699999999993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21454.45</v>
      </c>
      <c r="H639" s="104">
        <f>H588</f>
        <v>21454.45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20616</v>
      </c>
      <c r="H641" s="104">
        <f>J588</f>
        <v>20616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22349.919999999998</v>
      </c>
      <c r="H642" s="104">
        <f>K255+K337</f>
        <v>22349.919999999998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10876</v>
      </c>
      <c r="H645" s="104">
        <f>K258+K339</f>
        <v>10876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530921.60000000009</v>
      </c>
      <c r="G650" s="19">
        <f>(L221+L301+L351)</f>
        <v>0</v>
      </c>
      <c r="H650" s="19">
        <f>(L239+L320+L352)</f>
        <v>427470.38000000006</v>
      </c>
      <c r="I650" s="19">
        <f>SUM(F650:H650)</f>
        <v>958391.98000000021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4830.8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4830.8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21454.45</v>
      </c>
      <c r="G652" s="19">
        <f>(L218+L298)-(J218+J298)</f>
        <v>0</v>
      </c>
      <c r="H652" s="19">
        <f>(L236+L317)-(J236+J317)</f>
        <v>20616</v>
      </c>
      <c r="I652" s="19">
        <f>SUM(F652:H652)</f>
        <v>42070.45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8219.4699999999993</v>
      </c>
      <c r="G653" s="200">
        <f>SUM(G565:G577)+SUM(I592:I594)+L602</f>
        <v>0</v>
      </c>
      <c r="H653" s="200">
        <f>SUM(H565:H577)+SUM(J592:J594)+L603</f>
        <v>357079.54000000004</v>
      </c>
      <c r="I653" s="19">
        <f>SUM(F653:H653)</f>
        <v>365299.01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496416.88000000012</v>
      </c>
      <c r="G654" s="19">
        <f>G650-SUM(G651:G653)</f>
        <v>0</v>
      </c>
      <c r="H654" s="19">
        <f>H650-SUM(H651:H653)</f>
        <v>49774.840000000026</v>
      </c>
      <c r="I654" s="19">
        <f>I650-SUM(I651:I653)</f>
        <v>546191.7200000002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20.78</v>
      </c>
      <c r="G655" s="249"/>
      <c r="H655" s="249"/>
      <c r="I655" s="19">
        <f>SUM(F655:H655)</f>
        <v>20.78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23889.17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26284.49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-49774.84</v>
      </c>
      <c r="I659" s="19">
        <f>SUM(F659:H659)</f>
        <v>-49774.84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23889.17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23889.17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E56A-5D1E-4EDF-B81B-796A9F556E7A}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STARK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1" t="s">
        <v>815</v>
      </c>
      <c r="B3" s="271"/>
      <c r="C3" s="271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814</v>
      </c>
      <c r="C6" s="272"/>
    </row>
    <row r="7" spans="1:3" x14ac:dyDescent="0.2">
      <c r="A7" s="240" t="s">
        <v>817</v>
      </c>
      <c r="B7" s="273" t="s">
        <v>813</v>
      </c>
      <c r="C7" s="274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159208.37</v>
      </c>
      <c r="C9" s="230">
        <f>'DOE25'!G189+'DOE25'!G207+'DOE25'!G225+'DOE25'!G268+'DOE25'!G287+'DOE25'!G306</f>
        <v>53326.180000000008</v>
      </c>
    </row>
    <row r="10" spans="1:3" x14ac:dyDescent="0.2">
      <c r="A10" t="s">
        <v>810</v>
      </c>
      <c r="B10" s="241">
        <f>107220.6+4005+1519.25+15236.75+4522.5+7800+2120.04+177.5</f>
        <v>142601.64000000001</v>
      </c>
      <c r="C10" s="241">
        <f>306.39+18.32+241+11.09+115.88+4.16+105.86+1274.43+1124.55+790.01+359.55+38.47+174.84+596.7+115.42+202.1+136.42+18.31+69.63+26327.04+450.8+8832.97+1374+12+6846.88+2779+570+442.26-842.28-428.14-11.9</f>
        <v>52055.76</v>
      </c>
    </row>
    <row r="11" spans="1:3" x14ac:dyDescent="0.2">
      <c r="A11" t="s">
        <v>811</v>
      </c>
      <c r="B11" s="241">
        <v>5596.56</v>
      </c>
      <c r="C11" s="241">
        <v>428.14</v>
      </c>
    </row>
    <row r="12" spans="1:3" x14ac:dyDescent="0.2">
      <c r="A12" t="s">
        <v>812</v>
      </c>
      <c r="B12" s="241">
        <f>7190.51+3819.66</f>
        <v>11010.17</v>
      </c>
      <c r="C12" s="241">
        <v>842.28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159208.37000000002</v>
      </c>
      <c r="C13" s="232">
        <f>SUM(C10:C12)</f>
        <v>53326.18</v>
      </c>
    </row>
    <row r="14" spans="1:3" x14ac:dyDescent="0.2">
      <c r="B14" s="231"/>
      <c r="C14" s="231"/>
    </row>
    <row r="15" spans="1:3" x14ac:dyDescent="0.2">
      <c r="B15" s="272" t="s">
        <v>814</v>
      </c>
      <c r="C15" s="272"/>
    </row>
    <row r="16" spans="1:3" x14ac:dyDescent="0.2">
      <c r="A16" s="240" t="s">
        <v>818</v>
      </c>
      <c r="B16" s="273" t="s">
        <v>738</v>
      </c>
      <c r="C16" s="274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34131.72</v>
      </c>
      <c r="C18" s="230">
        <f>'DOE25'!G190+'DOE25'!G208+'DOE25'!G226+'DOE25'!G269+'DOE25'!G288+'DOE25'!G307</f>
        <v>10101.27</v>
      </c>
    </row>
    <row r="19" spans="1:3" x14ac:dyDescent="0.2">
      <c r="A19" t="s">
        <v>810</v>
      </c>
      <c r="B19" s="241">
        <v>22066.720000000001</v>
      </c>
      <c r="C19" s="241">
        <f>5514.24+134.75+2479.61+1689.49+220+63.18-922.97</f>
        <v>9178.3000000000011</v>
      </c>
    </row>
    <row r="20" spans="1:3" x14ac:dyDescent="0.2">
      <c r="A20" t="s">
        <v>811</v>
      </c>
      <c r="B20" s="241">
        <v>12065</v>
      </c>
      <c r="C20" s="241">
        <v>922.97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34131.72</v>
      </c>
      <c r="C22" s="232">
        <f>SUM(C19:C21)</f>
        <v>10101.27</v>
      </c>
    </row>
    <row r="23" spans="1:3" x14ac:dyDescent="0.2">
      <c r="B23" s="231"/>
      <c r="C23" s="231"/>
    </row>
    <row r="24" spans="1:3" x14ac:dyDescent="0.2">
      <c r="B24" s="272" t="s">
        <v>814</v>
      </c>
      <c r="C24" s="272"/>
    </row>
    <row r="25" spans="1:3" x14ac:dyDescent="0.2">
      <c r="A25" s="240" t="s">
        <v>819</v>
      </c>
      <c r="B25" s="273" t="s">
        <v>739</v>
      </c>
      <c r="C25" s="274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814</v>
      </c>
      <c r="C33" s="272"/>
    </row>
    <row r="34" spans="1:3" x14ac:dyDescent="0.2">
      <c r="A34" s="240" t="s">
        <v>820</v>
      </c>
      <c r="B34" s="273" t="s">
        <v>740</v>
      </c>
      <c r="C34" s="274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-421</v>
      </c>
      <c r="C36" s="236">
        <f>'DOE25'!G192+'DOE25'!G210+'DOE25'!G228+'DOE25'!G271+'DOE25'!G290+'DOE25'!G309</f>
        <v>-32.14</v>
      </c>
    </row>
    <row r="37" spans="1:3" x14ac:dyDescent="0.2">
      <c r="A37" t="s">
        <v>810</v>
      </c>
      <c r="B37" s="241">
        <v>-421</v>
      </c>
      <c r="C37" s="241">
        <v>-32.14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-421</v>
      </c>
      <c r="C40" s="232">
        <f>SUM(C37:C39)</f>
        <v>-32.14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041C-D8C3-4FE5-B9C4-A07205E3D4CE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STARK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601802.91</v>
      </c>
      <c r="D5" s="20">
        <f>SUM('DOE25'!L189:L192)+SUM('DOE25'!L207:L210)+SUM('DOE25'!L225:L228)-F5-G5</f>
        <v>593698.29</v>
      </c>
      <c r="E5" s="244"/>
      <c r="F5" s="256">
        <f>SUM('DOE25'!J189:J192)+SUM('DOE25'!J207:J210)+SUM('DOE25'!J225:J228)</f>
        <v>8104.62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15134.130000000001</v>
      </c>
      <c r="D6" s="20">
        <f>'DOE25'!L194+'DOE25'!L212+'DOE25'!L230-F6-G6</f>
        <v>15134.130000000001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10448.390000000001</v>
      </c>
      <c r="D7" s="20">
        <f>'DOE25'!L195+'DOE25'!L213+'DOE25'!L231-F7-G7</f>
        <v>10448.390000000001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34768.800000000003</v>
      </c>
      <c r="D8" s="244"/>
      <c r="E8" s="20">
        <f>'DOE25'!L196+'DOE25'!L214+'DOE25'!L232-F8-G8-D9-D11</f>
        <v>32612.390000000003</v>
      </c>
      <c r="F8" s="256">
        <f>'DOE25'!J196+'DOE25'!J214+'DOE25'!J232</f>
        <v>0</v>
      </c>
      <c r="G8" s="53">
        <f>'DOE25'!K196+'DOE25'!K214+'DOE25'!K232</f>
        <v>2156.41</v>
      </c>
      <c r="H8" s="260"/>
    </row>
    <row r="9" spans="1:9" x14ac:dyDescent="0.2">
      <c r="A9" s="32">
        <v>2310</v>
      </c>
      <c r="B9" t="s">
        <v>849</v>
      </c>
      <c r="C9" s="246">
        <f t="shared" si="0"/>
        <v>27072.54</v>
      </c>
      <c r="D9" s="245">
        <v>27072.54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4200</v>
      </c>
      <c r="D10" s="244"/>
      <c r="E10" s="245">
        <v>4200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31291.31</v>
      </c>
      <c r="D11" s="245">
        <v>31291.31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50679.11</v>
      </c>
      <c r="D12" s="20">
        <f>'DOE25'!L197+'DOE25'!L215+'DOE25'!L233-F12-G12</f>
        <v>49791.11</v>
      </c>
      <c r="E12" s="244"/>
      <c r="F12" s="256">
        <f>'DOE25'!J197+'DOE25'!J215+'DOE25'!J233</f>
        <v>60</v>
      </c>
      <c r="G12" s="53">
        <f>'DOE25'!K197+'DOE25'!K215+'DOE25'!K233</f>
        <v>828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49975.82</v>
      </c>
      <c r="D14" s="20">
        <f>'DOE25'!L199+'DOE25'!L217+'DOE25'!L235-F14-G14</f>
        <v>49920.97</v>
      </c>
      <c r="E14" s="244"/>
      <c r="F14" s="256">
        <f>'DOE25'!J199+'DOE25'!J217+'DOE25'!J235</f>
        <v>54.85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42070.45</v>
      </c>
      <c r="D15" s="20">
        <f>'DOE25'!L200+'DOE25'!L218+'DOE25'!L236-F15-G15</f>
        <v>42070.45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4831.45</v>
      </c>
      <c r="D22" s="244"/>
      <c r="E22" s="244"/>
      <c r="F22" s="256">
        <f>'DOE25'!L247+'DOE25'!L328</f>
        <v>4831.45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31212.59</v>
      </c>
      <c r="D29" s="20">
        <f>'DOE25'!L350+'DOE25'!L351+'DOE25'!L352-'DOE25'!I359-F29-G29</f>
        <v>30964.34</v>
      </c>
      <c r="E29" s="244"/>
      <c r="F29" s="256">
        <f>'DOE25'!J350+'DOE25'!J351+'DOE25'!J352</f>
        <v>0</v>
      </c>
      <c r="G29" s="53">
        <f>'DOE25'!K350+'DOE25'!K351+'DOE25'!K352</f>
        <v>248.25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57179.410000000011</v>
      </c>
      <c r="D31" s="20">
        <f>'DOE25'!L282+'DOE25'!L301+'DOE25'!L320+'DOE25'!L325+'DOE25'!L326+'DOE25'!L327-F31-G31</f>
        <v>57179.410000000011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907570.94000000006</v>
      </c>
      <c r="E33" s="247">
        <f>SUM(E5:E31)</f>
        <v>36812.39</v>
      </c>
      <c r="F33" s="247">
        <f>SUM(F5:F31)</f>
        <v>13050.919999999998</v>
      </c>
      <c r="G33" s="247">
        <f>SUM(G5:G31)</f>
        <v>3232.66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36812.39</v>
      </c>
      <c r="E35" s="250"/>
    </row>
    <row r="36" spans="2:8" ht="12" thickTop="1" x14ac:dyDescent="0.2">
      <c r="B36" t="s">
        <v>846</v>
      </c>
      <c r="D36" s="20">
        <f>D33</f>
        <v>907570.94000000006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9BD0-D9BC-458C-96C4-3BF556429EC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107972.36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181752.41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9216.9699999999993</v>
      </c>
      <c r="D12" s="95">
        <f>'DOE25'!G12</f>
        <v>687.83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2908.97</v>
      </c>
      <c r="D14" s="95">
        <f>'DOE25'!G14</f>
        <v>2414.77</v>
      </c>
      <c r="E14" s="95">
        <f>'DOE25'!H14</f>
        <v>9216.9699999999993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120098.3</v>
      </c>
      <c r="D19" s="41">
        <f>SUM(D9:D18)</f>
        <v>3102.6</v>
      </c>
      <c r="E19" s="41">
        <f>SUM(E9:E18)</f>
        <v>9216.9699999999993</v>
      </c>
      <c r="F19" s="41">
        <f>SUM(F9:F18)</f>
        <v>0</v>
      </c>
      <c r="G19" s="41">
        <f>SUM(G9:G18)</f>
        <v>181752.41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687.83</v>
      </c>
      <c r="D22" s="95">
        <f>'DOE25'!G23</f>
        <v>2414.77</v>
      </c>
      <c r="E22" s="95">
        <f>'DOE25'!H23</f>
        <v>9216.9699999999993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13513.52</v>
      </c>
      <c r="D28" s="95">
        <f>'DOE25'!G29</f>
        <v>687.83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14201.35</v>
      </c>
      <c r="D32" s="41">
        <f>SUM(D22:D31)</f>
        <v>3102.6</v>
      </c>
      <c r="E32" s="41">
        <f>SUM(E22:E31)</f>
        <v>9216.9699999999993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181752.41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105896.95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105896.95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181752.41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120098.3</v>
      </c>
      <c r="D43" s="41">
        <f>D42+D32</f>
        <v>3102.6</v>
      </c>
      <c r="E43" s="41">
        <f>E42+E32</f>
        <v>9216.9699999999993</v>
      </c>
      <c r="F43" s="41">
        <f>F42+F32</f>
        <v>0</v>
      </c>
      <c r="G43" s="41">
        <f>G42+G32</f>
        <v>181752.41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494537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43.76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-50.24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4830.8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-2592.77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-2549.0099999999998</v>
      </c>
      <c r="D54" s="130">
        <f>SUM(D49:D53)</f>
        <v>4830.8</v>
      </c>
      <c r="E54" s="130">
        <f>SUM(E49:E53)</f>
        <v>0</v>
      </c>
      <c r="F54" s="130">
        <f>SUM(F49:F53)</f>
        <v>0</v>
      </c>
      <c r="G54" s="130">
        <f>SUM(G49:G53)</f>
        <v>-50.24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491987.99</v>
      </c>
      <c r="D55" s="22">
        <f>D48+D54</f>
        <v>4830.8</v>
      </c>
      <c r="E55" s="22">
        <f>E48+E54</f>
        <v>0</v>
      </c>
      <c r="F55" s="22">
        <f>F48+F54</f>
        <v>0</v>
      </c>
      <c r="G55" s="22">
        <f>G48+G54</f>
        <v>-50.24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335481.19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114373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12167.81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462022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147.44999999999999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147.44999999999999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462022</v>
      </c>
      <c r="D73" s="130">
        <f>SUM(D71:D72)+D70+D62</f>
        <v>147.44999999999999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15180.68</v>
      </c>
      <c r="D80" s="95">
        <f>SUM('DOE25'!G145:G153)</f>
        <v>10640.94</v>
      </c>
      <c r="E80" s="95">
        <f>SUM('DOE25'!H145:H153)</f>
        <v>57179.41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23976.51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39157.19</v>
      </c>
      <c r="D83" s="131">
        <f>SUM(D77:D82)</f>
        <v>10640.94</v>
      </c>
      <c r="E83" s="131">
        <f>SUM(E77:E82)</f>
        <v>57179.41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22349.919999999998</v>
      </c>
      <c r="E88" s="95">
        <f>'DOE25'!H171</f>
        <v>0</v>
      </c>
      <c r="F88" s="95">
        <f>'DOE25'!I171</f>
        <v>0</v>
      </c>
      <c r="G88" s="95">
        <f>'DOE25'!J171</f>
        <v>10876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22349.919999999998</v>
      </c>
      <c r="E95" s="86">
        <f>SUM(E85:E94)</f>
        <v>0</v>
      </c>
      <c r="F95" s="86">
        <f>SUM(F85:F94)</f>
        <v>0</v>
      </c>
      <c r="G95" s="86">
        <f>SUM(G85:G94)</f>
        <v>10876</v>
      </c>
    </row>
    <row r="96" spans="1:7" ht="12.75" thickTop="1" thickBot="1" x14ac:dyDescent="0.25">
      <c r="A96" s="33" t="s">
        <v>796</v>
      </c>
      <c r="C96" s="86">
        <f>C55+C73+C83+C95</f>
        <v>993167.17999999993</v>
      </c>
      <c r="D96" s="86">
        <f>D55+D73+D83+D95</f>
        <v>37969.11</v>
      </c>
      <c r="E96" s="86">
        <f>E55+E73+E83+E95</f>
        <v>57179.41</v>
      </c>
      <c r="F96" s="86">
        <f>F55+F73+F83+F95</f>
        <v>0</v>
      </c>
      <c r="G96" s="86">
        <f>G55+G73+G95</f>
        <v>10825.76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544352.8600000001</v>
      </c>
      <c r="D101" s="24" t="s">
        <v>312</v>
      </c>
      <c r="E101" s="95">
        <f>('DOE25'!L268)+('DOE25'!L287)+('DOE25'!L306)</f>
        <v>57179.410000000011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57268.590000000011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181.46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601802.91</v>
      </c>
      <c r="D107" s="86">
        <f>SUM(D101:D106)</f>
        <v>0</v>
      </c>
      <c r="E107" s="86">
        <f>SUM(E101:E106)</f>
        <v>57179.410000000011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15134.130000000001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10448.390000000001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93132.650000000009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50679.11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49975.82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42070.45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37969.11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261440.55000000005</v>
      </c>
      <c r="D120" s="86">
        <f>SUM(D110:D119)</f>
        <v>37969.11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4831.45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22349.919999999998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10825.76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50.239999999999782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38057.369999999995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901300.83000000007</v>
      </c>
      <c r="D137" s="86">
        <f>(D107+D120+D136)</f>
        <v>37969.11</v>
      </c>
      <c r="E137" s="86">
        <f>(E107+E120+E136)</f>
        <v>57179.410000000011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325D-D680-4879-82A5-F5936A430BD2}">
  <sheetPr codeName="Sheet3">
    <tabColor indexed="43"/>
  </sheetPr>
  <dimension ref="A1:D42"/>
  <sheetViews>
    <sheetView topLeftCell="A13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STARK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23889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23889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601532</v>
      </c>
      <c r="D10" s="182">
        <f>ROUND((C10/$C$28)*100,1)</f>
        <v>63.1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57269</v>
      </c>
      <c r="D11" s="182">
        <f>ROUND((C11/$C$28)*100,1)</f>
        <v>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181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15134</v>
      </c>
      <c r="D15" s="182">
        <f t="shared" ref="D15:D27" si="0">ROUND((C15/$C$28)*100,1)</f>
        <v>1.6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10448</v>
      </c>
      <c r="D16" s="182">
        <f t="shared" si="0"/>
        <v>1.1000000000000001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93133</v>
      </c>
      <c r="D17" s="182">
        <f t="shared" si="0"/>
        <v>9.8000000000000007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50679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49976</v>
      </c>
      <c r="D20" s="182">
        <f t="shared" si="0"/>
        <v>5.2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42070</v>
      </c>
      <c r="D21" s="182">
        <f t="shared" si="0"/>
        <v>4.4000000000000004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33138.199999999997</v>
      </c>
      <c r="D27" s="182">
        <f t="shared" si="0"/>
        <v>3.5</v>
      </c>
    </row>
    <row r="28" spans="1:4" x14ac:dyDescent="0.2">
      <c r="B28" s="187" t="s">
        <v>754</v>
      </c>
      <c r="C28" s="180">
        <f>SUM(C10:C27)</f>
        <v>953560.2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4831</v>
      </c>
    </row>
    <row r="30" spans="1:4" x14ac:dyDescent="0.2">
      <c r="B30" s="187" t="s">
        <v>760</v>
      </c>
      <c r="C30" s="180">
        <f>SUM(C28:C29)</f>
        <v>958391.2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494537</v>
      </c>
      <c r="D35" s="182">
        <f t="shared" ref="D35:D40" si="1">ROUND((C35/$C$41)*100,1)</f>
        <v>46.6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-2599.25</v>
      </c>
      <c r="D36" s="182">
        <f t="shared" si="1"/>
        <v>-0.2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462022</v>
      </c>
      <c r="D37" s="182">
        <f t="shared" si="1"/>
        <v>43.5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147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106978</v>
      </c>
      <c r="D39" s="182">
        <f t="shared" si="1"/>
        <v>10.1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1061084.75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C16BA-1611-4E4C-B684-8DD0246E423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STARK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2011-08-01T12:01:21Z</cp:lastPrinted>
  <dcterms:created xsi:type="dcterms:W3CDTF">1997-12-04T19:04:30Z</dcterms:created>
  <dcterms:modified xsi:type="dcterms:W3CDTF">2025-01-10T20:33:14Z</dcterms:modified>
</cp:coreProperties>
</file>