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52E5586E-DAC4-4F0E-9C90-928146D30366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4C54C496-B821-4E38-8067-1A326FE55D47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1" l="1"/>
  <c r="G449" i="1"/>
  <c r="G431" i="1"/>
  <c r="H390" i="1"/>
  <c r="G190" i="1"/>
  <c r="F190" i="1"/>
  <c r="H585" i="1"/>
  <c r="H581" i="1"/>
  <c r="D9" i="13"/>
  <c r="C19" i="12"/>
  <c r="C22" i="12" s="1"/>
  <c r="B19" i="12"/>
  <c r="B22" i="12" s="1"/>
  <c r="A22" i="12" s="1"/>
  <c r="B20" i="12"/>
  <c r="B37" i="12"/>
  <c r="C10" i="12"/>
  <c r="B10" i="12"/>
  <c r="B11" i="12"/>
  <c r="G601" i="1"/>
  <c r="L601" i="1" s="1"/>
  <c r="F601" i="1"/>
  <c r="H594" i="1"/>
  <c r="H523" i="1"/>
  <c r="H521" i="1"/>
  <c r="L521" i="1" s="1"/>
  <c r="H516" i="1"/>
  <c r="H519" i="1" s="1"/>
  <c r="G516" i="1"/>
  <c r="L516" i="1" s="1"/>
  <c r="F516" i="1"/>
  <c r="I516" i="1"/>
  <c r="I511" i="1"/>
  <c r="H511" i="1"/>
  <c r="L511" i="1"/>
  <c r="G511" i="1"/>
  <c r="F511" i="1"/>
  <c r="H513" i="1"/>
  <c r="G489" i="1"/>
  <c r="F489" i="1"/>
  <c r="B152" i="2" s="1"/>
  <c r="G152" i="2" s="1"/>
  <c r="G492" i="1"/>
  <c r="C155" i="2" s="1"/>
  <c r="F492" i="1"/>
  <c r="B155" i="2" s="1"/>
  <c r="G155" i="2" s="1"/>
  <c r="F360" i="1"/>
  <c r="I350" i="1"/>
  <c r="H350" i="1"/>
  <c r="G350" i="1"/>
  <c r="F350" i="1"/>
  <c r="I273" i="1"/>
  <c r="G273" i="1"/>
  <c r="F273" i="1"/>
  <c r="I268" i="1"/>
  <c r="J268" i="1"/>
  <c r="L268" i="1" s="1"/>
  <c r="K274" i="1"/>
  <c r="G274" i="1"/>
  <c r="G282" i="1" s="1"/>
  <c r="G330" i="1" s="1"/>
  <c r="G344" i="1" s="1"/>
  <c r="F274" i="1"/>
  <c r="H273" i="1"/>
  <c r="I274" i="1"/>
  <c r="H274" i="1"/>
  <c r="K277" i="1"/>
  <c r="G268" i="1"/>
  <c r="F279" i="1"/>
  <c r="G275" i="1"/>
  <c r="F275" i="1"/>
  <c r="G271" i="1"/>
  <c r="C36" i="12" s="1"/>
  <c r="F271" i="1"/>
  <c r="F282" i="1" s="1"/>
  <c r="F330" i="1" s="1"/>
  <c r="F344" i="1" s="1"/>
  <c r="I269" i="1"/>
  <c r="L269" i="1" s="1"/>
  <c r="E102" i="2" s="1"/>
  <c r="G269" i="1"/>
  <c r="F269" i="1"/>
  <c r="I236" i="1"/>
  <c r="H236" i="1"/>
  <c r="G236" i="1"/>
  <c r="H232" i="1"/>
  <c r="G232" i="1"/>
  <c r="H226" i="1"/>
  <c r="H225" i="1"/>
  <c r="I196" i="1"/>
  <c r="G200" i="1"/>
  <c r="F200" i="1"/>
  <c r="F203" i="1" s="1"/>
  <c r="F249" i="1" s="1"/>
  <c r="F263" i="1" s="1"/>
  <c r="H200" i="1"/>
  <c r="I200" i="1"/>
  <c r="I199" i="1"/>
  <c r="H199" i="1"/>
  <c r="G199" i="1"/>
  <c r="I197" i="1"/>
  <c r="H197" i="1"/>
  <c r="G197" i="1"/>
  <c r="F197" i="1"/>
  <c r="H196" i="1"/>
  <c r="G196" i="1"/>
  <c r="G203" i="1" s="1"/>
  <c r="G249" i="1" s="1"/>
  <c r="G263" i="1" s="1"/>
  <c r="I195" i="1"/>
  <c r="H195" i="1"/>
  <c r="G195" i="1"/>
  <c r="K195" i="1"/>
  <c r="J194" i="1"/>
  <c r="I194" i="1"/>
  <c r="F194" i="1"/>
  <c r="H194" i="1"/>
  <c r="G194" i="1"/>
  <c r="L194" i="1"/>
  <c r="D6" i="13" s="1"/>
  <c r="C6" i="13" s="1"/>
  <c r="I190" i="1"/>
  <c r="I203" i="1" s="1"/>
  <c r="I249" i="1" s="1"/>
  <c r="I263" i="1" s="1"/>
  <c r="H190" i="1"/>
  <c r="H203" i="1" s="1"/>
  <c r="H249" i="1" s="1"/>
  <c r="H263" i="1" s="1"/>
  <c r="J189" i="1"/>
  <c r="I189" i="1"/>
  <c r="H189" i="1"/>
  <c r="G189" i="1"/>
  <c r="F189" i="1"/>
  <c r="H102" i="1"/>
  <c r="H146" i="1"/>
  <c r="H147" i="1"/>
  <c r="H24" i="1"/>
  <c r="E23" i="2"/>
  <c r="E22" i="2"/>
  <c r="E32" i="2" s="1"/>
  <c r="E24" i="2"/>
  <c r="E25" i="2"/>
  <c r="E28" i="2"/>
  <c r="E29" i="2"/>
  <c r="E30" i="2"/>
  <c r="E31" i="2"/>
  <c r="G41" i="1"/>
  <c r="F42" i="1"/>
  <c r="F30" i="1"/>
  <c r="F9" i="1"/>
  <c r="C9" i="2" s="1"/>
  <c r="C19" i="2" s="1"/>
  <c r="C37" i="10"/>
  <c r="C60" i="2"/>
  <c r="C62" i="2" s="1"/>
  <c r="B2" i="13"/>
  <c r="F8" i="13"/>
  <c r="G8" i="13"/>
  <c r="L214" i="1"/>
  <c r="L232" i="1"/>
  <c r="D39" i="13"/>
  <c r="F13" i="13"/>
  <c r="G13" i="13"/>
  <c r="L198" i="1"/>
  <c r="C114" i="2" s="1"/>
  <c r="L216" i="1"/>
  <c r="L234" i="1"/>
  <c r="F16" i="13"/>
  <c r="G16" i="13"/>
  <c r="L201" i="1"/>
  <c r="E16" i="13" s="1"/>
  <c r="C16" i="13" s="1"/>
  <c r="L219" i="1"/>
  <c r="L237" i="1"/>
  <c r="F5" i="13"/>
  <c r="G5" i="13"/>
  <c r="L189" i="1"/>
  <c r="L191" i="1"/>
  <c r="C103" i="2" s="1"/>
  <c r="L192" i="1"/>
  <c r="L207" i="1"/>
  <c r="L208" i="1"/>
  <c r="L209" i="1"/>
  <c r="L210" i="1"/>
  <c r="L225" i="1"/>
  <c r="L226" i="1"/>
  <c r="L227" i="1"/>
  <c r="L228" i="1"/>
  <c r="F6" i="13"/>
  <c r="G6" i="13"/>
  <c r="L212" i="1"/>
  <c r="L221" i="1" s="1"/>
  <c r="L230" i="1"/>
  <c r="F7" i="13"/>
  <c r="G7" i="13"/>
  <c r="L195" i="1"/>
  <c r="L213" i="1"/>
  <c r="L231" i="1"/>
  <c r="F12" i="13"/>
  <c r="G12" i="13"/>
  <c r="L197" i="1"/>
  <c r="L215" i="1"/>
  <c r="C113" i="2" s="1"/>
  <c r="L233" i="1"/>
  <c r="F14" i="13"/>
  <c r="G14" i="13"/>
  <c r="L199" i="1"/>
  <c r="L217" i="1"/>
  <c r="L235" i="1"/>
  <c r="F15" i="13"/>
  <c r="G15" i="13"/>
  <c r="L218" i="1"/>
  <c r="G652" i="1" s="1"/>
  <c r="L236" i="1"/>
  <c r="G641" i="1" s="1"/>
  <c r="H652" i="1"/>
  <c r="F17" i="13"/>
  <c r="G17" i="13"/>
  <c r="L243" i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L354" i="1" s="1"/>
  <c r="L351" i="1"/>
  <c r="L352" i="1"/>
  <c r="I359" i="1"/>
  <c r="D29" i="13" s="1"/>
  <c r="C29" i="13" s="1"/>
  <c r="J301" i="1"/>
  <c r="J320" i="1"/>
  <c r="K282" i="1"/>
  <c r="G31" i="13" s="1"/>
  <c r="K301" i="1"/>
  <c r="K320" i="1"/>
  <c r="L270" i="1"/>
  <c r="L273" i="1"/>
  <c r="L275" i="1"/>
  <c r="E112" i="2" s="1"/>
  <c r="L276" i="1"/>
  <c r="E113" i="2" s="1"/>
  <c r="L277" i="1"/>
  <c r="E114" i="2" s="1"/>
  <c r="L278" i="1"/>
  <c r="L279" i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L326" i="1"/>
  <c r="L327" i="1"/>
  <c r="L252" i="1"/>
  <c r="L253" i="1"/>
  <c r="C25" i="10" s="1"/>
  <c r="L333" i="1"/>
  <c r="L343" i="1" s="1"/>
  <c r="L334" i="1"/>
  <c r="L247" i="1"/>
  <c r="F22" i="13" s="1"/>
  <c r="C22" i="13" s="1"/>
  <c r="L328" i="1"/>
  <c r="C11" i="13"/>
  <c r="C10" i="13"/>
  <c r="C9" i="13"/>
  <c r="L353" i="1"/>
  <c r="B4" i="12"/>
  <c r="B36" i="12"/>
  <c r="A40" i="12" s="1"/>
  <c r="B40" i="12"/>
  <c r="C40" i="12"/>
  <c r="B27" i="12"/>
  <c r="C27" i="12"/>
  <c r="B31" i="12"/>
  <c r="A31" i="12" s="1"/>
  <c r="C31" i="12"/>
  <c r="B9" i="12"/>
  <c r="B13" i="12"/>
  <c r="A13" i="12" s="1"/>
  <c r="C9" i="12"/>
  <c r="C13" i="12"/>
  <c r="B18" i="12"/>
  <c r="C18" i="12"/>
  <c r="B1" i="12"/>
  <c r="L379" i="1"/>
  <c r="L380" i="1"/>
  <c r="L381" i="1"/>
  <c r="L382" i="1"/>
  <c r="L383" i="1"/>
  <c r="L385" i="1" s="1"/>
  <c r="L384" i="1"/>
  <c r="L387" i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/>
  <c r="G51" i="2"/>
  <c r="G53" i="2"/>
  <c r="G54" i="2"/>
  <c r="F2" i="11"/>
  <c r="L603" i="1"/>
  <c r="H653" i="1" s="1"/>
  <c r="L602" i="1"/>
  <c r="G653" i="1"/>
  <c r="C40" i="10"/>
  <c r="F52" i="1"/>
  <c r="C48" i="2" s="1"/>
  <c r="C55" i="2" s="1"/>
  <c r="G52" i="1"/>
  <c r="G104" i="1" s="1"/>
  <c r="H52" i="1"/>
  <c r="E48" i="2" s="1"/>
  <c r="I52" i="1"/>
  <c r="F48" i="2" s="1"/>
  <c r="F71" i="1"/>
  <c r="F86" i="1"/>
  <c r="C50" i="2"/>
  <c r="F103" i="1"/>
  <c r="F104" i="1"/>
  <c r="F185" i="1" s="1"/>
  <c r="G617" i="1" s="1"/>
  <c r="J617" i="1" s="1"/>
  <c r="G103" i="1"/>
  <c r="H71" i="1"/>
  <c r="H86" i="1"/>
  <c r="H103" i="1"/>
  <c r="H104" i="1"/>
  <c r="I103" i="1"/>
  <c r="J103" i="1"/>
  <c r="J104" i="1"/>
  <c r="J185" i="1" s="1"/>
  <c r="F113" i="1"/>
  <c r="F132" i="1" s="1"/>
  <c r="F128" i="1"/>
  <c r="G113" i="1"/>
  <c r="G132" i="1" s="1"/>
  <c r="G128" i="1"/>
  <c r="H113" i="1"/>
  <c r="H128" i="1"/>
  <c r="H132" i="1" s="1"/>
  <c r="I113" i="1"/>
  <c r="I128" i="1"/>
  <c r="I132" i="1"/>
  <c r="J113" i="1"/>
  <c r="J132" i="1" s="1"/>
  <c r="J128" i="1"/>
  <c r="F139" i="1"/>
  <c r="F154" i="1"/>
  <c r="F161" i="1" s="1"/>
  <c r="C39" i="10" s="1"/>
  <c r="G139" i="1"/>
  <c r="G154" i="1"/>
  <c r="G161" i="1"/>
  <c r="H139" i="1"/>
  <c r="H161" i="1" s="1"/>
  <c r="H154" i="1"/>
  <c r="I139" i="1"/>
  <c r="I161" i="1" s="1"/>
  <c r="I154" i="1"/>
  <c r="L242" i="1"/>
  <c r="L324" i="1"/>
  <c r="E105" i="2" s="1"/>
  <c r="C23" i="10"/>
  <c r="L246" i="1"/>
  <c r="L260" i="1"/>
  <c r="C26" i="10" s="1"/>
  <c r="L261" i="1"/>
  <c r="L341" i="1"/>
  <c r="E134" i="2" s="1"/>
  <c r="L342" i="1"/>
  <c r="I655" i="1"/>
  <c r="I660" i="1"/>
  <c r="L239" i="1"/>
  <c r="G651" i="1"/>
  <c r="I659" i="1"/>
  <c r="C5" i="10"/>
  <c r="C42" i="10"/>
  <c r="L366" i="1"/>
  <c r="L367" i="1"/>
  <c r="L368" i="1"/>
  <c r="C29" i="10" s="1"/>
  <c r="L369" i="1"/>
  <c r="L370" i="1"/>
  <c r="L371" i="1"/>
  <c r="L372" i="1"/>
  <c r="B2" i="10"/>
  <c r="L336" i="1"/>
  <c r="L337" i="1"/>
  <c r="E127" i="2" s="1"/>
  <c r="L338" i="1"/>
  <c r="E129" i="2" s="1"/>
  <c r="L339" i="1"/>
  <c r="K343" i="1"/>
  <c r="L512" i="1"/>
  <c r="L514" i="1" s="1"/>
  <c r="F540" i="1"/>
  <c r="L513" i="1"/>
  <c r="F541" i="1" s="1"/>
  <c r="K541" i="1" s="1"/>
  <c r="L517" i="1"/>
  <c r="G540" i="1"/>
  <c r="L518" i="1"/>
  <c r="G541" i="1" s="1"/>
  <c r="L522" i="1"/>
  <c r="H540" i="1"/>
  <c r="K540" i="1" s="1"/>
  <c r="L523" i="1"/>
  <c r="H541" i="1"/>
  <c r="L526" i="1"/>
  <c r="I539" i="1" s="1"/>
  <c r="L527" i="1"/>
  <c r="I540" i="1"/>
  <c r="L528" i="1"/>
  <c r="I541" i="1" s="1"/>
  <c r="L531" i="1"/>
  <c r="J539" i="1"/>
  <c r="L532" i="1"/>
  <c r="J540" i="1" s="1"/>
  <c r="J542" i="1" s="1"/>
  <c r="L533" i="1"/>
  <c r="J541" i="1"/>
  <c r="E124" i="2"/>
  <c r="K262" i="1"/>
  <c r="J262" i="1"/>
  <c r="I262" i="1"/>
  <c r="H262" i="1"/>
  <c r="G262" i="1"/>
  <c r="F262" i="1"/>
  <c r="L262" i="1" s="1"/>
  <c r="C124" i="2"/>
  <c r="C123" i="2"/>
  <c r="A1" i="2"/>
  <c r="A2" i="2"/>
  <c r="D9" i="2"/>
  <c r="E9" i="2"/>
  <c r="F9" i="2"/>
  <c r="I431" i="1"/>
  <c r="J9" i="1" s="1"/>
  <c r="C10" i="2"/>
  <c r="D10" i="2"/>
  <c r="D19" i="2" s="1"/>
  <c r="E10" i="2"/>
  <c r="E19" i="2" s="1"/>
  <c r="F10" i="2"/>
  <c r="I432" i="1"/>
  <c r="J10" i="1"/>
  <c r="G10" i="2" s="1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 s="1"/>
  <c r="C14" i="2"/>
  <c r="D14" i="2"/>
  <c r="E14" i="2"/>
  <c r="F14" i="2"/>
  <c r="F19" i="2" s="1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C22" i="2"/>
  <c r="C32" i="2" s="1"/>
  <c r="D22" i="2"/>
  <c r="D32" i="2" s="1"/>
  <c r="F22" i="2"/>
  <c r="I440" i="1"/>
  <c r="J23" i="1"/>
  <c r="C23" i="2"/>
  <c r="D23" i="2"/>
  <c r="F23" i="2"/>
  <c r="I441" i="1"/>
  <c r="J24" i="1" s="1"/>
  <c r="C24" i="2"/>
  <c r="D24" i="2"/>
  <c r="F24" i="2"/>
  <c r="F32" i="2" s="1"/>
  <c r="I442" i="1"/>
  <c r="J25" i="1" s="1"/>
  <c r="G24" i="2" s="1"/>
  <c r="C25" i="2"/>
  <c r="D25" i="2"/>
  <c r="F25" i="2"/>
  <c r="C26" i="2"/>
  <c r="F26" i="2"/>
  <c r="C27" i="2"/>
  <c r="F27" i="2"/>
  <c r="C28" i="2"/>
  <c r="D28" i="2"/>
  <c r="F28" i="2"/>
  <c r="C29" i="2"/>
  <c r="D29" i="2"/>
  <c r="F29" i="2"/>
  <c r="C30" i="2"/>
  <c r="D30" i="2"/>
  <c r="F30" i="2"/>
  <c r="C31" i="2"/>
  <c r="D31" i="2"/>
  <c r="F31" i="2"/>
  <c r="I443" i="1"/>
  <c r="I444" i="1" s="1"/>
  <c r="I451" i="1" s="1"/>
  <c r="H632" i="1" s="1"/>
  <c r="J32" i="1"/>
  <c r="G31" i="2"/>
  <c r="C34" i="2"/>
  <c r="D34" i="2"/>
  <c r="E34" i="2"/>
  <c r="F34" i="2"/>
  <c r="C35" i="2"/>
  <c r="D35" i="2"/>
  <c r="E35" i="2"/>
  <c r="F35" i="2"/>
  <c r="C36" i="2"/>
  <c r="D36" i="2"/>
  <c r="E36" i="2"/>
  <c r="E42" i="2" s="1"/>
  <c r="E43" i="2" s="1"/>
  <c r="F36" i="2"/>
  <c r="F42" i="2" s="1"/>
  <c r="F43" i="2" s="1"/>
  <c r="I446" i="1"/>
  <c r="J37" i="1"/>
  <c r="G36" i="2"/>
  <c r="C37" i="2"/>
  <c r="D37" i="2"/>
  <c r="E37" i="2"/>
  <c r="F37" i="2"/>
  <c r="I447" i="1"/>
  <c r="J38" i="1" s="1"/>
  <c r="C38" i="2"/>
  <c r="C42" i="2" s="1"/>
  <c r="D38" i="2"/>
  <c r="E38" i="2"/>
  <c r="F38" i="2"/>
  <c r="I448" i="1"/>
  <c r="J40" i="1"/>
  <c r="G39" i="2" s="1"/>
  <c r="C40" i="2"/>
  <c r="D40" i="2"/>
  <c r="E40" i="2"/>
  <c r="F40" i="2"/>
  <c r="I449" i="1"/>
  <c r="J41" i="1"/>
  <c r="G40" i="2" s="1"/>
  <c r="C41" i="2"/>
  <c r="D41" i="2"/>
  <c r="D42" i="2" s="1"/>
  <c r="E41" i="2"/>
  <c r="F41" i="2"/>
  <c r="C49" i="2"/>
  <c r="E49" i="2"/>
  <c r="E54" i="2" s="1"/>
  <c r="E50" i="2"/>
  <c r="C51" i="2"/>
  <c r="D51" i="2"/>
  <c r="E51" i="2"/>
  <c r="F51" i="2"/>
  <c r="F54" i="2" s="1"/>
  <c r="D52" i="2"/>
  <c r="C53" i="2"/>
  <c r="D53" i="2"/>
  <c r="E53" i="2"/>
  <c r="F53" i="2"/>
  <c r="C58" i="2"/>
  <c r="C59" i="2"/>
  <c r="C61" i="2"/>
  <c r="D61" i="2"/>
  <c r="E61" i="2"/>
  <c r="E62" i="2"/>
  <c r="F61" i="2"/>
  <c r="F62" i="2" s="1"/>
  <c r="G61" i="2"/>
  <c r="G62" i="2"/>
  <c r="D62" i="2"/>
  <c r="C64" i="2"/>
  <c r="F64" i="2"/>
  <c r="F70" i="2" s="1"/>
  <c r="F73" i="2" s="1"/>
  <c r="C65" i="2"/>
  <c r="F65" i="2"/>
  <c r="C66" i="2"/>
  <c r="C67" i="2"/>
  <c r="C70" i="2" s="1"/>
  <c r="C73" i="2" s="1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G70" i="2" s="1"/>
  <c r="G73" i="2" s="1"/>
  <c r="C71" i="2"/>
  <c r="D71" i="2"/>
  <c r="E71" i="2"/>
  <c r="C72" i="2"/>
  <c r="E72" i="2"/>
  <c r="C77" i="2"/>
  <c r="D77" i="2"/>
  <c r="F77" i="2"/>
  <c r="F83" i="2" s="1"/>
  <c r="C79" i="2"/>
  <c r="C83" i="2" s="1"/>
  <c r="E79" i="2"/>
  <c r="F79" i="2"/>
  <c r="C80" i="2"/>
  <c r="D80" i="2"/>
  <c r="D83" i="2" s="1"/>
  <c r="E80" i="2"/>
  <c r="F80" i="2"/>
  <c r="C81" i="2"/>
  <c r="D81" i="2"/>
  <c r="E81" i="2"/>
  <c r="F81" i="2"/>
  <c r="C82" i="2"/>
  <c r="C85" i="2"/>
  <c r="F85" i="2"/>
  <c r="C86" i="2"/>
  <c r="C95" i="2" s="1"/>
  <c r="F86" i="2"/>
  <c r="F95" i="2" s="1"/>
  <c r="D88" i="2"/>
  <c r="D95" i="2" s="1"/>
  <c r="E88" i="2"/>
  <c r="E95" i="2" s="1"/>
  <c r="E89" i="2"/>
  <c r="E90" i="2"/>
  <c r="E91" i="2"/>
  <c r="E92" i="2"/>
  <c r="E93" i="2"/>
  <c r="E94" i="2"/>
  <c r="F88" i="2"/>
  <c r="G88" i="2"/>
  <c r="G95" i="2" s="1"/>
  <c r="C89" i="2"/>
  <c r="D89" i="2"/>
  <c r="D90" i="2"/>
  <c r="D91" i="2"/>
  <c r="D92" i="2"/>
  <c r="D93" i="2"/>
  <c r="D94" i="2"/>
  <c r="F89" i="2"/>
  <c r="G89" i="2"/>
  <c r="C90" i="2"/>
  <c r="G90" i="2"/>
  <c r="C91" i="2"/>
  <c r="F91" i="2"/>
  <c r="C92" i="2"/>
  <c r="F92" i="2"/>
  <c r="C93" i="2"/>
  <c r="F93" i="2"/>
  <c r="C94" i="2"/>
  <c r="F94" i="2"/>
  <c r="E103" i="2"/>
  <c r="C104" i="2"/>
  <c r="C105" i="2"/>
  <c r="E106" i="2"/>
  <c r="D107" i="2"/>
  <c r="F107" i="2"/>
  <c r="G107" i="2"/>
  <c r="G137" i="2" s="1"/>
  <c r="E110" i="2"/>
  <c r="C111" i="2"/>
  <c r="C115" i="2"/>
  <c r="E115" i="2"/>
  <c r="E116" i="2"/>
  <c r="C117" i="2"/>
  <c r="E117" i="2"/>
  <c r="D119" i="2"/>
  <c r="D120" i="2" s="1"/>
  <c r="F120" i="2"/>
  <c r="G120" i="2"/>
  <c r="C122" i="2"/>
  <c r="E122" i="2"/>
  <c r="F126" i="2"/>
  <c r="D126" i="2"/>
  <c r="D136" i="2" s="1"/>
  <c r="E126" i="2"/>
  <c r="K411" i="1"/>
  <c r="K426" i="1" s="1"/>
  <c r="G126" i="2" s="1"/>
  <c r="G136" i="2" s="1"/>
  <c r="K419" i="1"/>
  <c r="K425" i="1"/>
  <c r="L255" i="1"/>
  <c r="C127" i="2" s="1"/>
  <c r="L256" i="1"/>
  <c r="C128" i="2"/>
  <c r="L257" i="1"/>
  <c r="C129" i="2" s="1"/>
  <c r="C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C152" i="2"/>
  <c r="D152" i="2"/>
  <c r="E152" i="2"/>
  <c r="F152" i="2"/>
  <c r="F490" i="1"/>
  <c r="B153" i="2"/>
  <c r="G490" i="1"/>
  <c r="C153" i="2" s="1"/>
  <c r="H490" i="1"/>
  <c r="D153" i="2"/>
  <c r="I490" i="1"/>
  <c r="E153" i="2" s="1"/>
  <c r="J490" i="1"/>
  <c r="F153" i="2"/>
  <c r="B154" i="2"/>
  <c r="C154" i="2"/>
  <c r="D154" i="2"/>
  <c r="E154" i="2"/>
  <c r="F154" i="2"/>
  <c r="D155" i="2"/>
  <c r="E155" i="2"/>
  <c r="F155" i="2"/>
  <c r="H493" i="1"/>
  <c r="D156" i="2"/>
  <c r="I493" i="1"/>
  <c r="E156" i="2" s="1"/>
  <c r="J493" i="1"/>
  <c r="F156" i="2"/>
  <c r="G19" i="1"/>
  <c r="H19" i="1"/>
  <c r="G609" i="1" s="1"/>
  <c r="I19" i="1"/>
  <c r="F33" i="1"/>
  <c r="G33" i="1"/>
  <c r="I33" i="1"/>
  <c r="I44" i="1" s="1"/>
  <c r="H610" i="1" s="1"/>
  <c r="F43" i="1"/>
  <c r="F44" i="1" s="1"/>
  <c r="H607" i="1" s="1"/>
  <c r="G43" i="1"/>
  <c r="G613" i="1" s="1"/>
  <c r="H43" i="1"/>
  <c r="I43" i="1"/>
  <c r="F169" i="1"/>
  <c r="F184" i="1"/>
  <c r="I169" i="1"/>
  <c r="I184" i="1" s="1"/>
  <c r="F175" i="1"/>
  <c r="G175" i="1"/>
  <c r="G184" i="1" s="1"/>
  <c r="H175" i="1"/>
  <c r="H184" i="1" s="1"/>
  <c r="I175" i="1"/>
  <c r="J175" i="1"/>
  <c r="J184" i="1"/>
  <c r="F180" i="1"/>
  <c r="G180" i="1"/>
  <c r="H180" i="1"/>
  <c r="I180" i="1"/>
  <c r="J203" i="1"/>
  <c r="J249" i="1" s="1"/>
  <c r="J221" i="1"/>
  <c r="K203" i="1"/>
  <c r="F221" i="1"/>
  <c r="G221" i="1"/>
  <c r="H221" i="1"/>
  <c r="I221" i="1"/>
  <c r="K221" i="1"/>
  <c r="F239" i="1"/>
  <c r="G239" i="1"/>
  <c r="H239" i="1"/>
  <c r="I239" i="1"/>
  <c r="J239" i="1"/>
  <c r="K239" i="1"/>
  <c r="F248" i="1"/>
  <c r="G248" i="1"/>
  <c r="L248" i="1"/>
  <c r="H248" i="1"/>
  <c r="I248" i="1"/>
  <c r="J248" i="1"/>
  <c r="K248" i="1"/>
  <c r="F301" i="1"/>
  <c r="F320" i="1"/>
  <c r="G301" i="1"/>
  <c r="G320" i="1"/>
  <c r="H282" i="1"/>
  <c r="H301" i="1"/>
  <c r="I301" i="1"/>
  <c r="H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J354" i="1"/>
  <c r="K354" i="1"/>
  <c r="I360" i="1"/>
  <c r="F361" i="1"/>
  <c r="G361" i="1"/>
  <c r="H361" i="1"/>
  <c r="I361" i="1"/>
  <c r="H624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H393" i="1"/>
  <c r="H400" i="1" s="1"/>
  <c r="H634" i="1" s="1"/>
  <c r="J634" i="1" s="1"/>
  <c r="I393" i="1"/>
  <c r="F399" i="1"/>
  <c r="G399" i="1"/>
  <c r="H399" i="1"/>
  <c r="I399" i="1"/>
  <c r="I400" i="1"/>
  <c r="L405" i="1"/>
  <c r="L411" i="1"/>
  <c r="L426" i="1" s="1"/>
  <c r="G628" i="1" s="1"/>
  <c r="J628" i="1" s="1"/>
  <c r="L406" i="1"/>
  <c r="L407" i="1"/>
  <c r="L408" i="1"/>
  <c r="L409" i="1"/>
  <c r="L410" i="1"/>
  <c r="F411" i="1"/>
  <c r="G411" i="1"/>
  <c r="H411" i="1"/>
  <c r="I411" i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H426" i="1" s="1"/>
  <c r="I419" i="1"/>
  <c r="I426" i="1" s="1"/>
  <c r="J419" i="1"/>
  <c r="L421" i="1"/>
  <c r="L422" i="1"/>
  <c r="L425" i="1" s="1"/>
  <c r="L423" i="1"/>
  <c r="L424" i="1"/>
  <c r="F425" i="1"/>
  <c r="G425" i="1"/>
  <c r="H425" i="1"/>
  <c r="I425" i="1"/>
  <c r="J425" i="1"/>
  <c r="F426" i="1"/>
  <c r="G426" i="1"/>
  <c r="F438" i="1"/>
  <c r="G629" i="1" s="1"/>
  <c r="G438" i="1"/>
  <c r="H438" i="1"/>
  <c r="G631" i="1" s="1"/>
  <c r="F444" i="1"/>
  <c r="F451" i="1" s="1"/>
  <c r="H629" i="1" s="1"/>
  <c r="G444" i="1"/>
  <c r="G451" i="1" s="1"/>
  <c r="H630" i="1" s="1"/>
  <c r="H444" i="1"/>
  <c r="H451" i="1" s="1"/>
  <c r="H631" i="1" s="1"/>
  <c r="F450" i="1"/>
  <c r="G450" i="1"/>
  <c r="H450" i="1"/>
  <c r="I450" i="1"/>
  <c r="F460" i="1"/>
  <c r="F466" i="1" s="1"/>
  <c r="H612" i="1" s="1"/>
  <c r="G460" i="1"/>
  <c r="G466" i="1" s="1"/>
  <c r="H613" i="1" s="1"/>
  <c r="H460" i="1"/>
  <c r="I460" i="1"/>
  <c r="J460" i="1"/>
  <c r="F464" i="1"/>
  <c r="G464" i="1"/>
  <c r="H464" i="1"/>
  <c r="I464" i="1"/>
  <c r="I466" i="1"/>
  <c r="H615" i="1"/>
  <c r="J464" i="1"/>
  <c r="K485" i="1"/>
  <c r="K486" i="1"/>
  <c r="K487" i="1"/>
  <c r="K488" i="1"/>
  <c r="K489" i="1"/>
  <c r="K491" i="1"/>
  <c r="F507" i="1"/>
  <c r="G507" i="1"/>
  <c r="H507" i="1"/>
  <c r="I507" i="1"/>
  <c r="F514" i="1"/>
  <c r="F535" i="1" s="1"/>
  <c r="G514" i="1"/>
  <c r="I514" i="1"/>
  <c r="I535" i="1" s="1"/>
  <c r="J514" i="1"/>
  <c r="K514" i="1"/>
  <c r="K535" i="1" s="1"/>
  <c r="F519" i="1"/>
  <c r="I519" i="1"/>
  <c r="J519" i="1"/>
  <c r="K519" i="1"/>
  <c r="F524" i="1"/>
  <c r="G524" i="1"/>
  <c r="H524" i="1"/>
  <c r="I524" i="1"/>
  <c r="J524" i="1"/>
  <c r="J53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F561" i="1" s="1"/>
  <c r="G550" i="1"/>
  <c r="G561" i="1" s="1"/>
  <c r="H550" i="1"/>
  <c r="H561" i="1" s="1"/>
  <c r="I550" i="1"/>
  <c r="I561" i="1" s="1"/>
  <c r="J550" i="1"/>
  <c r="K550" i="1"/>
  <c r="K561" i="1"/>
  <c r="L552" i="1"/>
  <c r="L555" i="1" s="1"/>
  <c r="L553" i="1"/>
  <c r="L554" i="1"/>
  <c r="F555" i="1"/>
  <c r="G555" i="1"/>
  <c r="H555" i="1"/>
  <c r="I555" i="1"/>
  <c r="J555" i="1"/>
  <c r="K555" i="1"/>
  <c r="L557" i="1"/>
  <c r="L560" i="1"/>
  <c r="L558" i="1"/>
  <c r="L559" i="1"/>
  <c r="F560" i="1"/>
  <c r="G560" i="1"/>
  <c r="H560" i="1"/>
  <c r="I560" i="1"/>
  <c r="J560" i="1"/>
  <c r="K560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K584" i="1"/>
  <c r="K585" i="1"/>
  <c r="K586" i="1"/>
  <c r="K587" i="1"/>
  <c r="H588" i="1"/>
  <c r="I588" i="1"/>
  <c r="H640" i="1" s="1"/>
  <c r="J588" i="1"/>
  <c r="H641" i="1" s="1"/>
  <c r="K592" i="1"/>
  <c r="K593" i="1"/>
  <c r="K594" i="1"/>
  <c r="K595" i="1"/>
  <c r="G638" i="1"/>
  <c r="H595" i="1"/>
  <c r="I595" i="1"/>
  <c r="J595" i="1"/>
  <c r="F604" i="1"/>
  <c r="G604" i="1"/>
  <c r="H604" i="1"/>
  <c r="I604" i="1"/>
  <c r="J604" i="1"/>
  <c r="K604" i="1"/>
  <c r="G608" i="1"/>
  <c r="G610" i="1"/>
  <c r="J610" i="1" s="1"/>
  <c r="G612" i="1"/>
  <c r="G614" i="1"/>
  <c r="G615" i="1"/>
  <c r="J615" i="1" s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30" i="1"/>
  <c r="G633" i="1"/>
  <c r="G634" i="1"/>
  <c r="H639" i="1"/>
  <c r="G640" i="1"/>
  <c r="J640" i="1" s="1"/>
  <c r="G642" i="1"/>
  <c r="H642" i="1"/>
  <c r="J642" i="1"/>
  <c r="G643" i="1"/>
  <c r="J643" i="1" s="1"/>
  <c r="H643" i="1"/>
  <c r="G644" i="1"/>
  <c r="H644" i="1"/>
  <c r="J644" i="1"/>
  <c r="G645" i="1"/>
  <c r="H645" i="1"/>
  <c r="J645" i="1"/>
  <c r="H33" i="1"/>
  <c r="H44" i="1" s="1"/>
  <c r="H609" i="1" s="1"/>
  <c r="G44" i="1"/>
  <c r="H608" i="1" s="1"/>
  <c r="G149" i="2"/>
  <c r="D54" i="2"/>
  <c r="C54" i="2"/>
  <c r="G55" i="2"/>
  <c r="D17" i="13"/>
  <c r="C17" i="13"/>
  <c r="D14" i="13"/>
  <c r="C14" i="13" s="1"/>
  <c r="D7" i="13"/>
  <c r="C7" i="13"/>
  <c r="G22" i="2"/>
  <c r="G635" i="1"/>
  <c r="J635" i="1" s="1"/>
  <c r="F651" i="1"/>
  <c r="C20" i="10"/>
  <c r="F539" i="1"/>
  <c r="H514" i="1"/>
  <c r="H535" i="1" s="1"/>
  <c r="G154" i="2"/>
  <c r="H466" i="1"/>
  <c r="H614" i="1"/>
  <c r="J614" i="1" s="1"/>
  <c r="H651" i="1"/>
  <c r="I651" i="1"/>
  <c r="H330" i="1"/>
  <c r="H344" i="1" s="1"/>
  <c r="K249" i="1"/>
  <c r="K263" i="1" s="1"/>
  <c r="C6" i="10"/>
  <c r="J466" i="1"/>
  <c r="H616" i="1"/>
  <c r="L393" i="1"/>
  <c r="C131" i="2" s="1"/>
  <c r="J612" i="1" l="1"/>
  <c r="J609" i="1"/>
  <c r="F542" i="1"/>
  <c r="G539" i="1"/>
  <c r="G542" i="1" s="1"/>
  <c r="L519" i="1"/>
  <c r="L535" i="1" s="1"/>
  <c r="G96" i="2"/>
  <c r="C38" i="10"/>
  <c r="E101" i="2"/>
  <c r="L524" i="1"/>
  <c r="H539" i="1"/>
  <c r="H542" i="1" s="1"/>
  <c r="J608" i="1"/>
  <c r="J263" i="1"/>
  <c r="G621" i="1"/>
  <c r="J621" i="1" s="1"/>
  <c r="G636" i="1"/>
  <c r="D43" i="2"/>
  <c r="J33" i="1"/>
  <c r="G23" i="2"/>
  <c r="I542" i="1"/>
  <c r="F55" i="2"/>
  <c r="F96" i="2" s="1"/>
  <c r="F137" i="2"/>
  <c r="C43" i="2"/>
  <c r="J19" i="1"/>
  <c r="G611" i="1" s="1"/>
  <c r="G9" i="2"/>
  <c r="G19" i="2" s="1"/>
  <c r="E55" i="2"/>
  <c r="D137" i="2"/>
  <c r="J43" i="1"/>
  <c r="G37" i="2"/>
  <c r="G42" i="2" s="1"/>
  <c r="G185" i="1"/>
  <c r="G618" i="1" s="1"/>
  <c r="J618" i="1" s="1"/>
  <c r="G650" i="1"/>
  <c r="G654" i="1" s="1"/>
  <c r="F653" i="1"/>
  <c r="I653" i="1" s="1"/>
  <c r="L604" i="1"/>
  <c r="G32" i="2"/>
  <c r="J631" i="1"/>
  <c r="J613" i="1"/>
  <c r="C96" i="2"/>
  <c r="G33" i="13"/>
  <c r="C10" i="10"/>
  <c r="H650" i="1"/>
  <c r="H654" i="1" s="1"/>
  <c r="L400" i="1"/>
  <c r="C130" i="2"/>
  <c r="C133" i="2" s="1"/>
  <c r="J629" i="1"/>
  <c r="H185" i="1"/>
  <c r="G619" i="1" s="1"/>
  <c r="J619" i="1" s="1"/>
  <c r="G625" i="1"/>
  <c r="J625" i="1" s="1"/>
  <c r="C27" i="10"/>
  <c r="J630" i="1"/>
  <c r="L561" i="1"/>
  <c r="G153" i="2"/>
  <c r="J641" i="1"/>
  <c r="C110" i="2"/>
  <c r="C24" i="10"/>
  <c r="L529" i="1"/>
  <c r="C101" i="2"/>
  <c r="L274" i="1"/>
  <c r="L200" i="1"/>
  <c r="E13" i="13"/>
  <c r="C13" i="13" s="1"/>
  <c r="G493" i="1"/>
  <c r="C156" i="2" s="1"/>
  <c r="I104" i="1"/>
  <c r="I185" i="1" s="1"/>
  <c r="G620" i="1" s="1"/>
  <c r="J620" i="1" s="1"/>
  <c r="J282" i="1"/>
  <c r="I438" i="1"/>
  <c r="G632" i="1" s="1"/>
  <c r="J632" i="1" s="1"/>
  <c r="K330" i="1"/>
  <c r="K344" i="1" s="1"/>
  <c r="C32" i="10"/>
  <c r="C19" i="10"/>
  <c r="C35" i="10"/>
  <c r="L271" i="1"/>
  <c r="C18" i="10"/>
  <c r="K490" i="1"/>
  <c r="H25" i="13"/>
  <c r="L190" i="1"/>
  <c r="L203" i="1" s="1"/>
  <c r="D12" i="13"/>
  <c r="C12" i="13" s="1"/>
  <c r="C15" i="10"/>
  <c r="L374" i="1"/>
  <c r="G626" i="1" s="1"/>
  <c r="J626" i="1" s="1"/>
  <c r="F493" i="1"/>
  <c r="F122" i="2"/>
  <c r="F136" i="2" s="1"/>
  <c r="C106" i="2"/>
  <c r="C12" i="10"/>
  <c r="I282" i="1"/>
  <c r="I330" i="1" s="1"/>
  <c r="I344" i="1" s="1"/>
  <c r="E77" i="2"/>
  <c r="E83" i="2" s="1"/>
  <c r="E123" i="2"/>
  <c r="E136" i="2" s="1"/>
  <c r="L196" i="1"/>
  <c r="L534" i="1"/>
  <c r="F19" i="1"/>
  <c r="G607" i="1" s="1"/>
  <c r="D48" i="2"/>
  <c r="D55" i="2" s="1"/>
  <c r="D96" i="2" s="1"/>
  <c r="G519" i="1"/>
  <c r="G535" i="1" s="1"/>
  <c r="K492" i="1"/>
  <c r="L249" i="1" l="1"/>
  <c r="L263" i="1" s="1"/>
  <c r="G622" i="1" s="1"/>
  <c r="J622" i="1" s="1"/>
  <c r="C17" i="10"/>
  <c r="C112" i="2"/>
  <c r="E8" i="13"/>
  <c r="C25" i="13"/>
  <c r="H33" i="13"/>
  <c r="J611" i="1"/>
  <c r="C116" i="2"/>
  <c r="C120" i="2" s="1"/>
  <c r="D15" i="13"/>
  <c r="C15" i="13" s="1"/>
  <c r="F652" i="1"/>
  <c r="I652" i="1" s="1"/>
  <c r="C21" i="10"/>
  <c r="H637" i="1"/>
  <c r="J637" i="1" s="1"/>
  <c r="G639" i="1"/>
  <c r="J639" i="1" s="1"/>
  <c r="E104" i="2"/>
  <c r="E107" i="2" s="1"/>
  <c r="E137" i="2" s="1"/>
  <c r="C13" i="10"/>
  <c r="C36" i="10"/>
  <c r="C41" i="10"/>
  <c r="D35" i="10" s="1"/>
  <c r="C136" i="2"/>
  <c r="G627" i="1"/>
  <c r="J627" i="1" s="1"/>
  <c r="H636" i="1"/>
  <c r="K493" i="1"/>
  <c r="B156" i="2"/>
  <c r="G156" i="2" s="1"/>
  <c r="G43" i="2"/>
  <c r="E111" i="2"/>
  <c r="E120" i="2" s="1"/>
  <c r="C16" i="10"/>
  <c r="C107" i="2"/>
  <c r="K539" i="1"/>
  <c r="K542" i="1" s="1"/>
  <c r="H657" i="1"/>
  <c r="H662" i="1"/>
  <c r="J44" i="1"/>
  <c r="H611" i="1" s="1"/>
  <c r="G616" i="1"/>
  <c r="J616" i="1" s="1"/>
  <c r="L282" i="1"/>
  <c r="F650" i="1" s="1"/>
  <c r="D38" i="10"/>
  <c r="J607" i="1"/>
  <c r="F31" i="13"/>
  <c r="F33" i="13" s="1"/>
  <c r="J330" i="1"/>
  <c r="E96" i="2"/>
  <c r="G662" i="1"/>
  <c r="G657" i="1"/>
  <c r="C11" i="10"/>
  <c r="D5" i="13"/>
  <c r="C102" i="2"/>
  <c r="J636" i="1"/>
  <c r="F654" i="1" l="1"/>
  <c r="I650" i="1"/>
  <c r="I654" i="1" s="1"/>
  <c r="C5" i="13"/>
  <c r="D39" i="10"/>
  <c r="D37" i="10"/>
  <c r="D40" i="10"/>
  <c r="D11" i="10"/>
  <c r="E33" i="13"/>
  <c r="D35" i="13" s="1"/>
  <c r="C8" i="13"/>
  <c r="C137" i="2"/>
  <c r="D36" i="10"/>
  <c r="D41" i="10" s="1"/>
  <c r="D16" i="10"/>
  <c r="C28" i="10"/>
  <c r="D13" i="10" s="1"/>
  <c r="D31" i="13"/>
  <c r="C31" i="13" s="1"/>
  <c r="L330" i="1"/>
  <c r="L344" i="1" s="1"/>
  <c r="G623" i="1" s="1"/>
  <c r="J344" i="1"/>
  <c r="H638" i="1"/>
  <c r="J638" i="1" s="1"/>
  <c r="D21" i="10" l="1"/>
  <c r="D22" i="10"/>
  <c r="C30" i="10"/>
  <c r="D26" i="10"/>
  <c r="D20" i="10"/>
  <c r="D23" i="10"/>
  <c r="D25" i="10"/>
  <c r="D27" i="10"/>
  <c r="D12" i="10"/>
  <c r="D19" i="10"/>
  <c r="D18" i="10"/>
  <c r="D24" i="10"/>
  <c r="D15" i="10"/>
  <c r="D10" i="10"/>
  <c r="D33" i="13"/>
  <c r="D36" i="13" s="1"/>
  <c r="D17" i="10"/>
  <c r="J623" i="1"/>
  <c r="H646" i="1"/>
  <c r="I657" i="1"/>
  <c r="I662" i="1"/>
  <c r="C7" i="10" s="1"/>
  <c r="F657" i="1"/>
  <c r="F662" i="1"/>
  <c r="C4" i="10" s="1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41A4AE1-51C7-46DD-9944-CEBE3845CC91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7C1F11A-0EBD-4830-BF9B-8AE6D39D516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F3965BB-B79C-4E39-84C8-02EE74F9B86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80AF093-F437-47E4-8EEC-3E756E8C00EF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0194D23-F794-4C28-B824-66BC93CFE52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5139602-D025-462A-BE22-C562D514BC5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D4E38A6C-1FA9-4874-91F9-391EE808B9F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B3B17F63-7CC6-42E0-BAFB-E411C92C1824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B9331252-0ED1-41E8-9507-EFC718CF3CF6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50FFE81C-4D5E-4E73-AFD8-0817EDAE0C1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C198FD0-2648-49B3-A9B5-91A31A6780BC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B1838F6-A56D-4A40-B991-1465E5798C5D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<sst xmlns="http://schemas.openxmlformats.org/spreadsheetml/2006/main" count="3864" uniqueCount="899">
  <si>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</si>
  <si>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</si>
  <si>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</si>
  <si>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</si>
  <si>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</si>
  <si>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</si>
  <si>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</si>
  <si>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</si>
  <si>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</si>
  <si>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</si>
  <si>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</si>
  <si>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</si>
  <si>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</si>
  <si>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</si>
  <si>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</si>
  <si>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</si>
  <si>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</si>
  <si>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</si>
  <si>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</si>
  <si>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</si>
  <si>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</si>
  <si>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</si>
  <si>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</si>
  <si>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</si>
  <si>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</si>
  <si>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</si>
  <si>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</si>
  <si>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</si>
  <si>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</si>
  <si>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</si>
  <si>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</si>
  <si>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</si>
  <si>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</si>
  <si>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</si>
  <si>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</si>
  <si>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</si>
  <si>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</si>
  <si>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</si>
  <si>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</si>
  <si>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</si>
  <si>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</si>
  <si>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</si>
  <si>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</si>
  <si>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</si>
  <si>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</si>
  <si>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</si>
  <si>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</si>
  <si>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</si>
  <si>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</si>
  <si>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</si>
  <si>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</si>
  <si>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</si>
  <si>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</si>
  <si>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</si>
  <si>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</si>
  <si>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</si>
  <si>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</si>
  <si>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</si>
  <si>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</si>
  <si>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</si>
  <si>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</si>
  <si>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</si>
  <si>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</si>
  <si>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</si>
  <si>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</si>
  <si>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</si>
  <si>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</si>
  <si>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</si>
  <si>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</si>
  <si>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</si>
  <si>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</si>
  <si>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</si>
  <si>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</si>
  <si>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</si>
  <si>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</si>
  <si>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</si>
  <si>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</si>
  <si>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</si>
  <si>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</si>
  <si>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</si>
  <si>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</si>
  <si>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</si>
  <si>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</si>
  <si>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</si>
  <si>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</si>
  <si>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</si>
  <si>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</si>
  <si>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</si>
  <si>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</si>
  <si>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</si>
  <si>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</si>
  <si>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</si>
  <si>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</si>
  <si>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</si>
  <si>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</si>
  <si>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</si>
  <si>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</si>
  <si>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</si>
  <si>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</si>
  <si>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</si>
  <si>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</si>
  <si>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</si>
  <si>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</si>
  <si>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</si>
  <si>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</si>
  <si>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</si>
  <si>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</si>
  <si>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</si>
  <si>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</si>
  <si>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</si>
  <si>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</si>
  <si>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</si>
  <si>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</si>
  <si>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</si>
  <si>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</si>
  <si>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</si>
  <si>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</si>
  <si>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</si>
  <si>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</si>
  <si>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</si>
  <si>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</si>
  <si>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</si>
  <si>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</si>
  <si>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</si>
  <si>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</si>
  <si>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</si>
  <si>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</si>
  <si>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</si>
  <si>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</si>
  <si>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</si>
  <si>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</si>
  <si>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</si>
  <si>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</si>
  <si>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</si>
  <si>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</si>
  <si>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</si>
  <si>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</si>
  <si>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</si>
  <si>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</si>
  <si>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</si>
  <si>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</si>
  <si>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</si>
  <si>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</si>
  <si>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</si>
  <si>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</si>
  <si>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</si>
  <si>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</si>
  <si>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</si>
  <si>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</si>
  <si>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</si>
  <si>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</si>
  <si>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</si>
  <si>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</si>
  <si>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</si>
  <si>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</si>
  <si>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</si>
  <si>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</si>
  <si>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</si>
  <si>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</si>
  <si>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</si>
  <si>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</si>
  <si>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</si>
  <si>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</si>
  <si>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</si>
  <si>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</si>
  <si>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</si>
  <si>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</si>
  <si>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</si>
  <si>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</si>
  <si>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</si>
  <si>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</si>
  <si>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</si>
  <si>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</si>
  <si>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</si>
  <si>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</si>
  <si>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</si>
  <si>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</si>
  <si>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</si>
  <si>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</si>
  <si>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</si>
  <si>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</si>
  <si>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</si>
  <si>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</si>
  <si>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</si>
  <si>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</si>
  <si>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</si>
  <si>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</si>
  <si>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</si>
  <si>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</si>
  <si>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</si>
  <si>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</si>
  <si>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</si>
  <si>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</si>
  <si>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</si>
  <si>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</si>
  <si>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</si>
  <si>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</si>
  <si>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</si>
  <si>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</si>
  <si>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</si>
  <si>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</si>
  <si>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</si>
  <si>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</si>
  <si>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</si>
  <si>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</si>
  <si>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</si>
  <si>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</si>
  <si>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</si>
  <si>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</si>
  <si>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</si>
  <si>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</si>
  <si>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</si>
  <si>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</si>
  <si>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</si>
  <si>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</si>
  <si>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</si>
  <si>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</si>
  <si>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</si>
  <si>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</si>
  <si>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</si>
  <si>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</si>
  <si>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</si>
  <si>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</si>
  <si>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</si>
  <si>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</si>
  <si>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</si>
  <si>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</si>
  <si>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</si>
  <si>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</si>
  <si>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</si>
  <si>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</si>
  <si>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</si>
  <si>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</si>
  <si>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</si>
  <si>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</si>
  <si>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</si>
  <si>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</si>
  <si>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</si>
  <si>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</si>
  <si>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</si>
  <si>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</si>
  <si>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</si>
  <si>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</si>
  <si>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</si>
  <si>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</si>
  <si>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</si>
  <si>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</si>
  <si>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</si>
  <si>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</si>
  <si>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</si>
  <si>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</si>
  <si>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</si>
  <si>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</si>
  <si>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</si>
  <si>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</si>
  <si>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</si>
  <si>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</si>
  <si>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</si>
  <si>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</si>
  <si>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</si>
  <si>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</si>
  <si>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</si>
  <si>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</si>
  <si>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</si>
  <si>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</si>
  <si>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</si>
  <si>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</si>
  <si>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</si>
  <si>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</si>
  <si>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</si>
  <si>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</si>
  <si>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</si>
  <si>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</si>
  <si>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</si>
  <si>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</si>
  <si>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</si>
  <si>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</si>
  <si>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</si>
  <si>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</si>
  <si>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</si>
  <si>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</si>
  <si>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</si>
  <si>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</si>
  <si>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</si>
  <si>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</si>
  <si>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</si>
  <si>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</si>
  <si>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</si>
  <si>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</si>
  <si>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</si>
  <si>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</si>
  <si>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</si>
  <si>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</si>
  <si>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</si>
  <si>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</si>
  <si>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</si>
  <si>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</si>
  <si>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</si>
  <si>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</si>
  <si>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</si>
  <si>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</si>
  <si>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</si>
  <si>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</si>
  <si>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</si>
  <si>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</si>
  <si>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</si>
  <si>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</si>
  <si>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</si>
  <si>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</si>
  <si>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</si>
  <si>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</si>
  <si>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</si>
  <si>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</si>
  <si>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</si>
  <si>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</si>
  <si>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</si>
  <si>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</si>
  <si>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</si>
  <si>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</si>
  <si>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</si>
  <si>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</si>
  <si>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</si>
  <si>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</si>
  <si>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</si>
  <si>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</si>
  <si>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</si>
  <si>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</si>
  <si>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</si>
  <si>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</si>
  <si>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</si>
  <si>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</si>
  <si>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</si>
  <si>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</si>
  <si>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</si>
  <si>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</si>
  <si>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</si>
  <si>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</si>
  <si>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</si>
  <si>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</si>
  <si>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</si>
  <si>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</si>
  <si>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</si>
  <si>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</si>
  <si>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</si>
  <si>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</si>
  <si>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</si>
  <si>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</si>
  <si>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</si>
  <si>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</si>
  <si>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</si>
  <si>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</si>
  <si>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</si>
  <si>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</si>
  <si>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</si>
  <si>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</si>
  <si>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</si>
  <si>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</si>
  <si>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</si>
  <si>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</si>
  <si>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</si>
  <si>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</si>
  <si>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</si>
  <si>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</si>
  <si>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</si>
  <si>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</si>
  <si>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</si>
  <si>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</si>
  <si>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</si>
  <si>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</si>
  <si>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</si>
  <si>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</si>
  <si>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</si>
  <si>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</si>
  <si>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</si>
  <si>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</si>
  <si>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</si>
  <si>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</si>
  <si>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</si>
  <si>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</si>
  <si>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</si>
  <si>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</si>
  <si>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</si>
  <si>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</si>
  <si>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</si>
  <si>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</si>
  <si>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</si>
  <si>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</si>
  <si>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</si>
  <si>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</si>
  <si>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</si>
  <si>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</si>
  <si>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</si>
  <si>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</si>
  <si>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</si>
  <si>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</si>
  <si>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</si>
  <si>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</si>
  <si>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</si>
  <si>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</si>
  <si>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</si>
  <si>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</si>
  <si>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</si>
  <si>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</si>
  <si>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</si>
  <si>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</si>
  <si>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</si>
  <si>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</si>
  <si>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</si>
  <si>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</si>
  <si>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</si>
  <si>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</si>
  <si>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</si>
  <si>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</si>
  <si>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</si>
  <si>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</si>
  <si>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</si>
  <si>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</si>
  <si>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</si>
  <si>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</si>
  <si>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</si>
  <si>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</si>
  <si>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</si>
  <si>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</si>
  <si>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</si>
  <si>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</si>
  <si>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</si>
  <si>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</si>
  <si>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</si>
  <si>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</si>
  <si>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</si>
  <si>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</si>
  <si>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</si>
  <si>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</si>
  <si>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</si>
  <si>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</si>
  <si>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</si>
  <si>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</si>
  <si>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</si>
  <si>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</si>
  <si>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</si>
  <si>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</si>
  <si>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</si>
  <si>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</si>
  <si>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</si>
  <si>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</si>
  <si>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</si>
  <si>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</si>
  <si>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</si>
  <si>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</si>
  <si>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</si>
  <si>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</si>
  <si>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</si>
  <si>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</si>
  <si>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</si>
  <si>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</si>
  <si>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</si>
  <si>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</si>
  <si>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</si>
  <si>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</si>
  <si>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</si>
  <si>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</si>
  <si>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</si>
  <si>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</si>
  <si>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</si>
  <si>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</si>
  <si>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</si>
  <si>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</si>
  <si>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</si>
  <si>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</si>
  <si>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</si>
  <si>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</si>
  <si>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</si>
  <si>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</si>
  <si>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</si>
  <si>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</si>
  <si>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</si>
  <si>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</si>
  <si>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</si>
  <si>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</si>
  <si>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</si>
  <si>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</si>
  <si>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</si>
  <si>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</si>
  <si>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</si>
  <si>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</si>
  <si>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</si>
  <si>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</si>
  <si>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</si>
  <si>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</si>
  <si>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</si>
  <si>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</si>
  <si>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</si>
  <si>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</si>
  <si>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</si>
  <si>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</si>
  <si>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</si>
  <si>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</si>
  <si>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</si>
  <si>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</si>
  <si>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</si>
  <si>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</si>
  <si>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</si>
  <si>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</si>
  <si>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</si>
  <si>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</si>
  <si>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</si>
  <si>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</si>
  <si>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</si>
  <si>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</si>
  <si>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</si>
  <si>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</si>
  <si>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</si>
  <si>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</si>
  <si>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</si>
  <si>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</si>
  <si>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</si>
  <si>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</si>
  <si>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</si>
  <si>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</si>
  <si>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</si>
  <si>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</si>
  <si>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</si>
  <si>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</si>
  <si>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</si>
  <si>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</si>
  <si>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</si>
  <si>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</si>
  <si>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</si>
  <si>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</si>
  <si>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</si>
  <si>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</si>
  <si>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</si>
  <si>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</si>
  <si>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</si>
  <si>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</si>
  <si>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</si>
  <si>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</si>
  <si>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</si>
  <si>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</si>
  <si>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</si>
  <si>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</si>
  <si>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</si>
  <si>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</si>
  <si>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</si>
  <si>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</si>
  <si>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</si>
  <si>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</si>
  <si>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</si>
  <si>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</si>
  <si>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</si>
  <si>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</si>
  <si>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</si>
  <si>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</si>
  <si>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</si>
  <si>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</si>
  <si>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</si>
  <si>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</si>
  <si>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</si>
  <si>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</si>
  <si>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</si>
  <si>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</si>
  <si>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</si>
  <si>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</si>
  <si>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</si>
  <si>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</si>
  <si>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</si>
  <si>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</si>
  <si>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</si>
  <si>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</si>
  <si>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</si>
  <si>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</si>
  <si>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</si>
  <si>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</si>
  <si>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</si>
  <si>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</si>
  <si>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</si>
  <si>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</si>
  <si>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</si>
  <si>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</si>
  <si>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</si>
  <si>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</si>
  <si>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</si>
  <si>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</si>
  <si>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</si>
  <si>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</si>
  <si>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</si>
  <si>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</si>
  <si>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</si>
  <si>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</si>
  <si>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</si>
  <si>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</si>
  <si>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</si>
  <si>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</si>
  <si>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</si>
  <si>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</si>
  <si>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</si>
  <si>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</si>
  <si>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</si>
  <si>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</si>
  <si>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</si>
  <si>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</si>
  <si>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</si>
  <si>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</si>
  <si>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</si>
  <si>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</si>
  <si>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</si>
  <si>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</si>
  <si>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</si>
  <si>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</si>
  <si>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</si>
  <si>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</si>
  <si>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</si>
  <si>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</si>
  <si>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</si>
  <si>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</si>
  <si>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</si>
  <si>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</si>
  <si>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</si>
  <si>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</si>
  <si>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</si>
  <si>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</si>
  <si>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</si>
  <si>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</si>
  <si>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</si>
  <si>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</si>
  <si>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</si>
  <si>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</si>
  <si>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</si>
  <si>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</si>
  <si>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</si>
  <si>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</si>
  <si>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</si>
  <si>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</si>
  <si>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</si>
  <si>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</si>
  <si>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</si>
  <si>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</si>
  <si>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</si>
  <si>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</si>
  <si>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</si>
  <si>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</si>
  <si>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</si>
  <si>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</si>
  <si>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</si>
  <si>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</si>
  <si>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</si>
  <si>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</si>
  <si>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</si>
  <si>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</si>
  <si>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</si>
  <si>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</si>
  <si>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</si>
  <si>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</si>
  <si>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</si>
  <si>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</si>
  <si>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</si>
  <si>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</si>
  <si>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</si>
  <si>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</si>
  <si>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</si>
  <si>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</si>
  <si>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</si>
  <si>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</si>
  <si>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</si>
  <si>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</si>
  <si>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</si>
  <si>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</si>
  <si>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</si>
  <si>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</si>
  <si>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</si>
  <si>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</si>
  <si>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</si>
  <si>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</si>
  <si>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</si>
  <si>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</si>
  <si>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</si>
  <si>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</si>
  <si>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</si>
  <si>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</si>
  <si>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</si>
  <si>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</si>
  <si>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</si>
  <si>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</si>
  <si>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</si>
  <si>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</si>
  <si>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</si>
  <si>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</si>
  <si>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</si>
  <si>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</si>
  <si>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</si>
  <si>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</si>
  <si>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</si>
  <si>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</si>
  <si>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</si>
  <si>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</si>
  <si>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</si>
  <si>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</si>
  <si>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</si>
  <si>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</si>
  <si>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</si>
  <si>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</si>
  <si>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</si>
  <si>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</si>
  <si>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</si>
  <si>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</si>
  <si>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</si>
  <si>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</si>
  <si>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</si>
  <si>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</si>
  <si>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</si>
  <si>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</si>
  <si>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</si>
  <si>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</si>
  <si>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</si>
  <si>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</si>
  <si>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</si>
  <si>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</si>
  <si>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</si>
  <si>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</si>
  <si>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</si>
  <si>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</si>
  <si>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</si>
  <si>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</si>
  <si>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</si>
  <si>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</si>
  <si>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</si>
  <si>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</si>
  <si>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</si>
  <si>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</si>
  <si>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</si>
  <si>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</si>
  <si>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</si>
  <si>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</si>
  <si>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</si>
  <si>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</si>
  <si>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</si>
  <si>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</si>
  <si>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</si>
  <si>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</si>
  <si>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</si>
  <si>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</si>
  <si>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</si>
  <si>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</si>
  <si>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</si>
  <si>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</si>
  <si>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</si>
  <si>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</si>
  <si>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</si>
  <si>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</si>
  <si>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</si>
  <si>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</si>
  <si>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</si>
  <si>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</si>
  <si>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</si>
  <si>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</si>
  <si>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</si>
  <si>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</si>
  <si>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</si>
  <si>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</si>
  <si>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</si>
  <si>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</si>
  <si>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</si>
  <si>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</si>
  <si>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</si>
  <si>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</si>
  <si>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</si>
  <si>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</si>
  <si>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</si>
  <si>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</si>
  <si>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</si>
  <si>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</si>
  <si>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</si>
  <si>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</si>
  <si>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</si>
  <si>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</si>
  <si>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</si>
  <si>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</si>
  <si>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</si>
  <si>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</si>
  <si>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</si>
  <si>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</si>
  <si>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</si>
  <si>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</si>
  <si>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</si>
  <si>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</si>
  <si>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</si>
  <si>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</si>
  <si>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</si>
  <si>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</si>
  <si>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</si>
  <si>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</si>
  <si>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</si>
  <si>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</si>
  <si>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</si>
  <si>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</si>
  <si>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</si>
  <si>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</si>
  <si>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</si>
  <si>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</si>
  <si>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</si>
  <si>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</si>
  <si>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</si>
  <si>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</si>
  <si>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</si>
  <si>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</si>
  <si>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</si>
  <si>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</si>
  <si>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</si>
  <si>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</si>
  <si>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</si>
  <si>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</si>
  <si>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</si>
  <si>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</si>
  <si>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</si>
  <si>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</si>
  <si>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</si>
  <si>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</si>
  <si>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</si>
  <si>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</si>
  <si>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</si>
  <si>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</si>
  <si>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</si>
  <si>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</si>
  <si>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</si>
  <si>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</si>
  <si>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</si>
  <si>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</si>
  <si>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</si>
  <si>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</si>
  <si>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</si>
  <si>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</si>
  <si>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</si>
  <si>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</si>
  <si>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</si>
  <si>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</si>
  <si>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</si>
  <si>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</si>
  <si>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</si>
  <si>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</si>
  <si>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</si>
  <si>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</si>
  <si>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</si>
  <si>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</si>
  <si>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</si>
  <si>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</si>
  <si>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</si>
  <si>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</si>
  <si>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</si>
  <si>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</si>
  <si>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</si>
  <si>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</si>
  <si>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</si>
  <si>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</si>
  <si>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</si>
  <si>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</si>
  <si>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</si>
  <si>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</si>
  <si>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</si>
  <si>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</si>
  <si>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</si>
  <si>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</si>
  <si>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</si>
  <si>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</si>
  <si>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</si>
  <si>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</si>
  <si>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</si>
  <si>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</si>
  <si>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</si>
  <si>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</si>
  <si>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</si>
  <si>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</si>
  <si>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</si>
  <si>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</si>
  <si>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</si>
  <si>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</si>
  <si>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</si>
  <si>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</si>
  <si>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</si>
  <si>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</si>
  <si>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</si>
  <si>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</si>
  <si>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</si>
  <si>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</si>
  <si>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</si>
  <si>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</si>
  <si>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</si>
  <si>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</si>
  <si>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</si>
  <si>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</si>
  <si>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</si>
  <si>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</si>
  <si>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</si>
  <si>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</si>
  <si>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</si>
  <si>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Stewartstown School District</t>
  </si>
  <si>
    <t>08/1997</t>
  </si>
  <si>
    <t>08/2017</t>
  </si>
  <si>
    <t>08-1997</t>
  </si>
  <si>
    <t>08-2017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</si>
</sst>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28F6-9DBB-4D17-BD41-D85CC0158934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501</v>
      </c>
      <c r="C2" s="21">
        <v>501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222537.99+2013.82</f>
        <v>224551.81</v>
      </c>
      <c r="G9" s="18">
        <v>3157.97</v>
      </c>
      <c r="H9" s="18"/>
      <c r="I9" s="18"/>
      <c r="J9" s="67">
        <f>SUM(I431)</f>
        <v>173763.41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59023.839999999997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1801.18</v>
      </c>
      <c r="G13" s="18">
        <v>6540.62</v>
      </c>
      <c r="H13" s="18">
        <v>64957.38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1490.37</v>
      </c>
      <c r="G14" s="18">
        <v>3.25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3198.3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286867.20000000001</v>
      </c>
      <c r="G19" s="41">
        <f>SUM(G9:G18)</f>
        <v>12900.14</v>
      </c>
      <c r="H19" s="41">
        <f>SUM(H9:H18)</f>
        <v>64957.38</v>
      </c>
      <c r="I19" s="41">
        <f>SUM(I9:I18)</f>
        <v>0</v>
      </c>
      <c r="J19" s="41">
        <f>SUM(J9:J18)</f>
        <v>173763.41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>
        <f>64957.38-5933.54</f>
        <v>59023.839999999997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20881.04</v>
      </c>
      <c r="G25" s="18">
        <v>385.3</v>
      </c>
      <c r="H25" s="18"/>
      <c r="I25" s="18"/>
      <c r="J25" s="67">
        <f>SUM(I442)</f>
        <v>50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11461.31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944.11+1849.85+1042.92+65.11</f>
        <v>3901.9900000000002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5933.54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36244.339999999997</v>
      </c>
      <c r="G33" s="41">
        <f>SUM(G23:G32)</f>
        <v>385.3</v>
      </c>
      <c r="H33" s="41">
        <f>SUM(H23:H32)</f>
        <v>64957.38</v>
      </c>
      <c r="I33" s="41">
        <f>SUM(I23:I32)</f>
        <v>0</v>
      </c>
      <c r="J33" s="41">
        <f>SUM(J23:J32)</f>
        <v>50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3198.3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3650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9016.8+68738.07-68438.33</f>
        <v>9316.5400000000081</v>
      </c>
      <c r="H41" s="18"/>
      <c r="I41" s="18"/>
      <c r="J41" s="13">
        <f>SUM(I449)</f>
        <v>173713.41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181638.93+1809938.51-1740954.58-3650</f>
        <v>246972.85999999987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250622.85999999987</v>
      </c>
      <c r="G43" s="41">
        <f>SUM(G35:G42)</f>
        <v>12514.840000000007</v>
      </c>
      <c r="H43" s="41">
        <f>SUM(H35:H42)</f>
        <v>0</v>
      </c>
      <c r="I43" s="41">
        <f>SUM(I35:I42)</f>
        <v>0</v>
      </c>
      <c r="J43" s="41">
        <f>SUM(J35:J42)</f>
        <v>173713.41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286867.19999999984</v>
      </c>
      <c r="G44" s="41">
        <f>G43+G33</f>
        <v>12900.140000000007</v>
      </c>
      <c r="H44" s="41">
        <f>H43+H33</f>
        <v>64957.38</v>
      </c>
      <c r="I44" s="41">
        <f>I43+I33</f>
        <v>0</v>
      </c>
      <c r="J44" s="41">
        <f>J43+J33</f>
        <v>173763.41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978360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978360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353.17</v>
      </c>
      <c r="G88" s="18"/>
      <c r="H88" s="18"/>
      <c r="I88" s="18"/>
      <c r="J88" s="18">
        <v>475.1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13561.68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209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26.03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927.22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425</v>
      </c>
      <c r="G102" s="18"/>
      <c r="H102" s="18">
        <f>2115+8992.56+147.29</f>
        <v>11254.85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1940.42</v>
      </c>
      <c r="G103" s="41">
        <f>SUM(G88:G102)</f>
        <v>13561.68</v>
      </c>
      <c r="H103" s="41">
        <f>SUM(H88:H102)</f>
        <v>11254.85</v>
      </c>
      <c r="I103" s="41">
        <f>SUM(I88:I102)</f>
        <v>0</v>
      </c>
      <c r="J103" s="41">
        <f>SUM(J88:J102)</f>
        <v>475.1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980300.42</v>
      </c>
      <c r="G104" s="41">
        <f>G52+G103</f>
        <v>13561.68</v>
      </c>
      <c r="H104" s="41">
        <f>H52+H71+H86+H103</f>
        <v>11254.85</v>
      </c>
      <c r="I104" s="41">
        <f>I52+I103</f>
        <v>0</v>
      </c>
      <c r="J104" s="41">
        <f>J52+J103</f>
        <v>475.1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550121-19254.38</f>
        <v>530866.62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213159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19254.38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763280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14714.55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44526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729.53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3973.97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59240.55</v>
      </c>
      <c r="G128" s="41">
        <f>SUM(G115:G127)</f>
        <v>729.53</v>
      </c>
      <c r="H128" s="41">
        <f>SUM(H115:H127)</f>
        <v>3973.97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822520.55</v>
      </c>
      <c r="G132" s="41">
        <f>G113+SUM(G128:G129)</f>
        <v>729.53</v>
      </c>
      <c r="H132" s="41">
        <f>H113+SUM(H128:H131)</f>
        <v>3973.97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22705.73+143421.09+6256</f>
        <v>172382.82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6042.68+19510.92+4052.55+3265.11+424.98+5184.81</f>
        <v>38481.049999999996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33446.86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7117.54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7117.54</v>
      </c>
      <c r="G154" s="41">
        <f>SUM(G142:G153)</f>
        <v>33446.86</v>
      </c>
      <c r="H154" s="41">
        <f>SUM(H142:H153)</f>
        <v>210863.87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7117.54</v>
      </c>
      <c r="G161" s="41">
        <f>G139+G154+SUM(G155:G160)</f>
        <v>33446.86</v>
      </c>
      <c r="H161" s="41">
        <f>H139+H154+SUM(H155:H160)</f>
        <v>210863.87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21000</v>
      </c>
      <c r="H171" s="18"/>
      <c r="I171" s="18"/>
      <c r="J171" s="18">
        <v>40000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21000</v>
      </c>
      <c r="H175" s="41">
        <f>SUM(H171:H174)</f>
        <v>0</v>
      </c>
      <c r="I175" s="41">
        <f>SUM(I171:I174)</f>
        <v>0</v>
      </c>
      <c r="J175" s="41">
        <f>SUM(J171:J174)</f>
        <v>40000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21000</v>
      </c>
      <c r="H184" s="41">
        <f>+H175+SUM(H180:H183)</f>
        <v>0</v>
      </c>
      <c r="I184" s="41">
        <f>I169+I175+SUM(I180:I183)</f>
        <v>0</v>
      </c>
      <c r="J184" s="41">
        <f>J175</f>
        <v>40000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1809938.5100000002</v>
      </c>
      <c r="G185" s="47">
        <f>G104+G132+G161+G184</f>
        <v>68738.070000000007</v>
      </c>
      <c r="H185" s="47">
        <f>H104+H132+H161+H184</f>
        <v>226092.69</v>
      </c>
      <c r="I185" s="47">
        <f>I104+I132+I161+I184</f>
        <v>0</v>
      </c>
      <c r="J185" s="47">
        <f>J104+J132+J184</f>
        <v>40475.1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182100+14803.78+19353.06+3460</f>
        <v>219716.84</v>
      </c>
      <c r="G189" s="18">
        <f>62522.21+16260.93+14617.06+825.53+756</f>
        <v>94981.73</v>
      </c>
      <c r="H189" s="18">
        <f>20474.08+2694.14+2477.37</f>
        <v>25645.59</v>
      </c>
      <c r="I189" s="18">
        <f>9289.32+8957.91</f>
        <v>18247.23</v>
      </c>
      <c r="J189" s="18">
        <f>1478.26+611.96</f>
        <v>2090.2200000000003</v>
      </c>
      <c r="K189" s="18">
        <v>217.35</v>
      </c>
      <c r="L189" s="19">
        <f>SUM(F189:K189)</f>
        <v>360898.95999999996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44006.25+34507.67+284.23</f>
        <v>78798.149999999994</v>
      </c>
      <c r="G190" s="18">
        <f>7003.92+5945.53+3283.07+313.63+21.75</f>
        <v>16567.900000000001</v>
      </c>
      <c r="H190" s="18">
        <f>9757.2+190534.06</f>
        <v>200291.26</v>
      </c>
      <c r="I190" s="18">
        <f>471.21+49.57</f>
        <v>520.78</v>
      </c>
      <c r="J190" s="18"/>
      <c r="K190" s="18">
        <v>620</v>
      </c>
      <c r="L190" s="19">
        <f>SUM(F190:K190)</f>
        <v>296798.09000000003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428.15+22142.57+5102.7+2393.82</f>
        <v>30067.24</v>
      </c>
      <c r="G194" s="18">
        <f>1726.65+390.35</f>
        <v>2117</v>
      </c>
      <c r="H194" s="18">
        <f>19832.8+18249.06+110+1669.86+20261.26+7295.72+19098.94+2520+8780+1423.5</f>
        <v>99241.14</v>
      </c>
      <c r="I194" s="18">
        <f>145.83+825.39+692.14+44.76+492.17+496.93+1275.01</f>
        <v>3972.2299999999996</v>
      </c>
      <c r="J194" s="18">
        <f>728.95+126.97</f>
        <v>855.92000000000007</v>
      </c>
      <c r="K194" s="18">
        <v>941</v>
      </c>
      <c r="L194" s="19">
        <f t="shared" ref="L194:L200" si="0">SUM(F194:K194)</f>
        <v>137194.53000000003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23937.98</v>
      </c>
      <c r="G195" s="18">
        <f>1831.24+95.93+126</f>
        <v>2053.17</v>
      </c>
      <c r="H195" s="18">
        <f>1086+486</f>
        <v>1572</v>
      </c>
      <c r="I195" s="18">
        <f>64.69+561.41+2055.6+274.46</f>
        <v>2956.16</v>
      </c>
      <c r="J195" s="18"/>
      <c r="K195" s="18">
        <f>336+950</f>
        <v>1286</v>
      </c>
      <c r="L195" s="19">
        <f t="shared" si="0"/>
        <v>31805.31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1815</v>
      </c>
      <c r="G196" s="18">
        <f>138.86+8.1</f>
        <v>146.96</v>
      </c>
      <c r="H196" s="18">
        <f>4730.53+3082.98+892.84+51435.92+779.33</f>
        <v>60921.599999999999</v>
      </c>
      <c r="I196" s="18">
        <f>552.28</f>
        <v>552.28</v>
      </c>
      <c r="J196" s="18"/>
      <c r="K196" s="18">
        <v>5670.71</v>
      </c>
      <c r="L196" s="19">
        <f t="shared" si="0"/>
        <v>69106.55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37079.9+25524.43+1250</f>
        <v>63854.33</v>
      </c>
      <c r="G197" s="18">
        <f>22762.52+4659.69+3074.04+241.81+126</f>
        <v>30864.06</v>
      </c>
      <c r="H197" s="18">
        <f>2510+2366.9+112.43+78.8+178.87</f>
        <v>5247</v>
      </c>
      <c r="I197" s="18">
        <f>2036.35+327.3</f>
        <v>2363.65</v>
      </c>
      <c r="J197" s="18">
        <v>91.81</v>
      </c>
      <c r="K197" s="18">
        <v>483.87</v>
      </c>
      <c r="L197" s="19">
        <f t="shared" si="0"/>
        <v>102904.71999999999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21855.43</v>
      </c>
      <c r="G199" s="18">
        <f>9338.56+1592.57+734</f>
        <v>11665.13</v>
      </c>
      <c r="H199" s="18">
        <f>1770+788+1376+5980+15707.58+5389.5+24</f>
        <v>31035.08</v>
      </c>
      <c r="I199" s="18">
        <f>5053.8+18217.99+8869.63+55.47</f>
        <v>32196.89</v>
      </c>
      <c r="J199" s="18">
        <v>2670.58</v>
      </c>
      <c r="K199" s="18">
        <v>1532.75</v>
      </c>
      <c r="L199" s="19">
        <f t="shared" si="0"/>
        <v>100955.86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25166.04+980.17</f>
        <v>26146.21</v>
      </c>
      <c r="G200" s="18">
        <f>1925.19+1274+100+74.96</f>
        <v>3374.15</v>
      </c>
      <c r="H200" s="18">
        <f>9554.83+225+1118.7+324+548.78+20357.44</f>
        <v>32128.75</v>
      </c>
      <c r="I200" s="18">
        <f>175.16+116.88+10838.24</f>
        <v>11130.279999999999</v>
      </c>
      <c r="J200" s="18"/>
      <c r="K200" s="18">
        <v>626</v>
      </c>
      <c r="L200" s="19">
        <f t="shared" si="0"/>
        <v>73405.39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466191.18</v>
      </c>
      <c r="G203" s="41">
        <f t="shared" si="1"/>
        <v>161770.1</v>
      </c>
      <c r="H203" s="41">
        <f t="shared" si="1"/>
        <v>456082.42</v>
      </c>
      <c r="I203" s="41">
        <f t="shared" si="1"/>
        <v>71939.5</v>
      </c>
      <c r="J203" s="41">
        <f t="shared" si="1"/>
        <v>5708.5300000000007</v>
      </c>
      <c r="K203" s="41">
        <f t="shared" si="1"/>
        <v>11377.68</v>
      </c>
      <c r="L203" s="41">
        <f t="shared" si="1"/>
        <v>1173069.4100000001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166852.59+202083.33</f>
        <v>368935.92</v>
      </c>
      <c r="I225" s="18"/>
      <c r="J225" s="18"/>
      <c r="K225" s="18"/>
      <c r="L225" s="19">
        <f>SUM(F225:K225)</f>
        <v>368935.92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16309.74+154.08</f>
        <v>16463.82</v>
      </c>
      <c r="I226" s="18"/>
      <c r="J226" s="18"/>
      <c r="K226" s="18"/>
      <c r="L226" s="19">
        <f>SUM(F226:K226)</f>
        <v>16463.82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v>870</v>
      </c>
      <c r="I230" s="18"/>
      <c r="J230" s="18"/>
      <c r="K230" s="18"/>
      <c r="L230" s="19">
        <f t="shared" ref="L230:L236" si="4">SUM(F230:K230)</f>
        <v>870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1210</v>
      </c>
      <c r="G232" s="18">
        <f>92.58+4</f>
        <v>96.58</v>
      </c>
      <c r="H232" s="18">
        <f>3009.08+179.52+275.42+25700.34</f>
        <v>29164.36</v>
      </c>
      <c r="I232" s="18">
        <v>81.72</v>
      </c>
      <c r="J232" s="18"/>
      <c r="K232" s="18">
        <v>2796.59</v>
      </c>
      <c r="L232" s="19">
        <f t="shared" si="4"/>
        <v>33349.25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11852.26</v>
      </c>
      <c r="G236" s="18">
        <f>906.71+628</f>
        <v>1534.71</v>
      </c>
      <c r="H236" s="18">
        <f>4748.65+576.3+216</f>
        <v>5540.95</v>
      </c>
      <c r="I236" s="18">
        <f>57.12+5854.76+31.38</f>
        <v>5943.26</v>
      </c>
      <c r="J236" s="18"/>
      <c r="K236" s="18"/>
      <c r="L236" s="19">
        <f t="shared" si="4"/>
        <v>24871.18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13062.26</v>
      </c>
      <c r="G239" s="41">
        <f t="shared" si="5"/>
        <v>1631.29</v>
      </c>
      <c r="H239" s="41">
        <f t="shared" si="5"/>
        <v>420975.05</v>
      </c>
      <c r="I239" s="41">
        <f t="shared" si="5"/>
        <v>6024.9800000000005</v>
      </c>
      <c r="J239" s="41">
        <f t="shared" si="5"/>
        <v>0</v>
      </c>
      <c r="K239" s="41">
        <f t="shared" si="5"/>
        <v>2796.59</v>
      </c>
      <c r="L239" s="41">
        <f t="shared" si="5"/>
        <v>444490.17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479253.44</v>
      </c>
      <c r="G249" s="41">
        <f t="shared" si="8"/>
        <v>163401.39000000001</v>
      </c>
      <c r="H249" s="41">
        <f t="shared" si="8"/>
        <v>877057.47</v>
      </c>
      <c r="I249" s="41">
        <f t="shared" si="8"/>
        <v>77964.479999999996</v>
      </c>
      <c r="J249" s="41">
        <f t="shared" si="8"/>
        <v>5708.5300000000007</v>
      </c>
      <c r="K249" s="41">
        <f t="shared" si="8"/>
        <v>14174.27</v>
      </c>
      <c r="L249" s="41">
        <f t="shared" si="8"/>
        <v>1617559.58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45000</v>
      </c>
      <c r="L252" s="19">
        <f>SUM(F252:K252)</f>
        <v>45000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17395</v>
      </c>
      <c r="L253" s="19">
        <f>SUM(F253:K253)</f>
        <v>17395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21000</v>
      </c>
      <c r="L255" s="19">
        <f>SUM(F255:K255)</f>
        <v>21000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40000</v>
      </c>
      <c r="L258" s="19">
        <f t="shared" si="9"/>
        <v>40000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123395</v>
      </c>
      <c r="L262" s="41">
        <f t="shared" si="9"/>
        <v>123395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479253.44</v>
      </c>
      <c r="G263" s="42">
        <f t="shared" si="11"/>
        <v>163401.39000000001</v>
      </c>
      <c r="H263" s="42">
        <f t="shared" si="11"/>
        <v>877057.47</v>
      </c>
      <c r="I263" s="42">
        <f t="shared" si="11"/>
        <v>77964.479999999996</v>
      </c>
      <c r="J263" s="42">
        <f t="shared" si="11"/>
        <v>5708.5300000000007</v>
      </c>
      <c r="K263" s="42">
        <f t="shared" si="11"/>
        <v>137569.26999999999</v>
      </c>
      <c r="L263" s="42">
        <f t="shared" si="11"/>
        <v>1740954.58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1796.06</v>
      </c>
      <c r="G268" s="18">
        <f>137.42+130.2</f>
        <v>267.62</v>
      </c>
      <c r="H268" s="18"/>
      <c r="I268" s="18">
        <f>697.13+1109.47+1694.28+3509.63+1733.22+147.29</f>
        <v>8891.02</v>
      </c>
      <c r="J268" s="18">
        <f>3052.55+2934.5+945.96</f>
        <v>6933.01</v>
      </c>
      <c r="K268" s="18"/>
      <c r="L268" s="19">
        <f>SUM(F268:K268)</f>
        <v>17887.71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68900+12836.93</f>
        <v>81736.929999999993</v>
      </c>
      <c r="G269" s="18">
        <f>28015.62+6131.14+5525.78+247</f>
        <v>39919.54</v>
      </c>
      <c r="H269" s="18"/>
      <c r="I269" s="18">
        <f>1042+38.45+87.92</f>
        <v>1168.3700000000001</v>
      </c>
      <c r="J269" s="18"/>
      <c r="K269" s="18"/>
      <c r="L269" s="19">
        <f>SUM(F269:K269)</f>
        <v>122824.84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9150+2221.51+2764.03</f>
        <v>14135.54</v>
      </c>
      <c r="G271" s="18">
        <f>869.94+713.82+211.49+129.3</f>
        <v>1924.5500000000002</v>
      </c>
      <c r="H271" s="18"/>
      <c r="I271" s="18">
        <v>983.07</v>
      </c>
      <c r="J271" s="18"/>
      <c r="K271" s="18"/>
      <c r="L271" s="19">
        <f>SUM(F271:K271)</f>
        <v>17043.16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888.49+414.31</f>
        <v>1302.8</v>
      </c>
      <c r="G273" s="18">
        <f>67.97+31.94</f>
        <v>99.91</v>
      </c>
      <c r="H273" s="18">
        <f>141.45+2115+1100+328</f>
        <v>3684.45</v>
      </c>
      <c r="I273" s="18">
        <f>1233.33+573.16+2919.56</f>
        <v>4726.0499999999993</v>
      </c>
      <c r="J273" s="18"/>
      <c r="K273" s="18">
        <v>35</v>
      </c>
      <c r="L273" s="19">
        <f t="shared" ref="L273:L279" si="12">SUM(F273:K273)</f>
        <v>9848.2099999999991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2754+8066.5+1632+153.6+943.5</f>
        <v>13549.6</v>
      </c>
      <c r="G274" s="18">
        <f>210.69+220.87+617.04+876.26+136.63+130.88+72.15+74.53</f>
        <v>2339.0500000000002</v>
      </c>
      <c r="H274" s="18">
        <f>283+5390+499.8+700+8451+281.08+900+1173+39+3920</f>
        <v>21636.879999999997</v>
      </c>
      <c r="I274" s="18">
        <f>633.73+335.31+424.98+336</f>
        <v>1730.02</v>
      </c>
      <c r="J274" s="18"/>
      <c r="K274" s="18">
        <f>1040+135</f>
        <v>1175</v>
      </c>
      <c r="L274" s="19">
        <f t="shared" si="12"/>
        <v>40430.549999999996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f>2000+7500</f>
        <v>9500</v>
      </c>
      <c r="G275" s="18">
        <f>153+160.4+573.66+720.1</f>
        <v>1607.1599999999999</v>
      </c>
      <c r="H275" s="18">
        <v>151.97999999999999</v>
      </c>
      <c r="I275" s="18"/>
      <c r="J275" s="18"/>
      <c r="K275" s="18"/>
      <c r="L275" s="19">
        <f t="shared" si="12"/>
        <v>11259.14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f>1500+650+250+100</f>
        <v>2500</v>
      </c>
      <c r="L277" s="19">
        <f t="shared" si="12"/>
        <v>2500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>
        <v>1589</v>
      </c>
      <c r="K278" s="18"/>
      <c r="L278" s="19">
        <f t="shared" si="12"/>
        <v>1589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f>1099.49+408.26+31.23</f>
        <v>1538.98</v>
      </c>
      <c r="G279" s="18">
        <v>84.12</v>
      </c>
      <c r="H279" s="18">
        <v>186.98</v>
      </c>
      <c r="I279" s="18"/>
      <c r="J279" s="18"/>
      <c r="K279" s="18"/>
      <c r="L279" s="19">
        <f t="shared" si="12"/>
        <v>1810.08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123559.91</v>
      </c>
      <c r="G282" s="42">
        <f t="shared" si="13"/>
        <v>46241.950000000019</v>
      </c>
      <c r="H282" s="42">
        <f t="shared" si="13"/>
        <v>25660.289999999997</v>
      </c>
      <c r="I282" s="42">
        <f t="shared" si="13"/>
        <v>17498.53</v>
      </c>
      <c r="J282" s="42">
        <f t="shared" si="13"/>
        <v>8522.01</v>
      </c>
      <c r="K282" s="42">
        <f t="shared" si="13"/>
        <v>3710</v>
      </c>
      <c r="L282" s="41">
        <f t="shared" si="13"/>
        <v>225192.68999999997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>
        <v>900</v>
      </c>
      <c r="I327" s="18"/>
      <c r="J327" s="18"/>
      <c r="K327" s="18"/>
      <c r="L327" s="19">
        <f t="shared" si="18"/>
        <v>900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900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900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123559.91</v>
      </c>
      <c r="G330" s="41">
        <f t="shared" si="20"/>
        <v>46241.950000000019</v>
      </c>
      <c r="H330" s="41">
        <f t="shared" si="20"/>
        <v>26560.289999999997</v>
      </c>
      <c r="I330" s="41">
        <f t="shared" si="20"/>
        <v>17498.53</v>
      </c>
      <c r="J330" s="41">
        <f t="shared" si="20"/>
        <v>8522.01</v>
      </c>
      <c r="K330" s="41">
        <f t="shared" si="20"/>
        <v>3710</v>
      </c>
      <c r="L330" s="41">
        <f t="shared" si="20"/>
        <v>226092.68999999997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123559.91</v>
      </c>
      <c r="G344" s="41">
        <f>G330</f>
        <v>46241.950000000019</v>
      </c>
      <c r="H344" s="41">
        <f>H330</f>
        <v>26560.289999999997</v>
      </c>
      <c r="I344" s="41">
        <f>I330</f>
        <v>17498.53</v>
      </c>
      <c r="J344" s="41">
        <f>J330</f>
        <v>8522.01</v>
      </c>
      <c r="K344" s="47">
        <f>K330+K343</f>
        <v>3710</v>
      </c>
      <c r="L344" s="41">
        <f>L330+L343</f>
        <v>226092.68999999997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27841.94+1286.7</f>
        <v>29128.639999999999</v>
      </c>
      <c r="G350" s="18">
        <f>2228.1+807</f>
        <v>3035.1</v>
      </c>
      <c r="H350" s="18">
        <f>2935.45+168.5</f>
        <v>3103.95</v>
      </c>
      <c r="I350" s="18">
        <f>1937.14+29508.02+1137.18</f>
        <v>32582.34</v>
      </c>
      <c r="J350" s="18">
        <v>457.74</v>
      </c>
      <c r="K350" s="18">
        <v>130.56</v>
      </c>
      <c r="L350" s="13">
        <f>SUM(F350:K350)</f>
        <v>68438.33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29128.639999999999</v>
      </c>
      <c r="G354" s="47">
        <f t="shared" si="22"/>
        <v>3035.1</v>
      </c>
      <c r="H354" s="47">
        <f t="shared" si="22"/>
        <v>3103.95</v>
      </c>
      <c r="I354" s="47">
        <f t="shared" si="22"/>
        <v>32582.34</v>
      </c>
      <c r="J354" s="47">
        <f t="shared" si="22"/>
        <v>457.74</v>
      </c>
      <c r="K354" s="47">
        <f t="shared" si="22"/>
        <v>130.56</v>
      </c>
      <c r="L354" s="47">
        <f t="shared" si="22"/>
        <v>68438.33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29508.02</v>
      </c>
      <c r="G359" s="18"/>
      <c r="H359" s="18"/>
      <c r="I359" s="56">
        <f>SUM(F359:H359)</f>
        <v>29508.02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1937.14+1137.18</f>
        <v>3074.32</v>
      </c>
      <c r="G360" s="63"/>
      <c r="H360" s="63"/>
      <c r="I360" s="56">
        <f>SUM(F360:H360)</f>
        <v>3074.32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32582.34</v>
      </c>
      <c r="G361" s="47">
        <f>SUM(G359:G360)</f>
        <v>0</v>
      </c>
      <c r="H361" s="47">
        <f>SUM(H359:H360)</f>
        <v>0</v>
      </c>
      <c r="I361" s="47">
        <f>SUM(I359:I360)</f>
        <v>32582.34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>
        <v>10000</v>
      </c>
      <c r="H382" s="18">
        <v>123.55</v>
      </c>
      <c r="I382" s="18"/>
      <c r="J382" s="24" t="s">
        <v>312</v>
      </c>
      <c r="K382" s="24" t="s">
        <v>312</v>
      </c>
      <c r="L382" s="56">
        <f t="shared" si="25"/>
        <v>10123.549999999999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10000</v>
      </c>
      <c r="H385" s="139">
        <f>SUM(H379:H384)</f>
        <v>123.55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10123.549999999999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30000</v>
      </c>
      <c r="H390" s="18">
        <f>2.93+338.31</f>
        <v>341.24</v>
      </c>
      <c r="I390" s="18"/>
      <c r="J390" s="24" t="s">
        <v>312</v>
      </c>
      <c r="K390" s="24" t="s">
        <v>312</v>
      </c>
      <c r="L390" s="56">
        <f t="shared" si="26"/>
        <v>30341.24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10.31</v>
      </c>
      <c r="I392" s="18"/>
      <c r="J392" s="24" t="s">
        <v>312</v>
      </c>
      <c r="K392" s="24" t="s">
        <v>312</v>
      </c>
      <c r="L392" s="56">
        <f t="shared" si="26"/>
        <v>10.31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30000</v>
      </c>
      <c r="H393" s="47">
        <f>SUM(H387:H392)</f>
        <v>351.55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30351.550000000003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40000</v>
      </c>
      <c r="H400" s="47">
        <f>H385+H393+H399</f>
        <v>475.1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40475.100000000006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100</v>
      </c>
      <c r="L418" s="56">
        <f t="shared" si="29"/>
        <v>100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100</v>
      </c>
      <c r="L419" s="47">
        <f t="shared" si="30"/>
        <v>100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100</v>
      </c>
      <c r="L426" s="47">
        <f t="shared" si="32"/>
        <v>100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51908.6</v>
      </c>
      <c r="G431" s="18">
        <f>173763.41-51908.6</f>
        <v>121854.81</v>
      </c>
      <c r="H431" s="18"/>
      <c r="I431" s="56">
        <f t="shared" ref="I431:I437" si="33">SUM(F431:H431)</f>
        <v>173763.41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51908.6</v>
      </c>
      <c r="G438" s="13">
        <f>SUM(G431:G437)</f>
        <v>121854.81</v>
      </c>
      <c r="H438" s="13">
        <f>SUM(H431:H437)</f>
        <v>0</v>
      </c>
      <c r="I438" s="13">
        <f>SUM(I431:I437)</f>
        <v>173763.41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>
        <v>50</v>
      </c>
      <c r="H442" s="18"/>
      <c r="I442" s="56">
        <f>SUM(F442:H442)</f>
        <v>50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50</v>
      </c>
      <c r="H444" s="72">
        <f>SUM(H440:H443)</f>
        <v>0</v>
      </c>
      <c r="I444" s="72">
        <f>SUM(I440:I443)</f>
        <v>50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51908.6</v>
      </c>
      <c r="G449" s="18">
        <f>121854.81-50</f>
        <v>121804.81</v>
      </c>
      <c r="H449" s="18"/>
      <c r="I449" s="56">
        <f>SUM(F449:H449)</f>
        <v>173713.41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51908.6</v>
      </c>
      <c r="G450" s="83">
        <f>SUM(G446:G449)</f>
        <v>121804.81</v>
      </c>
      <c r="H450" s="83">
        <f>SUM(H446:H449)</f>
        <v>0</v>
      </c>
      <c r="I450" s="83">
        <f>SUM(I446:I449)</f>
        <v>173713.41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51908.6</v>
      </c>
      <c r="G451" s="42">
        <f>G444+G450</f>
        <v>121854.81</v>
      </c>
      <c r="H451" s="42">
        <f>H444+H450</f>
        <v>0</v>
      </c>
      <c r="I451" s="42">
        <f>I444+I450</f>
        <v>173763.41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182153.93</v>
      </c>
      <c r="G455" s="18">
        <v>12267.84</v>
      </c>
      <c r="H455" s="18"/>
      <c r="I455" s="18"/>
      <c r="J455" s="18">
        <v>133338.31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1809938.51</v>
      </c>
      <c r="G458" s="18">
        <v>68738.070000000007</v>
      </c>
      <c r="H458" s="18">
        <v>226092.69</v>
      </c>
      <c r="I458" s="18"/>
      <c r="J458" s="18">
        <v>40475.1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>
        <v>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1809938.51</v>
      </c>
      <c r="G460" s="53">
        <f>SUM(G458:G459)</f>
        <v>68738.070000000007</v>
      </c>
      <c r="H460" s="53">
        <f>SUM(H458:H459)</f>
        <v>226092.69</v>
      </c>
      <c r="I460" s="53">
        <f>SUM(I458:I459)</f>
        <v>0</v>
      </c>
      <c r="J460" s="53">
        <f>SUM(J458:J459)</f>
        <v>40475.1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1740954.58</v>
      </c>
      <c r="G462" s="18">
        <v>68438.33</v>
      </c>
      <c r="H462" s="18">
        <v>226092.69</v>
      </c>
      <c r="I462" s="18"/>
      <c r="J462" s="18">
        <v>100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515</v>
      </c>
      <c r="G463" s="18">
        <v>52.74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1741469.58</v>
      </c>
      <c r="G464" s="53">
        <f>SUM(G462:G463)</f>
        <v>68491.070000000007</v>
      </c>
      <c r="H464" s="53">
        <f>SUM(H462:H463)</f>
        <v>226092.69</v>
      </c>
      <c r="I464" s="53">
        <f>SUM(I462:I463)</f>
        <v>0</v>
      </c>
      <c r="J464" s="53">
        <f>SUM(J462:J463)</f>
        <v>100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250622.85999999987</v>
      </c>
      <c r="G466" s="53">
        <f>(G455+G460)- G464</f>
        <v>12514.839999999997</v>
      </c>
      <c r="H466" s="53">
        <f>(H455+H460)- H464</f>
        <v>0</v>
      </c>
      <c r="I466" s="53">
        <f>(I455+I460)- I464</f>
        <v>0</v>
      </c>
      <c r="J466" s="53">
        <f>(J455+J460)- J464</f>
        <v>173713.41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897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249438</v>
      </c>
      <c r="G483" s="18">
        <v>748312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5.01</v>
      </c>
      <c r="G484" s="18">
        <v>4.9800000000000004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80000</v>
      </c>
      <c r="G485" s="18">
        <v>280000</v>
      </c>
      <c r="H485" s="18"/>
      <c r="I485" s="18"/>
      <c r="J485" s="18"/>
      <c r="K485" s="53">
        <f>SUM(F485:J485)</f>
        <v>360000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 t="s">
        <v>310</v>
      </c>
      <c r="G486" s="18" t="s">
        <v>310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10000</v>
      </c>
      <c r="G487" s="18">
        <v>35000</v>
      </c>
      <c r="H487" s="18"/>
      <c r="I487" s="18"/>
      <c r="J487" s="18"/>
      <c r="K487" s="53">
        <f t="shared" si="34"/>
        <v>45000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70000</v>
      </c>
      <c r="G488" s="205">
        <v>245000</v>
      </c>
      <c r="H488" s="205"/>
      <c r="I488" s="205"/>
      <c r="J488" s="205"/>
      <c r="K488" s="206">
        <f t="shared" si="34"/>
        <v>315000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16772.5-3902.5</f>
        <v>12870</v>
      </c>
      <c r="G489" s="18">
        <f>57915.25-13492.5</f>
        <v>44422.75</v>
      </c>
      <c r="H489" s="18"/>
      <c r="I489" s="18"/>
      <c r="J489" s="18"/>
      <c r="K489" s="53">
        <f t="shared" si="34"/>
        <v>57292.75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82870</v>
      </c>
      <c r="G490" s="42">
        <f>SUM(G488:G489)</f>
        <v>289422.75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372292.75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10000</v>
      </c>
      <c r="G491" s="205">
        <v>35000</v>
      </c>
      <c r="H491" s="205"/>
      <c r="I491" s="205"/>
      <c r="J491" s="205"/>
      <c r="K491" s="206">
        <f t="shared" si="34"/>
        <v>45000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1825+1570</f>
        <v>3395</v>
      </c>
      <c r="G492" s="18">
        <f>6308.75+5425</f>
        <v>11733.75</v>
      </c>
      <c r="H492" s="18"/>
      <c r="I492" s="18"/>
      <c r="J492" s="18"/>
      <c r="K492" s="53">
        <f t="shared" si="34"/>
        <v>15128.75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13395</v>
      </c>
      <c r="G493" s="42">
        <f>SUM(G491:G492)</f>
        <v>46733.75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60128.75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44006.25+34507.67</f>
        <v>78513.919999999998</v>
      </c>
      <c r="G511" s="18">
        <f>7003.92+5945.53+3283.07+313.63</f>
        <v>16546.150000000001</v>
      </c>
      <c r="H511" s="18">
        <f>9757.2+190534.06</f>
        <v>200291.26</v>
      </c>
      <c r="I511" s="18">
        <f>471.21+49.57</f>
        <v>520.78</v>
      </c>
      <c r="J511" s="18"/>
      <c r="K511" s="18">
        <v>620</v>
      </c>
      <c r="L511" s="88">
        <f>SUM(F511:K511)</f>
        <v>296492.11000000004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284.23</v>
      </c>
      <c r="G513" s="18">
        <v>21.75</v>
      </c>
      <c r="H513" s="18">
        <f>16309.74+154.08</f>
        <v>16463.82</v>
      </c>
      <c r="I513" s="18"/>
      <c r="J513" s="18"/>
      <c r="K513" s="18"/>
      <c r="L513" s="88">
        <f>SUM(F513:K513)</f>
        <v>16769.8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78798.149999999994</v>
      </c>
      <c r="G514" s="108">
        <f t="shared" ref="G514:L514" si="35">SUM(G511:G513)</f>
        <v>16567.900000000001</v>
      </c>
      <c r="H514" s="108">
        <f t="shared" si="35"/>
        <v>216755.08000000002</v>
      </c>
      <c r="I514" s="108">
        <f t="shared" si="35"/>
        <v>520.78</v>
      </c>
      <c r="J514" s="108">
        <f t="shared" si="35"/>
        <v>0</v>
      </c>
      <c r="K514" s="108">
        <f t="shared" si="35"/>
        <v>620</v>
      </c>
      <c r="L514" s="89">
        <f t="shared" si="35"/>
        <v>313261.91000000003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22142.57+4799.8</f>
        <v>26942.37</v>
      </c>
      <c r="G516" s="18">
        <f>1693.3+367.18</f>
        <v>2060.48</v>
      </c>
      <c r="H516" s="18">
        <f>1669.86+8868.52+5047.73+17560.92+2520+14861.96</f>
        <v>50528.99</v>
      </c>
      <c r="I516" s="18">
        <f>825.39+692.14</f>
        <v>1517.53</v>
      </c>
      <c r="J516" s="18"/>
      <c r="K516" s="18"/>
      <c r="L516" s="88">
        <f>SUM(F516:K516)</f>
        <v>81049.37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26942.37</v>
      </c>
      <c r="G519" s="89">
        <f t="shared" ref="G519:L519" si="36">SUM(G516:G518)</f>
        <v>2060.48</v>
      </c>
      <c r="H519" s="89">
        <f t="shared" si="36"/>
        <v>50528.99</v>
      </c>
      <c r="I519" s="89">
        <f t="shared" si="36"/>
        <v>1517.53</v>
      </c>
      <c r="J519" s="89">
        <f t="shared" si="36"/>
        <v>0</v>
      </c>
      <c r="K519" s="89">
        <f t="shared" si="36"/>
        <v>0</v>
      </c>
      <c r="L519" s="89">
        <f t="shared" si="36"/>
        <v>81049.37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f>19467.22*0.8</f>
        <v>15573.776000000002</v>
      </c>
      <c r="I521" s="18"/>
      <c r="J521" s="18"/>
      <c r="K521" s="18"/>
      <c r="L521" s="88">
        <f>SUM(F521:K521)</f>
        <v>15573.776000000002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f>19467.22-15573.78</f>
        <v>3893.4400000000005</v>
      </c>
      <c r="I523" s="18"/>
      <c r="J523" s="18"/>
      <c r="K523" s="18"/>
      <c r="L523" s="88">
        <f>SUM(F523:K523)</f>
        <v>3893.4400000000005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19467.216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19467.216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20357.439999999999</v>
      </c>
      <c r="I531" s="18"/>
      <c r="J531" s="18"/>
      <c r="K531" s="18"/>
      <c r="L531" s="88">
        <f>SUM(F531:K531)</f>
        <v>20357.439999999999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20357.439999999999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20357.439999999999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105740.51999999999</v>
      </c>
      <c r="G535" s="89">
        <f t="shared" ref="G535:L535" si="40">G514+G519+G524+G529+G534</f>
        <v>18628.38</v>
      </c>
      <c r="H535" s="89">
        <f t="shared" si="40"/>
        <v>307108.72600000002</v>
      </c>
      <c r="I535" s="89">
        <f t="shared" si="40"/>
        <v>2038.31</v>
      </c>
      <c r="J535" s="89">
        <f t="shared" si="40"/>
        <v>0</v>
      </c>
      <c r="K535" s="89">
        <f t="shared" si="40"/>
        <v>620</v>
      </c>
      <c r="L535" s="89">
        <f t="shared" si="40"/>
        <v>434135.93600000005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296492.11000000004</v>
      </c>
      <c r="G539" s="87">
        <f>L516</f>
        <v>81049.37</v>
      </c>
      <c r="H539" s="87">
        <f>L521</f>
        <v>15573.776000000002</v>
      </c>
      <c r="I539" s="87">
        <f>L526</f>
        <v>0</v>
      </c>
      <c r="J539" s="87">
        <f>L531</f>
        <v>20357.439999999999</v>
      </c>
      <c r="K539" s="87">
        <f>SUM(F539:J539)</f>
        <v>413472.69600000005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16769.8</v>
      </c>
      <c r="G541" s="87">
        <f>L518</f>
        <v>0</v>
      </c>
      <c r="H541" s="87">
        <f>L523</f>
        <v>3893.4400000000005</v>
      </c>
      <c r="I541" s="87">
        <f>L528</f>
        <v>0</v>
      </c>
      <c r="J541" s="87">
        <f>L533</f>
        <v>0</v>
      </c>
      <c r="K541" s="87">
        <f>SUM(F541:J541)</f>
        <v>20663.239999999998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313261.91000000003</v>
      </c>
      <c r="G542" s="89">
        <f t="shared" si="41"/>
        <v>81049.37</v>
      </c>
      <c r="H542" s="89">
        <f t="shared" si="41"/>
        <v>19467.216</v>
      </c>
      <c r="I542" s="89">
        <f t="shared" si="41"/>
        <v>0</v>
      </c>
      <c r="J542" s="89">
        <f t="shared" si="41"/>
        <v>20357.439999999999</v>
      </c>
      <c r="K542" s="89">
        <f t="shared" si="41"/>
        <v>434135.93600000005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166852.59</v>
      </c>
      <c r="I565" s="87">
        <f>SUM(F565:H565)</f>
        <v>166852.59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202083.33</v>
      </c>
      <c r="I566" s="87">
        <f t="shared" ref="I566:I577" si="46">SUM(F566:H566)</f>
        <v>202083.33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190534.06</v>
      </c>
      <c r="G568" s="18"/>
      <c r="H568" s="18">
        <v>16309.74</v>
      </c>
      <c r="I568" s="87">
        <f t="shared" si="46"/>
        <v>206843.8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51992.82-313.97</f>
        <v>51678.85</v>
      </c>
      <c r="I581" s="18"/>
      <c r="J581" s="18">
        <v>24871.18</v>
      </c>
      <c r="K581" s="104">
        <f t="shared" ref="K581:K587" si="47">SUM(H581:J581)</f>
        <v>76550.03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20357.439999999999</v>
      </c>
      <c r="I582" s="18"/>
      <c r="J582" s="18"/>
      <c r="K582" s="104">
        <f t="shared" si="47"/>
        <v>20357.439999999999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1055.13+313.97</f>
        <v>1369.1000000000001</v>
      </c>
      <c r="I585" s="18"/>
      <c r="J585" s="18"/>
      <c r="K585" s="104">
        <f t="shared" si="47"/>
        <v>1369.1000000000001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73405.39</v>
      </c>
      <c r="I588" s="108">
        <f>SUM(I581:I587)</f>
        <v>0</v>
      </c>
      <c r="J588" s="108">
        <f>SUM(J581:J587)</f>
        <v>24871.18</v>
      </c>
      <c r="K588" s="108">
        <f>SUM(K581:K587)</f>
        <v>98276.57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5708.53+8522.01</f>
        <v>14230.54</v>
      </c>
      <c r="I594" s="18"/>
      <c r="J594" s="18"/>
      <c r="K594" s="104">
        <f>SUM(H594:J594)</f>
        <v>14230.54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14230.54</v>
      </c>
      <c r="I595" s="108">
        <f>SUM(I592:I594)</f>
        <v>0</v>
      </c>
      <c r="J595" s="108">
        <f>SUM(J592:J594)</f>
        <v>0</v>
      </c>
      <c r="K595" s="108">
        <f>SUM(K592:K594)</f>
        <v>14230.54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9150+2221.51+2764.03</f>
        <v>14135.54</v>
      </c>
      <c r="G601" s="18">
        <f>869.94+713.82+211.49+129.3</f>
        <v>1924.5500000000002</v>
      </c>
      <c r="H601" s="18"/>
      <c r="I601" s="18">
        <v>983.07</v>
      </c>
      <c r="J601" s="18"/>
      <c r="K601" s="18"/>
      <c r="L601" s="88">
        <f>SUM(F601:K601)</f>
        <v>17043.16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14135.54</v>
      </c>
      <c r="G604" s="108">
        <f t="shared" si="48"/>
        <v>1924.5500000000002</v>
      </c>
      <c r="H604" s="108">
        <f t="shared" si="48"/>
        <v>0</v>
      </c>
      <c r="I604" s="108">
        <f t="shared" si="48"/>
        <v>983.07</v>
      </c>
      <c r="J604" s="108">
        <f t="shared" si="48"/>
        <v>0</v>
      </c>
      <c r="K604" s="108">
        <f t="shared" si="48"/>
        <v>0</v>
      </c>
      <c r="L604" s="89">
        <f t="shared" si="48"/>
        <v>17043.16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286867.20000000001</v>
      </c>
      <c r="H607" s="109">
        <f>SUM(F44)</f>
        <v>286867.19999999984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12900.14</v>
      </c>
      <c r="H608" s="109">
        <f>SUM(G44)</f>
        <v>12900.140000000007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64957.38</v>
      </c>
      <c r="H609" s="109">
        <f>SUM(H44)</f>
        <v>64957.38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173763.41</v>
      </c>
      <c r="H611" s="109">
        <f>SUM(J44)</f>
        <v>173763.41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250622.85999999987</v>
      </c>
      <c r="H612" s="109">
        <f>F466</f>
        <v>250622.85999999987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12514.840000000007</v>
      </c>
      <c r="H613" s="109">
        <f>G466</f>
        <v>12514.839999999997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173713.41</v>
      </c>
      <c r="H616" s="109">
        <f>J466</f>
        <v>173713.41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1809938.5100000002</v>
      </c>
      <c r="H617" s="104">
        <f>SUM(F458)</f>
        <v>1809938.51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68738.070000000007</v>
      </c>
      <c r="H618" s="104">
        <f>SUM(G458)</f>
        <v>68738.070000000007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226092.69</v>
      </c>
      <c r="H619" s="104">
        <f>SUM(H458)</f>
        <v>226092.69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40475.1</v>
      </c>
      <c r="H621" s="104">
        <f>SUM(J458)</f>
        <v>40475.1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1740954.58</v>
      </c>
      <c r="H622" s="104">
        <f>SUM(F462)</f>
        <v>1740954.58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226092.68999999997</v>
      </c>
      <c r="H623" s="104">
        <f>SUM(H462)</f>
        <v>226092.69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32582.34</v>
      </c>
      <c r="H624" s="104">
        <f>I361</f>
        <v>32582.34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68438.33</v>
      </c>
      <c r="H625" s="104">
        <f>SUM(G462)</f>
        <v>68438.33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40475.100000000006</v>
      </c>
      <c r="H627" s="164">
        <f>SUM(J458)</f>
        <v>40475.1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100</v>
      </c>
      <c r="H628" s="164">
        <f>SUM(J462)</f>
        <v>100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51908.6</v>
      </c>
      <c r="H629" s="104">
        <f>SUM(F451)</f>
        <v>51908.6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121854.81</v>
      </c>
      <c r="H630" s="104">
        <f>SUM(G451)</f>
        <v>121854.81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173763.41</v>
      </c>
      <c r="H632" s="104">
        <f>SUM(I451)</f>
        <v>173763.41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475.1</v>
      </c>
      <c r="H634" s="104">
        <f>H400</f>
        <v>475.1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40000</v>
      </c>
      <c r="H635" s="104">
        <f>G400</f>
        <v>40000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40475.1</v>
      </c>
      <c r="H636" s="104">
        <f>L400</f>
        <v>40475.100000000006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98276.57</v>
      </c>
      <c r="H637" s="104">
        <f>L200+L218+L236</f>
        <v>98276.57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14230.54</v>
      </c>
      <c r="H638" s="104">
        <f>(J249+J330)-(J247+J328)</f>
        <v>14230.54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73405.39</v>
      </c>
      <c r="H639" s="104">
        <f>H588</f>
        <v>73405.39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24871.18</v>
      </c>
      <c r="H641" s="104">
        <f>J588</f>
        <v>24871.18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21000</v>
      </c>
      <c r="H642" s="104">
        <f>K255+K337</f>
        <v>21000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40000</v>
      </c>
      <c r="H645" s="104">
        <f>K258+K339</f>
        <v>40000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1466700.4300000002</v>
      </c>
      <c r="G650" s="19">
        <f>(L221+L301+L351)</f>
        <v>0</v>
      </c>
      <c r="H650" s="19">
        <f>(L239+L320+L352)</f>
        <v>444490.17</v>
      </c>
      <c r="I650" s="19">
        <f>SUM(F650:H650)</f>
        <v>1911190.6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13561.68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13561.68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75215.47</v>
      </c>
      <c r="G652" s="19">
        <f>(L218+L298)-(J218+J298)</f>
        <v>0</v>
      </c>
      <c r="H652" s="19">
        <f>(L236+L317)-(J236+J317)</f>
        <v>24871.18</v>
      </c>
      <c r="I652" s="19">
        <f>SUM(F652:H652)</f>
        <v>100086.65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221807.76</v>
      </c>
      <c r="G653" s="200">
        <f>SUM(G565:G577)+SUM(I592:I594)+L602</f>
        <v>0</v>
      </c>
      <c r="H653" s="200">
        <f>SUM(H565:H577)+SUM(J592:J594)+L603</f>
        <v>385245.66</v>
      </c>
      <c r="I653" s="19">
        <f>SUM(F653:H653)</f>
        <v>607053.41999999993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1156115.52</v>
      </c>
      <c r="G654" s="19">
        <f>G650-SUM(G651:G653)</f>
        <v>0</v>
      </c>
      <c r="H654" s="19">
        <f>H650-SUM(H651:H653)</f>
        <v>34373.330000000016</v>
      </c>
      <c r="I654" s="19">
        <f>I650-SUM(I651:I653)</f>
        <v>1190488.8500000001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83.47</v>
      </c>
      <c r="G655" s="249"/>
      <c r="H655" s="249"/>
      <c r="I655" s="19">
        <f>SUM(F655:H655)</f>
        <v>83.47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13850.67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14262.48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-34373.33</v>
      </c>
      <c r="I659" s="19">
        <f>SUM(F659:H659)</f>
        <v>-34373.33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13850.67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13850.67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FC06-1ED0-4ED3-B6DA-C2B228AC37BC}">
  <sheetPr>
    <tabColor indexed="20"/>
  </sheetPr>
  <dimension ref="A1:C52"/>
  <sheetViews>
    <sheetView workbookViewId="0">
      <selection activeCell="B22" sqref="B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Stewartstown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221512.9</v>
      </c>
      <c r="C9" s="230">
        <f>'DOE25'!G189+'DOE25'!G207+'DOE25'!G225+'DOE25'!G268+'DOE25'!G287+'DOE25'!G306</f>
        <v>95249.349999999991</v>
      </c>
    </row>
    <row r="10" spans="1:3" x14ac:dyDescent="0.2">
      <c r="A10" t="s">
        <v>810</v>
      </c>
      <c r="B10" s="241">
        <f>182100+1796.06</f>
        <v>183896.06</v>
      </c>
      <c r="C10" s="241">
        <f>95249.35-2990.53</f>
        <v>92258.82</v>
      </c>
    </row>
    <row r="11" spans="1:3" x14ac:dyDescent="0.2">
      <c r="A11" t="s">
        <v>811</v>
      </c>
      <c r="B11" s="241">
        <f>14803.78+19353.06+3460</f>
        <v>37616.840000000004</v>
      </c>
      <c r="C11" s="241">
        <v>2990.53</v>
      </c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221512.9</v>
      </c>
      <c r="C13" s="232">
        <f>SUM(C10:C12)</f>
        <v>95249.35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160535.07999999999</v>
      </c>
      <c r="C18" s="230">
        <f>'DOE25'!G190+'DOE25'!G208+'DOE25'!G226+'DOE25'!G269+'DOE25'!G288+'DOE25'!G307</f>
        <v>56487.44</v>
      </c>
    </row>
    <row r="19" spans="1:3" x14ac:dyDescent="0.2">
      <c r="A19" t="s">
        <v>810</v>
      </c>
      <c r="B19" s="241">
        <f>44006.25+68900+284.23</f>
        <v>113190.48</v>
      </c>
      <c r="C19" s="241">
        <f>56487.44-3763.89</f>
        <v>52723.55</v>
      </c>
    </row>
    <row r="20" spans="1:3" x14ac:dyDescent="0.2">
      <c r="A20" t="s">
        <v>811</v>
      </c>
      <c r="B20" s="241">
        <f>12836.93+34507.67</f>
        <v>47344.6</v>
      </c>
      <c r="C20" s="241">
        <v>3763.89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160535.07999999999</v>
      </c>
      <c r="C22" s="232">
        <f>SUM(C19:C21)</f>
        <v>56487.44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14135.54</v>
      </c>
      <c r="C36" s="236">
        <f>'DOE25'!G192+'DOE25'!G210+'DOE25'!G228+'DOE25'!G271+'DOE25'!G290+'DOE25'!G309</f>
        <v>1924.5500000000002</v>
      </c>
    </row>
    <row r="37" spans="1:3" x14ac:dyDescent="0.2">
      <c r="A37" t="s">
        <v>810</v>
      </c>
      <c r="B37" s="241">
        <f>9150+2764.03</f>
        <v>11914.03</v>
      </c>
      <c r="C37" s="241">
        <v>1747.94</v>
      </c>
    </row>
    <row r="38" spans="1:3" x14ac:dyDescent="0.2">
      <c r="A38" t="s">
        <v>811</v>
      </c>
      <c r="B38" s="241">
        <v>2221.5100000000002</v>
      </c>
      <c r="C38" s="241">
        <v>176.61</v>
      </c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14135.54</v>
      </c>
      <c r="C40" s="232">
        <f>SUM(C37:C39)</f>
        <v>1924.5500000000002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DFBD-5461-4EB7-B767-C74DB1C87004}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Stewartstown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1043096.79</v>
      </c>
      <c r="D5" s="20">
        <f>SUM('DOE25'!L189:L192)+SUM('DOE25'!L207:L210)+SUM('DOE25'!L225:L228)-F5-G5</f>
        <v>1040169.2200000001</v>
      </c>
      <c r="E5" s="244"/>
      <c r="F5" s="256">
        <f>SUM('DOE25'!J189:J192)+SUM('DOE25'!J207:J210)+SUM('DOE25'!J225:J228)</f>
        <v>2090.2200000000003</v>
      </c>
      <c r="G5" s="53">
        <f>SUM('DOE25'!K189:K192)+SUM('DOE25'!K207:K210)+SUM('DOE25'!K225:K228)</f>
        <v>837.35</v>
      </c>
      <c r="H5" s="260"/>
    </row>
    <row r="6" spans="1:9" x14ac:dyDescent="0.2">
      <c r="A6" s="32">
        <v>2100</v>
      </c>
      <c r="B6" t="s">
        <v>832</v>
      </c>
      <c r="C6" s="246">
        <f t="shared" si="0"/>
        <v>138064.53000000003</v>
      </c>
      <c r="D6" s="20">
        <f>'DOE25'!L194+'DOE25'!L212+'DOE25'!L230-F6-G6</f>
        <v>136267.61000000002</v>
      </c>
      <c r="E6" s="244"/>
      <c r="F6" s="256">
        <f>'DOE25'!J194+'DOE25'!J212+'DOE25'!J230</f>
        <v>855.92000000000007</v>
      </c>
      <c r="G6" s="53">
        <f>'DOE25'!K194+'DOE25'!K212+'DOE25'!K230</f>
        <v>941</v>
      </c>
      <c r="H6" s="260"/>
    </row>
    <row r="7" spans="1:9" x14ac:dyDescent="0.2">
      <c r="A7" s="32">
        <v>2200</v>
      </c>
      <c r="B7" t="s">
        <v>865</v>
      </c>
      <c r="C7" s="246">
        <f t="shared" si="0"/>
        <v>31805.31</v>
      </c>
      <c r="D7" s="20">
        <f>'DOE25'!L195+'DOE25'!L213+'DOE25'!L231-F7-G7</f>
        <v>30519.31</v>
      </c>
      <c r="E7" s="244"/>
      <c r="F7" s="256">
        <f>'DOE25'!J195+'DOE25'!J213+'DOE25'!J231</f>
        <v>0</v>
      </c>
      <c r="G7" s="53">
        <f>'DOE25'!K195+'DOE25'!K213+'DOE25'!K231</f>
        <v>1286</v>
      </c>
      <c r="H7" s="260"/>
    </row>
    <row r="8" spans="1:9" x14ac:dyDescent="0.2">
      <c r="A8" s="32">
        <v>2300</v>
      </c>
      <c r="B8" t="s">
        <v>833</v>
      </c>
      <c r="C8" s="246">
        <f t="shared" si="0"/>
        <v>58448.37000000001</v>
      </c>
      <c r="D8" s="244"/>
      <c r="E8" s="20">
        <f>'DOE25'!L196+'DOE25'!L214+'DOE25'!L232-F8-G8-D9-D11</f>
        <v>49981.070000000007</v>
      </c>
      <c r="F8" s="256">
        <f>'DOE25'!J196+'DOE25'!J214+'DOE25'!J232</f>
        <v>0</v>
      </c>
      <c r="G8" s="53">
        <f>'DOE25'!K196+'DOE25'!K214+'DOE25'!K232</f>
        <v>8467.2999999999993</v>
      </c>
      <c r="H8" s="260"/>
    </row>
    <row r="9" spans="1:9" x14ac:dyDescent="0.2">
      <c r="A9" s="32">
        <v>2310</v>
      </c>
      <c r="B9" t="s">
        <v>849</v>
      </c>
      <c r="C9" s="246">
        <f t="shared" si="0"/>
        <v>24540.21</v>
      </c>
      <c r="D9" s="245">
        <f>7648.91+16891.3</f>
        <v>24540.21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6500</v>
      </c>
      <c r="D10" s="244"/>
      <c r="E10" s="245">
        <v>6500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19467.22</v>
      </c>
      <c r="D11" s="245">
        <v>19467.22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102904.71999999999</v>
      </c>
      <c r="D12" s="20">
        <f>'DOE25'!L197+'DOE25'!L215+'DOE25'!L233-F12-G12</f>
        <v>102329.04</v>
      </c>
      <c r="E12" s="244"/>
      <c r="F12" s="256">
        <f>'DOE25'!J197+'DOE25'!J215+'DOE25'!J233</f>
        <v>91.81</v>
      </c>
      <c r="G12" s="53">
        <f>'DOE25'!K197+'DOE25'!K215+'DOE25'!K233</f>
        <v>483.87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100955.86</v>
      </c>
      <c r="D14" s="20">
        <f>'DOE25'!L199+'DOE25'!L217+'DOE25'!L235-F14-G14</f>
        <v>96752.53</v>
      </c>
      <c r="E14" s="244"/>
      <c r="F14" s="256">
        <f>'DOE25'!J199+'DOE25'!J217+'DOE25'!J235</f>
        <v>2670.58</v>
      </c>
      <c r="G14" s="53">
        <f>'DOE25'!K199+'DOE25'!K217+'DOE25'!K235</f>
        <v>1532.75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98276.57</v>
      </c>
      <c r="D15" s="20">
        <f>'DOE25'!L200+'DOE25'!L218+'DOE25'!L236-F15-G15</f>
        <v>97650.57</v>
      </c>
      <c r="E15" s="244"/>
      <c r="F15" s="256">
        <f>'DOE25'!J200+'DOE25'!J218+'DOE25'!J236</f>
        <v>0</v>
      </c>
      <c r="G15" s="53">
        <f>'DOE25'!K200+'DOE25'!K218+'DOE25'!K236</f>
        <v>626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62395</v>
      </c>
      <c r="D25" s="244"/>
      <c r="E25" s="244"/>
      <c r="F25" s="259"/>
      <c r="G25" s="257"/>
      <c r="H25" s="258">
        <f>'DOE25'!L252+'DOE25'!L253+'DOE25'!L333+'DOE25'!L334</f>
        <v>62395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38930.31</v>
      </c>
      <c r="D29" s="20">
        <f>'DOE25'!L350+'DOE25'!L351+'DOE25'!L352-'DOE25'!I359-F29-G29</f>
        <v>38342.01</v>
      </c>
      <c r="E29" s="244"/>
      <c r="F29" s="256">
        <f>'DOE25'!J350+'DOE25'!J351+'DOE25'!J352</f>
        <v>457.74</v>
      </c>
      <c r="G29" s="53">
        <f>'DOE25'!K350+'DOE25'!K351+'DOE25'!K352</f>
        <v>130.56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226092.68999999997</v>
      </c>
      <c r="D31" s="20">
        <f>'DOE25'!L282+'DOE25'!L301+'DOE25'!L320+'DOE25'!L325+'DOE25'!L326+'DOE25'!L327-F31-G31</f>
        <v>213860.67999999996</v>
      </c>
      <c r="E31" s="244"/>
      <c r="F31" s="256">
        <f>'DOE25'!J282+'DOE25'!J301+'DOE25'!J320+'DOE25'!J325+'DOE25'!J326+'DOE25'!J327</f>
        <v>8522.01</v>
      </c>
      <c r="G31" s="53">
        <f>'DOE25'!K282+'DOE25'!K301+'DOE25'!K320+'DOE25'!K325+'DOE25'!K326+'DOE25'!K327</f>
        <v>3710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1799898.4000000001</v>
      </c>
      <c r="E33" s="247">
        <f>SUM(E5:E31)</f>
        <v>56481.070000000007</v>
      </c>
      <c r="F33" s="247">
        <f>SUM(F5:F31)</f>
        <v>14688.28</v>
      </c>
      <c r="G33" s="247">
        <f>SUM(G5:G31)</f>
        <v>18014.830000000002</v>
      </c>
      <c r="H33" s="247">
        <f>SUM(H5:H31)</f>
        <v>62395</v>
      </c>
    </row>
    <row r="35" spans="2:8" ht="12" thickBot="1" x14ac:dyDescent="0.25">
      <c r="B35" s="254" t="s">
        <v>878</v>
      </c>
      <c r="D35" s="255">
        <f>E33</f>
        <v>56481.070000000007</v>
      </c>
      <c r="E35" s="250"/>
    </row>
    <row r="36" spans="2:8" ht="12" thickTop="1" x14ac:dyDescent="0.2">
      <c r="B36" t="s">
        <v>846</v>
      </c>
      <c r="D36" s="20">
        <f>D33</f>
        <v>1799898.4000000001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0624-E65B-4BEA-8760-C47448322D01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Stewartstown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224551.81</v>
      </c>
      <c r="D9" s="95">
        <f>'DOE25'!G9</f>
        <v>3157.97</v>
      </c>
      <c r="E9" s="95">
        <f>'DOE25'!H9</f>
        <v>0</v>
      </c>
      <c r="F9" s="95">
        <f>'DOE25'!I9</f>
        <v>0</v>
      </c>
      <c r="G9" s="95">
        <f>'DOE25'!J9</f>
        <v>173763.41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59023.839999999997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1801.18</v>
      </c>
      <c r="D13" s="95">
        <f>'DOE25'!G13</f>
        <v>6540.62</v>
      </c>
      <c r="E13" s="95">
        <f>'DOE25'!H13</f>
        <v>64957.38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1490.37</v>
      </c>
      <c r="D14" s="95">
        <f>'DOE25'!G14</f>
        <v>3.25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3198.3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286867.20000000001</v>
      </c>
      <c r="D19" s="41">
        <f>SUM(D9:D18)</f>
        <v>12900.14</v>
      </c>
      <c r="E19" s="41">
        <f>SUM(E9:E18)</f>
        <v>64957.38</v>
      </c>
      <c r="F19" s="41">
        <f>SUM(F9:F18)</f>
        <v>0</v>
      </c>
      <c r="G19" s="41">
        <f>SUM(G9:G18)</f>
        <v>173763.41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59023.839999999997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20881.04</v>
      </c>
      <c r="D24" s="95">
        <f>'DOE25'!G25</f>
        <v>385.3</v>
      </c>
      <c r="E24" s="95">
        <f>'DOE25'!H25</f>
        <v>0</v>
      </c>
      <c r="F24" s="95">
        <f>'DOE25'!I25</f>
        <v>0</v>
      </c>
      <c r="G24" s="95">
        <f>'DOE25'!J25</f>
        <v>50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11461.31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3901.9900000000002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5933.54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36244.339999999997</v>
      </c>
      <c r="D32" s="41">
        <f>SUM(D22:D31)</f>
        <v>385.3</v>
      </c>
      <c r="E32" s="41">
        <f>SUM(E22:E31)</f>
        <v>64957.38</v>
      </c>
      <c r="F32" s="41">
        <f>SUM(F22:F31)</f>
        <v>0</v>
      </c>
      <c r="G32" s="41">
        <f>SUM(G22:G31)</f>
        <v>50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3198.3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3650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9316.5400000000081</v>
      </c>
      <c r="E40" s="95">
        <f>'DOE25'!H41</f>
        <v>0</v>
      </c>
      <c r="F40" s="95">
        <f>'DOE25'!I41</f>
        <v>0</v>
      </c>
      <c r="G40" s="95">
        <f>'DOE25'!J41</f>
        <v>173713.41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246972.85999999987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250622.85999999987</v>
      </c>
      <c r="D42" s="41">
        <f>SUM(D34:D41)</f>
        <v>12514.840000000007</v>
      </c>
      <c r="E42" s="41">
        <f>SUM(E34:E41)</f>
        <v>0</v>
      </c>
      <c r="F42" s="41">
        <f>SUM(F34:F41)</f>
        <v>0</v>
      </c>
      <c r="G42" s="41">
        <f>SUM(G34:G41)</f>
        <v>173713.41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286867.19999999984</v>
      </c>
      <c r="D43" s="41">
        <f>D42+D32</f>
        <v>12900.140000000007</v>
      </c>
      <c r="E43" s="41">
        <f>E42+E32</f>
        <v>64957.38</v>
      </c>
      <c r="F43" s="41">
        <f>F42+F32</f>
        <v>0</v>
      </c>
      <c r="G43" s="41">
        <f>G42+G32</f>
        <v>173763.41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978360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353.17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475.1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13561.68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1587.25</v>
      </c>
      <c r="D53" s="95">
        <f>SUM('DOE25'!G90:G102)</f>
        <v>0</v>
      </c>
      <c r="E53" s="95">
        <f>SUM('DOE25'!H90:H102)</f>
        <v>11254.85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1940.42</v>
      </c>
      <c r="D54" s="130">
        <f>SUM(D49:D53)</f>
        <v>13561.68</v>
      </c>
      <c r="E54" s="130">
        <f>SUM(E49:E53)</f>
        <v>11254.85</v>
      </c>
      <c r="F54" s="130">
        <f>SUM(F49:F53)</f>
        <v>0</v>
      </c>
      <c r="G54" s="130">
        <f>SUM(G49:G53)</f>
        <v>475.1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980300.42</v>
      </c>
      <c r="D55" s="22">
        <f>D48+D54</f>
        <v>13561.68</v>
      </c>
      <c r="E55" s="22">
        <f>E48+E54</f>
        <v>11254.85</v>
      </c>
      <c r="F55" s="22">
        <f>F48+F54</f>
        <v>0</v>
      </c>
      <c r="G55" s="22">
        <f>G48+G54</f>
        <v>475.1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530866.62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213159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19254.38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763280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14714.55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44526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729.53</v>
      </c>
      <c r="E69" s="95">
        <f>SUM('DOE25'!H123:H127)</f>
        <v>3973.97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59240.55</v>
      </c>
      <c r="D70" s="130">
        <f>SUM(D64:D69)</f>
        <v>729.53</v>
      </c>
      <c r="E70" s="130">
        <f>SUM(E64:E69)</f>
        <v>3973.97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822520.55</v>
      </c>
      <c r="D73" s="130">
        <f>SUM(D71:D72)+D70+D62</f>
        <v>729.53</v>
      </c>
      <c r="E73" s="130">
        <f>SUM(E71:E72)+E70+E62</f>
        <v>3973.97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7117.54</v>
      </c>
      <c r="D80" s="95">
        <f>SUM('DOE25'!G145:G153)</f>
        <v>33446.86</v>
      </c>
      <c r="E80" s="95">
        <f>SUM('DOE25'!H145:H153)</f>
        <v>210863.87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7117.54</v>
      </c>
      <c r="D83" s="131">
        <f>SUM(D77:D82)</f>
        <v>33446.86</v>
      </c>
      <c r="E83" s="131">
        <f>SUM(E77:E82)</f>
        <v>210863.87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21000</v>
      </c>
      <c r="E88" s="95">
        <f>'DOE25'!H171</f>
        <v>0</v>
      </c>
      <c r="F88" s="95">
        <f>'DOE25'!I171</f>
        <v>0</v>
      </c>
      <c r="G88" s="95">
        <f>'DOE25'!J171</f>
        <v>40000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21000</v>
      </c>
      <c r="E95" s="86">
        <f>SUM(E85:E94)</f>
        <v>0</v>
      </c>
      <c r="F95" s="86">
        <f>SUM(F85:F94)</f>
        <v>0</v>
      </c>
      <c r="G95" s="86">
        <f>SUM(G85:G94)</f>
        <v>40000</v>
      </c>
    </row>
    <row r="96" spans="1:7" ht="12.75" thickTop="1" thickBot="1" x14ac:dyDescent="0.25">
      <c r="A96" s="33" t="s">
        <v>796</v>
      </c>
      <c r="C96" s="86">
        <f>C55+C73+C83+C95</f>
        <v>1809938.5100000002</v>
      </c>
      <c r="D96" s="86">
        <f>D55+D73+D83+D95</f>
        <v>68738.070000000007</v>
      </c>
      <c r="E96" s="86">
        <f>E55+E73+E83+E95</f>
        <v>226092.69</v>
      </c>
      <c r="F96" s="86">
        <f>F55+F73+F83+F95</f>
        <v>0</v>
      </c>
      <c r="G96" s="86">
        <f>G55+G73+G95</f>
        <v>40475.1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729834.87999999989</v>
      </c>
      <c r="D101" s="24" t="s">
        <v>312</v>
      </c>
      <c r="E101" s="95">
        <f>('DOE25'!L268)+('DOE25'!L287)+('DOE25'!L306)</f>
        <v>17887.71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313261.91000000003</v>
      </c>
      <c r="D102" s="24" t="s">
        <v>312</v>
      </c>
      <c r="E102" s="95">
        <f>('DOE25'!L269)+('DOE25'!L288)+('DOE25'!L307)</f>
        <v>122824.84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17043.16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900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1043096.7899999999</v>
      </c>
      <c r="D107" s="86">
        <f>SUM(D101:D106)</f>
        <v>0</v>
      </c>
      <c r="E107" s="86">
        <f>SUM(E101:E106)</f>
        <v>158655.71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138064.53000000003</v>
      </c>
      <c r="D110" s="24" t="s">
        <v>312</v>
      </c>
      <c r="E110" s="95">
        <f>+('DOE25'!L273)+('DOE25'!L292)+('DOE25'!L311)</f>
        <v>9848.2099999999991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31805.31</v>
      </c>
      <c r="D111" s="24" t="s">
        <v>312</v>
      </c>
      <c r="E111" s="95">
        <f>+('DOE25'!L274)+('DOE25'!L293)+('DOE25'!L312)</f>
        <v>40430.549999999996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102455.8</v>
      </c>
      <c r="D112" s="24" t="s">
        <v>312</v>
      </c>
      <c r="E112" s="95">
        <f>+('DOE25'!L275)+('DOE25'!L294)+('DOE25'!L313)</f>
        <v>11259.14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102904.71999999999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2500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100955.86</v>
      </c>
      <c r="D115" s="24" t="s">
        <v>312</v>
      </c>
      <c r="E115" s="95">
        <f>+('DOE25'!L278)+('DOE25'!L297)+('DOE25'!L316)</f>
        <v>1589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98276.57</v>
      </c>
      <c r="D116" s="24" t="s">
        <v>312</v>
      </c>
      <c r="E116" s="95">
        <f>+('DOE25'!L279)+('DOE25'!L298)+('DOE25'!L317)</f>
        <v>1810.08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68438.33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574462.79</v>
      </c>
      <c r="D120" s="86">
        <f>SUM(D110:D119)</f>
        <v>68438.33</v>
      </c>
      <c r="E120" s="86">
        <f>SUM(E110:E119)</f>
        <v>67436.98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17395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100</v>
      </c>
    </row>
    <row r="127" spans="1:7" x14ac:dyDescent="0.2">
      <c r="A127" t="s">
        <v>256</v>
      </c>
      <c r="B127" s="32" t="s">
        <v>257</v>
      </c>
      <c r="C127" s="95">
        <f>'DOE25'!L255</f>
        <v>21000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10123.549999999999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30351.550000000003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-475.10000000000582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123395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100</v>
      </c>
    </row>
    <row r="137" spans="1:9" ht="12.75" thickTop="1" thickBot="1" x14ac:dyDescent="0.25">
      <c r="A137" s="33" t="s">
        <v>267</v>
      </c>
      <c r="C137" s="86">
        <f>(C107+C120+C136)</f>
        <v>1740954.58</v>
      </c>
      <c r="D137" s="86">
        <f>(D107+D120+D136)</f>
        <v>68438.33</v>
      </c>
      <c r="E137" s="86">
        <f>(E107+E120+E136)</f>
        <v>226092.69</v>
      </c>
      <c r="F137" s="86">
        <f>(F107+F120+F136)</f>
        <v>0</v>
      </c>
      <c r="G137" s="86">
        <f>(G107+G120+G136)</f>
        <v>100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08/1997</v>
      </c>
      <c r="C144" s="152" t="str">
        <f>'DOE25'!G481</f>
        <v>08-1997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08/2017</v>
      </c>
      <c r="C145" s="152" t="str">
        <f>'DOE25'!G482</f>
        <v>08-2017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249438</v>
      </c>
      <c r="C146" s="137">
        <f>'DOE25'!G483</f>
        <v>748312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5.01</v>
      </c>
      <c r="C147" s="137">
        <f>'DOE25'!G484</f>
        <v>4.9800000000000004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80000</v>
      </c>
      <c r="C148" s="137">
        <f>'DOE25'!G485</f>
        <v>280000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360000</v>
      </c>
    </row>
    <row r="149" spans="1:7" x14ac:dyDescent="0.2">
      <c r="A149" s="22" t="s">
        <v>33</v>
      </c>
      <c r="B149" s="137" t="str">
        <f>'DOE25'!F486</f>
        <v xml:space="preserve"> </v>
      </c>
      <c r="C149" s="137" t="str">
        <f>'DOE25'!G486</f>
        <v xml:space="preserve"> 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10000</v>
      </c>
      <c r="C150" s="137">
        <f>'DOE25'!G487</f>
        <v>35000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45000</v>
      </c>
    </row>
    <row r="151" spans="1:7" x14ac:dyDescent="0.2">
      <c r="A151" s="22" t="s">
        <v>35</v>
      </c>
      <c r="B151" s="137">
        <f>'DOE25'!F488</f>
        <v>70000</v>
      </c>
      <c r="C151" s="137">
        <f>'DOE25'!G488</f>
        <v>245000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315000</v>
      </c>
    </row>
    <row r="152" spans="1:7" x14ac:dyDescent="0.2">
      <c r="A152" s="22" t="s">
        <v>36</v>
      </c>
      <c r="B152" s="137">
        <f>'DOE25'!F489</f>
        <v>12870</v>
      </c>
      <c r="C152" s="137">
        <f>'DOE25'!G489</f>
        <v>44422.75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57292.75</v>
      </c>
    </row>
    <row r="153" spans="1:7" x14ac:dyDescent="0.2">
      <c r="A153" s="22" t="s">
        <v>37</v>
      </c>
      <c r="B153" s="137">
        <f>'DOE25'!F490</f>
        <v>82870</v>
      </c>
      <c r="C153" s="137">
        <f>'DOE25'!G490</f>
        <v>289422.75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372292.75</v>
      </c>
    </row>
    <row r="154" spans="1:7" x14ac:dyDescent="0.2">
      <c r="A154" s="22" t="s">
        <v>38</v>
      </c>
      <c r="B154" s="137">
        <f>'DOE25'!F491</f>
        <v>10000</v>
      </c>
      <c r="C154" s="137">
        <f>'DOE25'!G491</f>
        <v>35000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45000</v>
      </c>
    </row>
    <row r="155" spans="1:7" x14ac:dyDescent="0.2">
      <c r="A155" s="22" t="s">
        <v>39</v>
      </c>
      <c r="B155" s="137">
        <f>'DOE25'!F492</f>
        <v>3395</v>
      </c>
      <c r="C155" s="137">
        <f>'DOE25'!G492</f>
        <v>11733.75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15128.75</v>
      </c>
    </row>
    <row r="156" spans="1:7" x14ac:dyDescent="0.2">
      <c r="A156" s="22" t="s">
        <v>269</v>
      </c>
      <c r="B156" s="137">
        <f>'DOE25'!F493</f>
        <v>13395</v>
      </c>
      <c r="C156" s="137">
        <f>'DOE25'!G493</f>
        <v>46733.75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60128.75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38E9-7899-4251-83DC-689F2E6EE3DD}">
  <sheetPr codeName="Sheet3">
    <tabColor indexed="43"/>
  </sheetPr>
  <dimension ref="A1:D42"/>
  <sheetViews>
    <sheetView topLeftCell="A5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Stewartstown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13851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13851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747723</v>
      </c>
      <c r="D10" s="182">
        <f>ROUND((C10/$C$28)*100,1)</f>
        <v>39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436087</v>
      </c>
      <c r="D11" s="182">
        <f>ROUND((C11/$C$28)*100,1)</f>
        <v>22.8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17043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147913</v>
      </c>
      <c r="D15" s="182">
        <f t="shared" ref="D15:D27" si="0">ROUND((C15/$C$28)*100,1)</f>
        <v>7.7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72236</v>
      </c>
      <c r="D16" s="182">
        <f t="shared" si="0"/>
        <v>3.8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113715</v>
      </c>
      <c r="D17" s="182">
        <f t="shared" si="0"/>
        <v>5.9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102905</v>
      </c>
      <c r="D18" s="182">
        <f t="shared" si="0"/>
        <v>5.4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2500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102545</v>
      </c>
      <c r="D20" s="182">
        <f t="shared" si="0"/>
        <v>5.4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100087</v>
      </c>
      <c r="D21" s="182">
        <f t="shared" si="0"/>
        <v>5.2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900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17395</v>
      </c>
      <c r="D25" s="182">
        <f t="shared" si="0"/>
        <v>0.9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54876.32</v>
      </c>
      <c r="D27" s="182">
        <f t="shared" si="0"/>
        <v>2.9</v>
      </c>
    </row>
    <row r="28" spans="1:4" x14ac:dyDescent="0.2">
      <c r="B28" s="187" t="s">
        <v>754</v>
      </c>
      <c r="C28" s="180">
        <f>SUM(C10:C27)</f>
        <v>1915925.32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1915925.32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978360</v>
      </c>
      <c r="D35" s="182">
        <f t="shared" ref="D35:D40" si="1">ROUND((C35/$C$41)*100,1)</f>
        <v>47.2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13670.369999999995</v>
      </c>
      <c r="D36" s="182">
        <f t="shared" si="1"/>
        <v>0.7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763280</v>
      </c>
      <c r="D37" s="182">
        <f t="shared" si="1"/>
        <v>36.9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63944</v>
      </c>
      <c r="D38" s="182">
        <f t="shared" si="1"/>
        <v>3.1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251428</v>
      </c>
      <c r="D39" s="182">
        <f t="shared" si="1"/>
        <v>12.1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2070682.37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157D-9AB8-4A92-B9C1-9672BBF1DABA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Stewartstown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2011-09-01T13:55:20Z</cp:lastPrinted>
  <dcterms:created xsi:type="dcterms:W3CDTF">1997-12-04T19:04:30Z</dcterms:created>
  <dcterms:modified xsi:type="dcterms:W3CDTF">2025-01-10T20:32:42Z</dcterms:modified>
</cp:coreProperties>
</file>