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5ABB9A6-0E1C-4584-B1AC-A6AA49B587E3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EAE0821E-B4CB-46A7-ADEB-F67DDF75E24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'DOE25'!$A$1:$L$690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2" i="1" l="1"/>
  <c r="H196" i="1"/>
  <c r="C38" i="12"/>
  <c r="B38" i="12"/>
  <c r="B40" i="12"/>
  <c r="C19" i="12"/>
  <c r="C21" i="12"/>
  <c r="B19" i="12"/>
  <c r="B21" i="12"/>
  <c r="B22" i="12" s="1"/>
  <c r="C12" i="12"/>
  <c r="C10" i="12"/>
  <c r="B12" i="12"/>
  <c r="B10" i="12"/>
  <c r="B13" i="12"/>
  <c r="H594" i="1"/>
  <c r="F437" i="1"/>
  <c r="H225" i="1"/>
  <c r="L225" i="1"/>
  <c r="H189" i="1"/>
  <c r="G601" i="1"/>
  <c r="F601" i="1"/>
  <c r="L601" i="1" s="1"/>
  <c r="H511" i="1"/>
  <c r="L511" i="1" s="1"/>
  <c r="J511" i="1"/>
  <c r="I511" i="1"/>
  <c r="G511" i="1"/>
  <c r="F511" i="1"/>
  <c r="I350" i="1"/>
  <c r="G350" i="1"/>
  <c r="F350" i="1"/>
  <c r="H200" i="1"/>
  <c r="H199" i="1"/>
  <c r="J199" i="1"/>
  <c r="L199" i="1" s="1"/>
  <c r="F14" i="13"/>
  <c r="I199" i="1"/>
  <c r="G199" i="1"/>
  <c r="F199" i="1"/>
  <c r="K197" i="1"/>
  <c r="I197" i="1"/>
  <c r="H197" i="1"/>
  <c r="G197" i="1"/>
  <c r="F197" i="1"/>
  <c r="L197" i="1" s="1"/>
  <c r="L196" i="1"/>
  <c r="C17" i="10" s="1"/>
  <c r="I195" i="1"/>
  <c r="H195" i="1"/>
  <c r="G195" i="1"/>
  <c r="F195" i="1"/>
  <c r="L195" i="1" s="1"/>
  <c r="K194" i="1"/>
  <c r="I194" i="1"/>
  <c r="H194" i="1"/>
  <c r="G194" i="1"/>
  <c r="F194" i="1"/>
  <c r="I192" i="1"/>
  <c r="H192" i="1"/>
  <c r="L192" i="1" s="1"/>
  <c r="J190" i="1"/>
  <c r="J203" i="1" s="1"/>
  <c r="J249" i="1" s="1"/>
  <c r="I190" i="1"/>
  <c r="I203" i="1" s="1"/>
  <c r="I249" i="1" s="1"/>
  <c r="I263" i="1" s="1"/>
  <c r="H190" i="1"/>
  <c r="G190" i="1"/>
  <c r="L190" i="1" s="1"/>
  <c r="F190" i="1"/>
  <c r="J189" i="1"/>
  <c r="I189" i="1"/>
  <c r="G189" i="1"/>
  <c r="F189" i="1"/>
  <c r="F30" i="1"/>
  <c r="C9" i="2"/>
  <c r="C19" i="2" s="1"/>
  <c r="C37" i="10"/>
  <c r="C60" i="2"/>
  <c r="C58" i="2"/>
  <c r="C62" i="2" s="1"/>
  <c r="C59" i="2"/>
  <c r="C61" i="2"/>
  <c r="B2" i="13"/>
  <c r="F8" i="13"/>
  <c r="G8" i="13"/>
  <c r="L214" i="1"/>
  <c r="L232" i="1"/>
  <c r="D39" i="13"/>
  <c r="F13" i="13"/>
  <c r="G13" i="13"/>
  <c r="L198" i="1"/>
  <c r="E13" i="13" s="1"/>
  <c r="C13" i="13" s="1"/>
  <c r="L216" i="1"/>
  <c r="C19" i="10" s="1"/>
  <c r="L234" i="1"/>
  <c r="F16" i="13"/>
  <c r="G16" i="13"/>
  <c r="L201" i="1"/>
  <c r="E16" i="13" s="1"/>
  <c r="C16" i="13" s="1"/>
  <c r="L219" i="1"/>
  <c r="C117" i="2" s="1"/>
  <c r="L237" i="1"/>
  <c r="G5" i="13"/>
  <c r="L191" i="1"/>
  <c r="L207" i="1"/>
  <c r="L208" i="1"/>
  <c r="L209" i="1"/>
  <c r="L210" i="1"/>
  <c r="L226" i="1"/>
  <c r="L227" i="1"/>
  <c r="C12" i="10" s="1"/>
  <c r="L228" i="1"/>
  <c r="F6" i="13"/>
  <c r="G6" i="13"/>
  <c r="L194" i="1"/>
  <c r="C110" i="2" s="1"/>
  <c r="L212" i="1"/>
  <c r="L230" i="1"/>
  <c r="F7" i="13"/>
  <c r="G7" i="13"/>
  <c r="L213" i="1"/>
  <c r="L231" i="1"/>
  <c r="F12" i="13"/>
  <c r="G12" i="13"/>
  <c r="L215" i="1"/>
  <c r="L221" i="1" s="1"/>
  <c r="G650" i="1" s="1"/>
  <c r="L233" i="1"/>
  <c r="G14" i="13"/>
  <c r="L217" i="1"/>
  <c r="L235" i="1"/>
  <c r="F15" i="13"/>
  <c r="G15" i="13"/>
  <c r="L200" i="1"/>
  <c r="C116" i="2" s="1"/>
  <c r="L218" i="1"/>
  <c r="L236" i="1"/>
  <c r="G641" i="1" s="1"/>
  <c r="J641" i="1" s="1"/>
  <c r="F17" i="13"/>
  <c r="D17" i="13" s="1"/>
  <c r="C17" i="13" s="1"/>
  <c r="G17" i="13"/>
  <c r="L243" i="1"/>
  <c r="F18" i="13"/>
  <c r="D18" i="13" s="1"/>
  <c r="C18" i="13" s="1"/>
  <c r="G18" i="13"/>
  <c r="L244" i="1"/>
  <c r="F19" i="13"/>
  <c r="G19" i="13"/>
  <c r="L245" i="1"/>
  <c r="D19" i="13"/>
  <c r="C19" i="13"/>
  <c r="C106" i="2"/>
  <c r="F29" i="13"/>
  <c r="G29" i="13"/>
  <c r="D29" i="13" s="1"/>
  <c r="C29" i="13" s="1"/>
  <c r="L350" i="1"/>
  <c r="L351" i="1"/>
  <c r="L352" i="1"/>
  <c r="I359" i="1"/>
  <c r="J282" i="1"/>
  <c r="J301" i="1"/>
  <c r="J320" i="1"/>
  <c r="K282" i="1"/>
  <c r="G31" i="13" s="1"/>
  <c r="K301" i="1"/>
  <c r="K330" i="1"/>
  <c r="K344" i="1" s="1"/>
  <c r="K320" i="1"/>
  <c r="L268" i="1"/>
  <c r="L282" i="1" s="1"/>
  <c r="L269" i="1"/>
  <c r="L270" i="1"/>
  <c r="L271" i="1"/>
  <c r="L273" i="1"/>
  <c r="L274" i="1"/>
  <c r="L275" i="1"/>
  <c r="E112" i="2" s="1"/>
  <c r="L276" i="1"/>
  <c r="E113" i="2" s="1"/>
  <c r="L277" i="1"/>
  <c r="E114" i="2" s="1"/>
  <c r="L278" i="1"/>
  <c r="E115" i="2" s="1"/>
  <c r="L279" i="1"/>
  <c r="E116" i="2" s="1"/>
  <c r="L280" i="1"/>
  <c r="L287" i="1"/>
  <c r="L288" i="1"/>
  <c r="L289" i="1"/>
  <c r="L290" i="1"/>
  <c r="L292" i="1"/>
  <c r="L293" i="1"/>
  <c r="L294" i="1"/>
  <c r="L301" i="1" s="1"/>
  <c r="L295" i="1"/>
  <c r="L296" i="1"/>
  <c r="L297" i="1"/>
  <c r="L298" i="1"/>
  <c r="L299" i="1"/>
  <c r="L306" i="1"/>
  <c r="L307" i="1"/>
  <c r="L308" i="1"/>
  <c r="L309" i="1"/>
  <c r="L311" i="1"/>
  <c r="E110" i="2" s="1"/>
  <c r="E120" i="2" s="1"/>
  <c r="L312" i="1"/>
  <c r="E111" i="2" s="1"/>
  <c r="L313" i="1"/>
  <c r="L314" i="1"/>
  <c r="L315" i="1"/>
  <c r="L316" i="1"/>
  <c r="L317" i="1"/>
  <c r="L318" i="1"/>
  <c r="L325" i="1"/>
  <c r="L326" i="1"/>
  <c r="L327" i="1"/>
  <c r="L252" i="1"/>
  <c r="C32" i="10" s="1"/>
  <c r="C123" i="2"/>
  <c r="L253" i="1"/>
  <c r="C124" i="2" s="1"/>
  <c r="L333" i="1"/>
  <c r="L343" i="1" s="1"/>
  <c r="E123" i="2"/>
  <c r="L334" i="1"/>
  <c r="E124" i="2"/>
  <c r="L247" i="1"/>
  <c r="L328" i="1"/>
  <c r="C11" i="13"/>
  <c r="C10" i="13"/>
  <c r="C9" i="13"/>
  <c r="L353" i="1"/>
  <c r="B4" i="12"/>
  <c r="B36" i="12"/>
  <c r="A40" i="12" s="1"/>
  <c r="C36" i="12"/>
  <c r="C40" i="12"/>
  <c r="B27" i="12"/>
  <c r="C27" i="12"/>
  <c r="B31" i="12"/>
  <c r="A31" i="12" s="1"/>
  <c r="C31" i="12"/>
  <c r="B9" i="12"/>
  <c r="C9" i="12"/>
  <c r="C13" i="12"/>
  <c r="A13" i="12" s="1"/>
  <c r="B18" i="12"/>
  <c r="C22" i="12"/>
  <c r="B1" i="12"/>
  <c r="L379" i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1" i="2"/>
  <c r="G54" i="2" s="1"/>
  <c r="G53" i="2"/>
  <c r="F2" i="11"/>
  <c r="L603" i="1"/>
  <c r="H653" i="1" s="1"/>
  <c r="L602" i="1"/>
  <c r="G653" i="1"/>
  <c r="C40" i="10"/>
  <c r="F52" i="1"/>
  <c r="C48" i="2" s="1"/>
  <c r="G52" i="1"/>
  <c r="D48" i="2"/>
  <c r="H52" i="1"/>
  <c r="I52" i="1"/>
  <c r="F71" i="1"/>
  <c r="F86" i="1"/>
  <c r="C50" i="2"/>
  <c r="C54" i="2" s="1"/>
  <c r="F103" i="1"/>
  <c r="G103" i="1"/>
  <c r="G104" i="1" s="1"/>
  <c r="H71" i="1"/>
  <c r="E49" i="2"/>
  <c r="H86" i="1"/>
  <c r="E50" i="2" s="1"/>
  <c r="H103" i="1"/>
  <c r="I103" i="1"/>
  <c r="I104" i="1" s="1"/>
  <c r="J103" i="1"/>
  <c r="F113" i="1"/>
  <c r="F128" i="1"/>
  <c r="F132" i="1" s="1"/>
  <c r="G113" i="1"/>
  <c r="G132" i="1" s="1"/>
  <c r="G128" i="1"/>
  <c r="H113" i="1"/>
  <c r="H128" i="1"/>
  <c r="I113" i="1"/>
  <c r="I132" i="1" s="1"/>
  <c r="I128" i="1"/>
  <c r="J113" i="1"/>
  <c r="J128" i="1"/>
  <c r="J132" i="1" s="1"/>
  <c r="F139" i="1"/>
  <c r="C77" i="2" s="1"/>
  <c r="C83" i="2" s="1"/>
  <c r="F154" i="1"/>
  <c r="F161" i="1" s="1"/>
  <c r="G139" i="1"/>
  <c r="G161" i="1" s="1"/>
  <c r="G154" i="1"/>
  <c r="H139" i="1"/>
  <c r="H154" i="1"/>
  <c r="I139" i="1"/>
  <c r="I154" i="1"/>
  <c r="L242" i="1"/>
  <c r="L324" i="1"/>
  <c r="E105" i="2"/>
  <c r="L246" i="1"/>
  <c r="C24" i="10"/>
  <c r="L260" i="1"/>
  <c r="C26" i="10" s="1"/>
  <c r="C134" i="2"/>
  <c r="L261" i="1"/>
  <c r="L341" i="1"/>
  <c r="L342" i="1"/>
  <c r="I655" i="1"/>
  <c r="I660" i="1"/>
  <c r="I659" i="1"/>
  <c r="C6" i="10"/>
  <c r="C5" i="10"/>
  <c r="C42" i="10"/>
  <c r="L366" i="1"/>
  <c r="C29" i="10" s="1"/>
  <c r="L367" i="1"/>
  <c r="L368" i="1"/>
  <c r="L369" i="1"/>
  <c r="L370" i="1"/>
  <c r="F122" i="2" s="1"/>
  <c r="F136" i="2" s="1"/>
  <c r="F137" i="2" s="1"/>
  <c r="L371" i="1"/>
  <c r="L374" i="1" s="1"/>
  <c r="G626" i="1" s="1"/>
  <c r="J626" i="1" s="1"/>
  <c r="L372" i="1"/>
  <c r="B2" i="10"/>
  <c r="L336" i="1"/>
  <c r="E126" i="2" s="1"/>
  <c r="L337" i="1"/>
  <c r="E127" i="2" s="1"/>
  <c r="L338" i="1"/>
  <c r="E129" i="2" s="1"/>
  <c r="L339" i="1"/>
  <c r="K343" i="1"/>
  <c r="L512" i="1"/>
  <c r="F540" i="1" s="1"/>
  <c r="L513" i="1"/>
  <c r="F541" i="1" s="1"/>
  <c r="K541" i="1" s="1"/>
  <c r="L516" i="1"/>
  <c r="G539" i="1" s="1"/>
  <c r="G542" i="1" s="1"/>
  <c r="L517" i="1"/>
  <c r="G540" i="1"/>
  <c r="L518" i="1"/>
  <c r="G541" i="1" s="1"/>
  <c r="L521" i="1"/>
  <c r="L522" i="1"/>
  <c r="L524" i="1" s="1"/>
  <c r="H540" i="1"/>
  <c r="L523" i="1"/>
  <c r="H541" i="1" s="1"/>
  <c r="L526" i="1"/>
  <c r="L529" i="1" s="1"/>
  <c r="L527" i="1"/>
  <c r="I540" i="1" s="1"/>
  <c r="L528" i="1"/>
  <c r="I541" i="1" s="1"/>
  <c r="L531" i="1"/>
  <c r="L532" i="1"/>
  <c r="J540" i="1"/>
  <c r="L533" i="1"/>
  <c r="L534" i="1" s="1"/>
  <c r="J541" i="1"/>
  <c r="J542" i="1" s="1"/>
  <c r="K262" i="1"/>
  <c r="J262" i="1"/>
  <c r="I262" i="1"/>
  <c r="L262" i="1" s="1"/>
  <c r="H262" i="1"/>
  <c r="G262" i="1"/>
  <c r="F262" i="1"/>
  <c r="A1" i="2"/>
  <c r="A2" i="2"/>
  <c r="D9" i="2"/>
  <c r="D19" i="2" s="1"/>
  <c r="D10" i="2"/>
  <c r="D12" i="2"/>
  <c r="D13" i="2"/>
  <c r="D14" i="2"/>
  <c r="D16" i="2"/>
  <c r="D17" i="2"/>
  <c r="D18" i="2"/>
  <c r="E9" i="2"/>
  <c r="F9" i="2"/>
  <c r="I431" i="1"/>
  <c r="J9" i="1"/>
  <c r="G9" i="2" s="1"/>
  <c r="C10" i="2"/>
  <c r="E10" i="2"/>
  <c r="F10" i="2"/>
  <c r="F19" i="2" s="1"/>
  <c r="I432" i="1"/>
  <c r="I438" i="1" s="1"/>
  <c r="G632" i="1" s="1"/>
  <c r="J10" i="1"/>
  <c r="G10" i="2" s="1"/>
  <c r="C11" i="2"/>
  <c r="C12" i="2"/>
  <c r="E12" i="2"/>
  <c r="F12" i="2"/>
  <c r="I433" i="1"/>
  <c r="J12" i="1" s="1"/>
  <c r="G12" i="2" s="1"/>
  <c r="C13" i="2"/>
  <c r="E13" i="2"/>
  <c r="E19" i="2" s="1"/>
  <c r="F13" i="2"/>
  <c r="I434" i="1"/>
  <c r="J13" i="1" s="1"/>
  <c r="G13" i="2" s="1"/>
  <c r="C14" i="2"/>
  <c r="E14" i="2"/>
  <c r="F14" i="2"/>
  <c r="I435" i="1"/>
  <c r="J14" i="1" s="1"/>
  <c r="G14" i="2" s="1"/>
  <c r="F15" i="2"/>
  <c r="C16" i="2"/>
  <c r="E16" i="2"/>
  <c r="F16" i="2"/>
  <c r="C17" i="2"/>
  <c r="E17" i="2"/>
  <c r="F17" i="2"/>
  <c r="I436" i="1"/>
  <c r="J17" i="1" s="1"/>
  <c r="G17" i="2" s="1"/>
  <c r="C18" i="2"/>
  <c r="E18" i="2"/>
  <c r="F18" i="2"/>
  <c r="I437" i="1"/>
  <c r="J18" i="1" s="1"/>
  <c r="G18" i="2" s="1"/>
  <c r="C22" i="2"/>
  <c r="D22" i="2"/>
  <c r="E22" i="2"/>
  <c r="F22" i="2"/>
  <c r="I440" i="1"/>
  <c r="J23" i="1"/>
  <c r="G22" i="2" s="1"/>
  <c r="C23" i="2"/>
  <c r="D23" i="2"/>
  <c r="D32" i="2" s="1"/>
  <c r="E23" i="2"/>
  <c r="E32" i="2" s="1"/>
  <c r="F23" i="2"/>
  <c r="I441" i="1"/>
  <c r="J24" i="1" s="1"/>
  <c r="C24" i="2"/>
  <c r="D24" i="2"/>
  <c r="E24" i="2"/>
  <c r="F24" i="2"/>
  <c r="I442" i="1"/>
  <c r="J25" i="1"/>
  <c r="G24" i="2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E35" i="2"/>
  <c r="F35" i="2"/>
  <c r="F42" i="2" s="1"/>
  <c r="F43" i="2" s="1"/>
  <c r="C36" i="2"/>
  <c r="C42" i="2" s="1"/>
  <c r="D36" i="2"/>
  <c r="E36" i="2"/>
  <c r="F36" i="2"/>
  <c r="I446" i="1"/>
  <c r="J37" i="1"/>
  <c r="G36" i="2"/>
  <c r="C37" i="2"/>
  <c r="D37" i="2"/>
  <c r="E37" i="2"/>
  <c r="F37" i="2"/>
  <c r="I447" i="1"/>
  <c r="I450" i="1" s="1"/>
  <c r="J38" i="1"/>
  <c r="G37" i="2" s="1"/>
  <c r="G42" i="2" s="1"/>
  <c r="C38" i="2"/>
  <c r="D38" i="2"/>
  <c r="D42" i="2" s="1"/>
  <c r="E38" i="2"/>
  <c r="F38" i="2"/>
  <c r="I448" i="1"/>
  <c r="C40" i="2"/>
  <c r="D40" i="2"/>
  <c r="E40" i="2"/>
  <c r="F40" i="2"/>
  <c r="I449" i="1"/>
  <c r="J41" i="1"/>
  <c r="G40" i="2"/>
  <c r="C41" i="2"/>
  <c r="D41" i="2"/>
  <c r="E41" i="2"/>
  <c r="F41" i="2"/>
  <c r="F48" i="2"/>
  <c r="C51" i="2"/>
  <c r="D51" i="2"/>
  <c r="E51" i="2"/>
  <c r="F51" i="2"/>
  <c r="F53" i="2"/>
  <c r="F54" i="2"/>
  <c r="F55" i="2"/>
  <c r="D52" i="2"/>
  <c r="D54" i="2" s="1"/>
  <c r="D55" i="2" s="1"/>
  <c r="D53" i="2"/>
  <c r="D71" i="2"/>
  <c r="D69" i="2"/>
  <c r="D70" i="2" s="1"/>
  <c r="D73" i="2" s="1"/>
  <c r="D61" i="2"/>
  <c r="D62" i="2"/>
  <c r="D77" i="2"/>
  <c r="D83" i="2" s="1"/>
  <c r="D80" i="2"/>
  <c r="D81" i="2"/>
  <c r="D88" i="2"/>
  <c r="D89" i="2"/>
  <c r="D90" i="2"/>
  <c r="D91" i="2"/>
  <c r="D92" i="2"/>
  <c r="D93" i="2"/>
  <c r="D94" i="2"/>
  <c r="D95" i="2"/>
  <c r="C53" i="2"/>
  <c r="E53" i="2"/>
  <c r="E61" i="2"/>
  <c r="E62" i="2" s="1"/>
  <c r="F61" i="2"/>
  <c r="F62" i="2" s="1"/>
  <c r="G61" i="2"/>
  <c r="G62" i="2"/>
  <c r="C64" i="2"/>
  <c r="C65" i="2"/>
  <c r="C66" i="2"/>
  <c r="C67" i="2"/>
  <c r="C70" i="2" s="1"/>
  <c r="C73" i="2" s="1"/>
  <c r="C68" i="2"/>
  <c r="C69" i="2"/>
  <c r="F64" i="2"/>
  <c r="F70" i="2" s="1"/>
  <c r="F73" i="2" s="1"/>
  <c r="F65" i="2"/>
  <c r="F68" i="2"/>
  <c r="F69" i="2"/>
  <c r="E68" i="2"/>
  <c r="E69" i="2"/>
  <c r="E70" i="2"/>
  <c r="E73" i="2" s="1"/>
  <c r="E71" i="2"/>
  <c r="E72" i="2"/>
  <c r="G69" i="2"/>
  <c r="G70" i="2" s="1"/>
  <c r="G73" i="2" s="1"/>
  <c r="C71" i="2"/>
  <c r="C72" i="2"/>
  <c r="C79" i="2"/>
  <c r="E79" i="2"/>
  <c r="F79" i="2"/>
  <c r="C80" i="2"/>
  <c r="E80" i="2"/>
  <c r="F80" i="2"/>
  <c r="C81" i="2"/>
  <c r="E81" i="2"/>
  <c r="F81" i="2"/>
  <c r="C82" i="2"/>
  <c r="C85" i="2"/>
  <c r="F85" i="2"/>
  <c r="F86" i="2"/>
  <c r="F88" i="2"/>
  <c r="F89" i="2"/>
  <c r="F95" i="2" s="1"/>
  <c r="F91" i="2"/>
  <c r="F92" i="2"/>
  <c r="F93" i="2"/>
  <c r="F94" i="2"/>
  <c r="C86" i="2"/>
  <c r="E88" i="2"/>
  <c r="G88" i="2"/>
  <c r="C89" i="2"/>
  <c r="E89" i="2"/>
  <c r="G89" i="2"/>
  <c r="C90" i="2"/>
  <c r="C95" i="2" s="1"/>
  <c r="E90" i="2"/>
  <c r="E95" i="2" s="1"/>
  <c r="G90" i="2"/>
  <c r="G95" i="2" s="1"/>
  <c r="C91" i="2"/>
  <c r="E91" i="2"/>
  <c r="C92" i="2"/>
  <c r="E92" i="2"/>
  <c r="C93" i="2"/>
  <c r="E93" i="2"/>
  <c r="C94" i="2"/>
  <c r="E94" i="2"/>
  <c r="C103" i="2"/>
  <c r="E104" i="2"/>
  <c r="C105" i="2"/>
  <c r="D107" i="2"/>
  <c r="F107" i="2"/>
  <c r="G107" i="2"/>
  <c r="E117" i="2"/>
  <c r="D119" i="2"/>
  <c r="D120" i="2"/>
  <c r="D126" i="2"/>
  <c r="D136" i="2" s="1"/>
  <c r="F120" i="2"/>
  <c r="G120" i="2"/>
  <c r="E122" i="2"/>
  <c r="F126" i="2"/>
  <c r="K411" i="1"/>
  <c r="K419" i="1"/>
  <c r="K425" i="1"/>
  <c r="K426" i="1"/>
  <c r="G126" i="2"/>
  <c r="G136" i="2" s="1"/>
  <c r="G137" i="2" s="1"/>
  <c r="L255" i="1"/>
  <c r="C127" i="2" s="1"/>
  <c r="L256" i="1"/>
  <c r="C128" i="2" s="1"/>
  <c r="L257" i="1"/>
  <c r="C129" i="2" s="1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K490" i="1" s="1"/>
  <c r="G490" i="1"/>
  <c r="C153" i="2"/>
  <c r="H490" i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493" i="1"/>
  <c r="K493" i="1" s="1"/>
  <c r="H493" i="1"/>
  <c r="D156" i="2" s="1"/>
  <c r="I493" i="1"/>
  <c r="E156" i="2" s="1"/>
  <c r="J493" i="1"/>
  <c r="F19" i="1"/>
  <c r="G607" i="1" s="1"/>
  <c r="G19" i="1"/>
  <c r="G608" i="1"/>
  <c r="J608" i="1" s="1"/>
  <c r="H19" i="1"/>
  <c r="G609" i="1"/>
  <c r="I19" i="1"/>
  <c r="G610" i="1"/>
  <c r="J610" i="1" s="1"/>
  <c r="F33" i="1"/>
  <c r="G33" i="1"/>
  <c r="H33" i="1"/>
  <c r="I33" i="1"/>
  <c r="F43" i="1"/>
  <c r="G612" i="1" s="1"/>
  <c r="J612" i="1" s="1"/>
  <c r="G43" i="1"/>
  <c r="H43" i="1"/>
  <c r="G614" i="1" s="1"/>
  <c r="I43" i="1"/>
  <c r="I44" i="1" s="1"/>
  <c r="H610" i="1" s="1"/>
  <c r="F169" i="1"/>
  <c r="F184" i="1" s="1"/>
  <c r="I169" i="1"/>
  <c r="I184" i="1" s="1"/>
  <c r="F175" i="1"/>
  <c r="G175" i="1"/>
  <c r="H175" i="1"/>
  <c r="H184" i="1" s="1"/>
  <c r="H185" i="1" s="1"/>
  <c r="G619" i="1" s="1"/>
  <c r="J619" i="1" s="1"/>
  <c r="I175" i="1"/>
  <c r="J175" i="1"/>
  <c r="J184" i="1"/>
  <c r="F180" i="1"/>
  <c r="G180" i="1"/>
  <c r="G184" i="1" s="1"/>
  <c r="H180" i="1"/>
  <c r="I180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H282" i="1"/>
  <c r="H330" i="1"/>
  <c r="H344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G330" i="1" s="1"/>
  <c r="G344" i="1" s="1"/>
  <c r="L329" i="1"/>
  <c r="H329" i="1"/>
  <c r="I329" i="1"/>
  <c r="J329" i="1"/>
  <c r="J330" i="1" s="1"/>
  <c r="J344" i="1" s="1"/>
  <c r="K329" i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G393" i="1"/>
  <c r="H393" i="1"/>
  <c r="H400" i="1" s="1"/>
  <c r="H634" i="1" s="1"/>
  <c r="J634" i="1" s="1"/>
  <c r="I393" i="1"/>
  <c r="F399" i="1"/>
  <c r="G399" i="1"/>
  <c r="H399" i="1"/>
  <c r="I399" i="1"/>
  <c r="I400" i="1" s="1"/>
  <c r="F400" i="1"/>
  <c r="H633" i="1"/>
  <c r="J633" i="1" s="1"/>
  <c r="L405" i="1"/>
  <c r="L406" i="1"/>
  <c r="L407" i="1"/>
  <c r="L408" i="1"/>
  <c r="L409" i="1"/>
  <c r="L410" i="1"/>
  <c r="F411" i="1"/>
  <c r="G411" i="1"/>
  <c r="G426" i="1" s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H426" i="1" s="1"/>
  <c r="I419" i="1"/>
  <c r="J419" i="1"/>
  <c r="L421" i="1"/>
  <c r="L425" i="1" s="1"/>
  <c r="L422" i="1"/>
  <c r="L423" i="1"/>
  <c r="L424" i="1"/>
  <c r="F425" i="1"/>
  <c r="F426" i="1"/>
  <c r="G425" i="1"/>
  <c r="H425" i="1"/>
  <c r="I425" i="1"/>
  <c r="I426" i="1"/>
  <c r="J425" i="1"/>
  <c r="F438" i="1"/>
  <c r="G629" i="1"/>
  <c r="G438" i="1"/>
  <c r="G630" i="1"/>
  <c r="H438" i="1"/>
  <c r="G631" i="1"/>
  <c r="F444" i="1"/>
  <c r="G444" i="1"/>
  <c r="G451" i="1" s="1"/>
  <c r="H630" i="1" s="1"/>
  <c r="H444" i="1"/>
  <c r="H451" i="1" s="1"/>
  <c r="H631" i="1" s="1"/>
  <c r="F450" i="1"/>
  <c r="F451" i="1" s="1"/>
  <c r="H629" i="1" s="1"/>
  <c r="G450" i="1"/>
  <c r="H450" i="1"/>
  <c r="F460" i="1"/>
  <c r="G460" i="1"/>
  <c r="H460" i="1"/>
  <c r="H466" i="1"/>
  <c r="H614" i="1" s="1"/>
  <c r="I460" i="1"/>
  <c r="I466" i="1"/>
  <c r="H615" i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I514" i="1"/>
  <c r="I535" i="1" s="1"/>
  <c r="J514" i="1"/>
  <c r="J535" i="1" s="1"/>
  <c r="K514" i="1"/>
  <c r="K535" i="1" s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F535" i="1" s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H561" i="1" s="1"/>
  <c r="I550" i="1"/>
  <c r="I561" i="1" s="1"/>
  <c r="J550" i="1"/>
  <c r="J561" i="1" s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F561" i="1" s="1"/>
  <c r="G560" i="1"/>
  <c r="G561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/>
  <c r="J639" i="1" s="1"/>
  <c r="I588" i="1"/>
  <c r="H640" i="1"/>
  <c r="J640" i="1" s="1"/>
  <c r="J588" i="1"/>
  <c r="H641" i="1"/>
  <c r="K592" i="1"/>
  <c r="K593" i="1"/>
  <c r="K594" i="1"/>
  <c r="H595" i="1"/>
  <c r="I595" i="1"/>
  <c r="J595" i="1"/>
  <c r="G604" i="1"/>
  <c r="H604" i="1"/>
  <c r="I604" i="1"/>
  <c r="J604" i="1"/>
  <c r="K604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G634" i="1"/>
  <c r="H637" i="1"/>
  <c r="G639" i="1"/>
  <c r="G640" i="1"/>
  <c r="G642" i="1"/>
  <c r="H642" i="1"/>
  <c r="J642" i="1" s="1"/>
  <c r="G643" i="1"/>
  <c r="H643" i="1"/>
  <c r="G644" i="1"/>
  <c r="H644" i="1"/>
  <c r="J644" i="1" s="1"/>
  <c r="G645" i="1"/>
  <c r="J645" i="1" s="1"/>
  <c r="H645" i="1"/>
  <c r="G635" i="1"/>
  <c r="J635" i="1" s="1"/>
  <c r="C25" i="10"/>
  <c r="H651" i="1"/>
  <c r="G651" i="1"/>
  <c r="F651" i="1"/>
  <c r="I651" i="1"/>
  <c r="F156" i="2"/>
  <c r="D153" i="2"/>
  <c r="C49" i="2"/>
  <c r="E106" i="2"/>
  <c r="H161" i="1"/>
  <c r="E77" i="2"/>
  <c r="E83" i="2" s="1"/>
  <c r="G155" i="2"/>
  <c r="C23" i="10"/>
  <c r="F31" i="13"/>
  <c r="F22" i="13"/>
  <c r="L354" i="1"/>
  <c r="C27" i="10" s="1"/>
  <c r="H652" i="1"/>
  <c r="C122" i="2"/>
  <c r="G652" i="1"/>
  <c r="C22" i="13"/>
  <c r="E42" i="2"/>
  <c r="H44" i="1"/>
  <c r="H609" i="1" s="1"/>
  <c r="K595" i="1"/>
  <c r="G638" i="1" s="1"/>
  <c r="F32" i="2"/>
  <c r="H539" i="1"/>
  <c r="E48" i="2"/>
  <c r="H104" i="1"/>
  <c r="K561" i="1"/>
  <c r="J40" i="1"/>
  <c r="G39" i="2" s="1"/>
  <c r="J539" i="1"/>
  <c r="E103" i="2"/>
  <c r="L411" i="1"/>
  <c r="J643" i="1"/>
  <c r="I161" i="1"/>
  <c r="E102" i="2"/>
  <c r="G535" i="1"/>
  <c r="H132" i="1"/>
  <c r="L385" i="1"/>
  <c r="C130" i="2" s="1"/>
  <c r="G149" i="2"/>
  <c r="D15" i="13"/>
  <c r="C15" i="13" s="1"/>
  <c r="F77" i="2"/>
  <c r="F83" i="2"/>
  <c r="G44" i="1"/>
  <c r="H608" i="1"/>
  <c r="I361" i="1"/>
  <c r="H624" i="1" s="1"/>
  <c r="G613" i="1"/>
  <c r="F44" i="1"/>
  <c r="H607" i="1" s="1"/>
  <c r="F466" i="1"/>
  <c r="H612" i="1"/>
  <c r="G466" i="1"/>
  <c r="H613" i="1"/>
  <c r="E8" i="13"/>
  <c r="C8" i="13"/>
  <c r="C112" i="2"/>
  <c r="G654" i="1"/>
  <c r="G662" i="1" s="1"/>
  <c r="J613" i="1"/>
  <c r="G657" i="1"/>
  <c r="C38" i="10" l="1"/>
  <c r="L426" i="1"/>
  <c r="G628" i="1" s="1"/>
  <c r="J628" i="1" s="1"/>
  <c r="D96" i="2"/>
  <c r="K540" i="1"/>
  <c r="C39" i="10"/>
  <c r="J185" i="1"/>
  <c r="D14" i="13"/>
  <c r="C14" i="13" s="1"/>
  <c r="C115" i="2"/>
  <c r="C20" i="10"/>
  <c r="J638" i="1"/>
  <c r="L561" i="1"/>
  <c r="J631" i="1"/>
  <c r="J609" i="1"/>
  <c r="F96" i="2"/>
  <c r="C43" i="2"/>
  <c r="I185" i="1"/>
  <c r="G620" i="1" s="1"/>
  <c r="J620" i="1" s="1"/>
  <c r="H203" i="1"/>
  <c r="H249" i="1" s="1"/>
  <c r="H263" i="1" s="1"/>
  <c r="D137" i="2"/>
  <c r="H638" i="1"/>
  <c r="J263" i="1"/>
  <c r="J630" i="1"/>
  <c r="C55" i="2"/>
  <c r="C96" i="2" s="1"/>
  <c r="C104" i="2"/>
  <c r="C13" i="10"/>
  <c r="C18" i="10"/>
  <c r="D12" i="13"/>
  <c r="C12" i="13" s="1"/>
  <c r="C113" i="2"/>
  <c r="E43" i="2"/>
  <c r="G55" i="2"/>
  <c r="G96" i="2" s="1"/>
  <c r="E33" i="13"/>
  <c r="D35" i="13" s="1"/>
  <c r="J614" i="1"/>
  <c r="H542" i="1"/>
  <c r="E54" i="2"/>
  <c r="E136" i="2"/>
  <c r="C111" i="2"/>
  <c r="C120" i="2" s="1"/>
  <c r="C16" i="10"/>
  <c r="D7" i="13"/>
  <c r="C7" i="13" s="1"/>
  <c r="G19" i="2"/>
  <c r="L330" i="1"/>
  <c r="L344" i="1" s="1"/>
  <c r="G623" i="1" s="1"/>
  <c r="J623" i="1" s="1"/>
  <c r="D31" i="13"/>
  <c r="C31" i="13" s="1"/>
  <c r="L604" i="1"/>
  <c r="F653" i="1"/>
  <c r="I653" i="1" s="1"/>
  <c r="J629" i="1"/>
  <c r="J607" i="1"/>
  <c r="L514" i="1"/>
  <c r="F539" i="1"/>
  <c r="D43" i="2"/>
  <c r="C133" i="2"/>
  <c r="C136" i="2" s="1"/>
  <c r="E55" i="2"/>
  <c r="E96" i="2" s="1"/>
  <c r="G23" i="2"/>
  <c r="G32" i="2" s="1"/>
  <c r="G43" i="2" s="1"/>
  <c r="J33" i="1"/>
  <c r="G185" i="1"/>
  <c r="G618" i="1" s="1"/>
  <c r="J618" i="1" s="1"/>
  <c r="G33" i="13"/>
  <c r="C102" i="2"/>
  <c r="C11" i="10"/>
  <c r="J624" i="1"/>
  <c r="G625" i="1"/>
  <c r="J625" i="1" s="1"/>
  <c r="L320" i="1"/>
  <c r="C35" i="10"/>
  <c r="E101" i="2"/>
  <c r="E107" i="2" s="1"/>
  <c r="C156" i="2"/>
  <c r="G156" i="2" s="1"/>
  <c r="C18" i="12"/>
  <c r="A22" i="12" s="1"/>
  <c r="F5" i="13"/>
  <c r="F604" i="1"/>
  <c r="F652" i="1"/>
  <c r="I652" i="1" s="1"/>
  <c r="C114" i="2"/>
  <c r="D6" i="13"/>
  <c r="C6" i="13" s="1"/>
  <c r="H514" i="1"/>
  <c r="H535" i="1" s="1"/>
  <c r="J43" i="1"/>
  <c r="J19" i="1"/>
  <c r="G611" i="1" s="1"/>
  <c r="I539" i="1"/>
  <c r="I542" i="1" s="1"/>
  <c r="L189" i="1"/>
  <c r="L400" i="1"/>
  <c r="I444" i="1"/>
  <c r="I451" i="1" s="1"/>
  <c r="H632" i="1" s="1"/>
  <c r="J632" i="1" s="1"/>
  <c r="F104" i="1"/>
  <c r="F185" i="1" s="1"/>
  <c r="G617" i="1" s="1"/>
  <c r="J617" i="1" s="1"/>
  <c r="L519" i="1"/>
  <c r="C21" i="10"/>
  <c r="G615" i="1"/>
  <c r="J615" i="1" s="1"/>
  <c r="C15" i="10"/>
  <c r="L239" i="1"/>
  <c r="H650" i="1" s="1"/>
  <c r="H654" i="1" s="1"/>
  <c r="H25" i="13"/>
  <c r="G203" i="1"/>
  <c r="G249" i="1" s="1"/>
  <c r="G263" i="1" s="1"/>
  <c r="F203" i="1"/>
  <c r="F249" i="1" s="1"/>
  <c r="F263" i="1" s="1"/>
  <c r="B153" i="2"/>
  <c r="G153" i="2" s="1"/>
  <c r="H662" i="1" l="1"/>
  <c r="H657" i="1"/>
  <c r="L535" i="1"/>
  <c r="D5" i="13"/>
  <c r="F33" i="13"/>
  <c r="H636" i="1"/>
  <c r="G627" i="1"/>
  <c r="J627" i="1" s="1"/>
  <c r="F542" i="1"/>
  <c r="K539" i="1"/>
  <c r="K542" i="1" s="1"/>
  <c r="L203" i="1"/>
  <c r="C101" i="2"/>
  <c r="C107" i="2" s="1"/>
  <c r="C137" i="2" s="1"/>
  <c r="C10" i="10"/>
  <c r="E137" i="2"/>
  <c r="G621" i="1"/>
  <c r="J621" i="1" s="1"/>
  <c r="G636" i="1"/>
  <c r="J636" i="1" s="1"/>
  <c r="C36" i="10"/>
  <c r="C25" i="13"/>
  <c r="H33" i="13"/>
  <c r="G616" i="1"/>
  <c r="J616" i="1" s="1"/>
  <c r="J44" i="1"/>
  <c r="H611" i="1" s="1"/>
  <c r="J611" i="1" s="1"/>
  <c r="C41" i="10" l="1"/>
  <c r="D33" i="13"/>
  <c r="D36" i="13" s="1"/>
  <c r="C5" i="13"/>
  <c r="C28" i="10"/>
  <c r="D10" i="10" s="1"/>
  <c r="F650" i="1"/>
  <c r="L249" i="1"/>
  <c r="L263" i="1" s="1"/>
  <c r="G622" i="1" s="1"/>
  <c r="J622" i="1" s="1"/>
  <c r="F654" i="1" l="1"/>
  <c r="I650" i="1"/>
  <c r="I654" i="1" s="1"/>
  <c r="H646" i="1"/>
  <c r="D22" i="10"/>
  <c r="C30" i="10"/>
  <c r="D23" i="10"/>
  <c r="D17" i="10"/>
  <c r="D27" i="10"/>
  <c r="D26" i="10"/>
  <c r="D24" i="10"/>
  <c r="D25" i="10"/>
  <c r="D19" i="10"/>
  <c r="D12" i="10"/>
  <c r="D16" i="10"/>
  <c r="D15" i="10"/>
  <c r="D18" i="10"/>
  <c r="D13" i="10"/>
  <c r="D20" i="10"/>
  <c r="D21" i="10"/>
  <c r="D11" i="10"/>
  <c r="D28" i="10" s="1"/>
  <c r="D40" i="10"/>
  <c r="D37" i="10"/>
  <c r="D38" i="10"/>
  <c r="D39" i="10"/>
  <c r="D35" i="10"/>
  <c r="D36" i="10"/>
  <c r="I662" i="1" l="1"/>
  <c r="C7" i="10" s="1"/>
  <c r="I657" i="1"/>
  <c r="D41" i="10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BBE4D3B-F105-4682-B79A-61E1137CEF1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55FDF89-8937-4443-84EF-7859C3F1B7F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0A49342-2DB2-4E04-BCDF-81ECA2B5874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706CB04-B5FA-483F-A6EE-E69E513D963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881CF024-84F2-4903-B627-7967F61683E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B25884C-6A0B-4CB4-B2C6-515BEAB2C0D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75D6FED-B96D-41F9-BED6-7D096833544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0D7AC6F-CF10-4EBE-B57F-5149B32A316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D8493DF-FE7C-4F21-97C6-AAEF33A5CBD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42ACBDA-399D-4119-898A-A1D8B71FD6A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1720B39-18B6-421E-BB53-35E110B9AEF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D51E711-7B3C-48C7-835D-FFDF2DE3DFF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<sst xmlns="http://schemas.openxmlformats.org/spreadsheetml/2006/main" count="3860" uniqueCount="897">
  <si>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</si>
  <si>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</si>
  <si>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</si>
  <si>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</si>
  <si>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</si>
  <si>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</si>
  <si>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</si>
  <si>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</si>
  <si>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</si>
  <si>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</si>
  <si>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</si>
  <si>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</si>
  <si>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</si>
  <si>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</si>
  <si>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</si>
  <si>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</si>
  <si>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</si>
  <si>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</si>
  <si>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</si>
  <si>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</si>
  <si>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</si>
  <si>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</si>
  <si>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</si>
  <si>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</si>
  <si>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</si>
  <si>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</si>
  <si>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</si>
  <si>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</si>
  <si>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</si>
  <si>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</si>
  <si>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</si>
  <si>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</si>
  <si>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</si>
  <si>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</si>
  <si>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</si>
  <si>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</si>
  <si>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</si>
  <si>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</si>
  <si>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</si>
  <si>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</si>
  <si>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</si>
  <si>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</si>
  <si>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</si>
  <si>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</si>
  <si>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</si>
  <si>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</si>
  <si>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</si>
  <si>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</si>
  <si>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</si>
  <si>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</si>
  <si>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</si>
  <si>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</si>
  <si>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</si>
  <si>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</si>
  <si>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</si>
  <si>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</si>
  <si>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</si>
  <si>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</si>
  <si>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</si>
  <si>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</si>
  <si>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</si>
  <si>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</si>
  <si>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</si>
  <si>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</si>
  <si>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</si>
  <si>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</si>
  <si>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</si>
  <si>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</si>
  <si>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</si>
  <si>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</si>
  <si>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</si>
  <si>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</si>
  <si>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</si>
  <si>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</si>
  <si>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</si>
  <si>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</si>
  <si>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</si>
  <si>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</si>
  <si>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</si>
  <si>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</si>
  <si>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</si>
  <si>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</si>
  <si>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</si>
  <si>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</si>
  <si>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</si>
  <si>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</si>
  <si>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</si>
  <si>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</si>
  <si>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</si>
  <si>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</si>
  <si>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</si>
  <si>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</si>
  <si>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</si>
  <si>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</si>
  <si>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</si>
  <si>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</si>
  <si>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</si>
  <si>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</si>
  <si>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</si>
  <si>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</si>
  <si>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</si>
  <si>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</si>
  <si>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</si>
  <si>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</si>
  <si>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</si>
  <si>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</si>
  <si>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</si>
  <si>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</si>
  <si>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</si>
  <si>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</si>
  <si>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</si>
  <si>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</si>
  <si>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</si>
  <si>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</si>
  <si>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</si>
  <si>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</si>
  <si>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</si>
  <si>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</si>
  <si>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</si>
  <si>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</si>
  <si>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</si>
  <si>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</si>
  <si>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</si>
  <si>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</si>
  <si>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</si>
  <si>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</si>
  <si>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</si>
  <si>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</si>
  <si>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</si>
  <si>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</si>
  <si>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</si>
  <si>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</si>
  <si>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</si>
  <si>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</si>
  <si>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</si>
  <si>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</si>
  <si>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</si>
  <si>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</si>
  <si>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</si>
  <si>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</si>
  <si>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</si>
  <si>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</si>
  <si>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</si>
  <si>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</si>
  <si>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</si>
  <si>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</si>
  <si>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</si>
  <si>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</si>
  <si>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</si>
  <si>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</si>
  <si>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</si>
  <si>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</si>
  <si>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</si>
  <si>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</si>
  <si>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</si>
  <si>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</si>
  <si>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</si>
  <si>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</si>
  <si>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</si>
  <si>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</si>
  <si>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</si>
  <si>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</si>
  <si>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</si>
  <si>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</si>
  <si>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</si>
  <si>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</si>
  <si>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</si>
  <si>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</si>
  <si>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</si>
  <si>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</si>
  <si>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</si>
  <si>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</si>
  <si>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</si>
  <si>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</si>
  <si>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</si>
  <si>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</si>
  <si>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</si>
  <si>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</si>
  <si>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</si>
  <si>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</si>
  <si>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</si>
  <si>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</si>
  <si>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</si>
  <si>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</si>
  <si>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</si>
  <si>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</si>
  <si>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</si>
  <si>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</si>
  <si>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</si>
  <si>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</si>
  <si>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</si>
  <si>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</si>
  <si>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</si>
  <si>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</si>
  <si>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</si>
  <si>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</si>
  <si>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</si>
  <si>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</si>
  <si>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</si>
  <si>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</si>
  <si>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</si>
  <si>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</si>
  <si>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</si>
  <si>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</si>
  <si>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</si>
  <si>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</si>
  <si>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</si>
  <si>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</si>
  <si>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</si>
  <si>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</si>
  <si>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</si>
  <si>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</si>
  <si>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</si>
  <si>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</si>
  <si>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</si>
  <si>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</si>
  <si>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</si>
  <si>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</si>
  <si>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</si>
  <si>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</si>
  <si>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</si>
  <si>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</si>
  <si>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</si>
  <si>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</si>
  <si>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</si>
  <si>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</si>
  <si>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</si>
  <si>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</si>
  <si>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</si>
  <si>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</si>
  <si>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</si>
  <si>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</si>
  <si>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</si>
  <si>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</si>
  <si>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</si>
  <si>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</si>
  <si>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</si>
  <si>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</si>
  <si>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</si>
  <si>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</si>
  <si>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</si>
  <si>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</si>
  <si>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</si>
  <si>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</si>
  <si>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</si>
  <si>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</si>
  <si>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</si>
  <si>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</si>
  <si>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</si>
  <si>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</si>
  <si>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</si>
  <si>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</si>
  <si>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</si>
  <si>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</si>
  <si>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</si>
  <si>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</si>
  <si>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</si>
  <si>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</si>
  <si>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</si>
  <si>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</si>
  <si>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</si>
  <si>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</si>
  <si>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</si>
  <si>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</si>
  <si>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</si>
  <si>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</si>
  <si>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</si>
  <si>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</si>
  <si>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</si>
  <si>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</si>
  <si>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</si>
  <si>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</si>
  <si>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</si>
  <si>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</si>
  <si>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</si>
  <si>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</si>
  <si>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</si>
  <si>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</si>
  <si>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</si>
  <si>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</si>
  <si>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</si>
  <si>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</si>
  <si>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</si>
  <si>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</si>
  <si>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</si>
  <si>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</si>
  <si>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</si>
  <si>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</si>
  <si>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</si>
  <si>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</si>
  <si>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</si>
  <si>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</si>
  <si>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</si>
  <si>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</si>
  <si>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</si>
  <si>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</si>
  <si>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</si>
  <si>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</si>
  <si>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</si>
  <si>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</si>
  <si>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</si>
  <si>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</si>
  <si>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</si>
  <si>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</si>
  <si>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</si>
  <si>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</si>
  <si>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</si>
  <si>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</si>
  <si>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</si>
  <si>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</si>
  <si>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</si>
  <si>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</si>
  <si>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</si>
  <si>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</si>
  <si>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</si>
  <si>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</si>
  <si>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</si>
  <si>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</si>
  <si>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</si>
  <si>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</si>
  <si>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</si>
  <si>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</si>
  <si>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</si>
  <si>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</si>
  <si>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</si>
  <si>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</si>
  <si>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</si>
  <si>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</si>
  <si>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</si>
  <si>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</si>
  <si>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</si>
  <si>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</si>
  <si>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</si>
  <si>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</si>
  <si>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</si>
  <si>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</si>
  <si>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</si>
  <si>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</si>
  <si>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</si>
  <si>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</si>
  <si>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</si>
  <si>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</si>
  <si>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</si>
  <si>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</si>
  <si>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</si>
  <si>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</si>
  <si>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</si>
  <si>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</si>
  <si>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</si>
  <si>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</si>
  <si>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</si>
  <si>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</si>
  <si>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</si>
  <si>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</si>
  <si>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</si>
  <si>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</si>
  <si>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</si>
  <si>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</si>
  <si>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</si>
  <si>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</si>
  <si>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</si>
  <si>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</si>
  <si>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</si>
  <si>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</si>
  <si>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</si>
  <si>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</si>
  <si>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</si>
  <si>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</si>
  <si>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</si>
  <si>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</si>
  <si>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</si>
  <si>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</si>
  <si>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</si>
  <si>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</si>
  <si>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</si>
  <si>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</si>
  <si>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</si>
  <si>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</si>
  <si>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</si>
  <si>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</si>
  <si>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</si>
  <si>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</si>
  <si>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</si>
  <si>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</si>
  <si>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</si>
  <si>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</si>
  <si>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</si>
  <si>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</si>
  <si>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</si>
  <si>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</si>
  <si>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</si>
  <si>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</si>
  <si>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</si>
  <si>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</si>
  <si>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</si>
  <si>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</si>
  <si>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</si>
  <si>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</si>
  <si>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</si>
  <si>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</si>
  <si>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</si>
  <si>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</si>
  <si>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</si>
  <si>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</si>
  <si>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</si>
  <si>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</si>
  <si>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</si>
  <si>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</si>
  <si>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</si>
  <si>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</si>
  <si>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</si>
  <si>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</si>
  <si>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</si>
  <si>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</si>
  <si>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</si>
  <si>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</si>
  <si>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</si>
  <si>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</si>
  <si>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</si>
  <si>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</si>
  <si>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</si>
  <si>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</si>
  <si>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</si>
  <si>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</si>
  <si>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</si>
  <si>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</si>
  <si>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</si>
  <si>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</si>
  <si>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</si>
  <si>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</si>
  <si>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</si>
  <si>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</si>
  <si>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</si>
  <si>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</si>
  <si>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</si>
  <si>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</si>
  <si>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</si>
  <si>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</si>
  <si>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</si>
  <si>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</si>
  <si>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</si>
  <si>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</si>
  <si>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</si>
  <si>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</si>
  <si>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</si>
  <si>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</si>
  <si>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</si>
  <si>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</si>
  <si>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</si>
  <si>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</si>
  <si>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</si>
  <si>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</si>
  <si>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</si>
  <si>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</si>
  <si>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</si>
  <si>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</si>
  <si>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</si>
  <si>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</si>
  <si>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</si>
  <si>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</si>
  <si>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</si>
  <si>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</si>
  <si>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</si>
  <si>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</si>
  <si>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</si>
  <si>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</si>
  <si>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</si>
  <si>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</si>
  <si>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</si>
  <si>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</si>
  <si>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</si>
  <si>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</si>
  <si>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</si>
  <si>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</si>
  <si>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</si>
  <si>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</si>
  <si>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</si>
  <si>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</si>
  <si>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</si>
  <si>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</si>
  <si>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</si>
  <si>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</si>
  <si>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</si>
  <si>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</si>
  <si>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</si>
  <si>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</si>
  <si>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</si>
  <si>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</si>
  <si>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</si>
  <si>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</si>
  <si>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</si>
  <si>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</si>
  <si>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</si>
  <si>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</si>
  <si>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</si>
  <si>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</si>
  <si>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</si>
  <si>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</si>
  <si>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</si>
  <si>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</si>
  <si>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</si>
  <si>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</si>
  <si>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</si>
  <si>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</si>
  <si>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</si>
  <si>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</si>
  <si>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</si>
  <si>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</si>
  <si>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</si>
  <si>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</si>
  <si>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</si>
  <si>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</si>
  <si>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</si>
  <si>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</si>
  <si>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</si>
  <si>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</si>
  <si>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</si>
  <si>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</si>
  <si>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</si>
  <si>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</si>
  <si>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</si>
  <si>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</si>
  <si>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</si>
  <si>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</si>
  <si>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</si>
  <si>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</si>
  <si>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</si>
  <si>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</si>
  <si>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</si>
  <si>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</si>
  <si>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</si>
  <si>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</si>
  <si>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</si>
  <si>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</si>
  <si>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</si>
  <si>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</si>
  <si>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</si>
  <si>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</si>
  <si>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</si>
  <si>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</si>
  <si>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</si>
  <si>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</si>
  <si>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</si>
  <si>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</si>
  <si>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</si>
  <si>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</si>
  <si>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</si>
  <si>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</si>
  <si>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</si>
  <si>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</si>
  <si>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</si>
  <si>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</si>
  <si>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</si>
  <si>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</si>
  <si>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</si>
  <si>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</si>
  <si>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</si>
  <si>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</si>
  <si>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</si>
  <si>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</si>
  <si>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</si>
  <si>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</si>
  <si>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</si>
  <si>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</si>
  <si>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</si>
  <si>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</si>
  <si>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</si>
  <si>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</si>
  <si>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</si>
  <si>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</si>
  <si>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</si>
  <si>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</si>
  <si>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</si>
  <si>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</si>
  <si>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</si>
  <si>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</si>
  <si>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</si>
  <si>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</si>
  <si>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</si>
  <si>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</si>
  <si>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</si>
  <si>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</si>
  <si>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</si>
  <si>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</si>
  <si>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</si>
  <si>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</si>
  <si>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</si>
  <si>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</si>
  <si>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</si>
  <si>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</si>
  <si>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</si>
  <si>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</si>
  <si>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</si>
  <si>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</si>
  <si>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</si>
  <si>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</si>
  <si>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</si>
  <si>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</si>
  <si>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</si>
  <si>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</si>
  <si>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</si>
  <si>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</si>
  <si>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</si>
  <si>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</si>
  <si>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</si>
  <si>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</si>
  <si>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</si>
  <si>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</si>
  <si>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</si>
  <si>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</si>
  <si>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</si>
  <si>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</si>
  <si>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</si>
  <si>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</si>
  <si>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</si>
  <si>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</si>
  <si>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</si>
  <si>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</si>
  <si>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</si>
  <si>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</si>
  <si>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</si>
  <si>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</si>
  <si>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</si>
  <si>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</si>
  <si>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</si>
  <si>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</si>
  <si>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</si>
  <si>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</si>
  <si>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</si>
  <si>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</si>
  <si>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</si>
  <si>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</si>
  <si>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</si>
  <si>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</si>
  <si>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</si>
  <si>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</si>
  <si>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</si>
  <si>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</si>
  <si>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</si>
  <si>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</si>
  <si>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</si>
  <si>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</si>
  <si>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</si>
  <si>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</si>
  <si>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</si>
  <si>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</si>
  <si>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</si>
  <si>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</si>
  <si>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</si>
  <si>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</si>
  <si>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</si>
  <si>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</si>
  <si>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</si>
  <si>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</si>
  <si>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</si>
  <si>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</si>
  <si>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</si>
  <si>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</si>
  <si>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</si>
  <si>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</si>
  <si>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</si>
  <si>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</si>
  <si>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</si>
  <si>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</si>
  <si>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</si>
  <si>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</si>
  <si>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</si>
  <si>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</si>
  <si>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</si>
  <si>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</si>
  <si>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</si>
  <si>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</si>
  <si>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</si>
  <si>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</si>
  <si>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</si>
  <si>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</si>
  <si>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</si>
  <si>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</si>
  <si>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</si>
  <si>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</si>
  <si>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</si>
  <si>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</si>
  <si>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</si>
  <si>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</si>
  <si>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</si>
  <si>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</si>
  <si>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</si>
  <si>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</si>
  <si>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</si>
  <si>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</si>
  <si>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</si>
  <si>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</si>
  <si>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</si>
  <si>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</si>
  <si>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</si>
  <si>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</si>
  <si>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</si>
  <si>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</si>
  <si>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</si>
  <si>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</si>
  <si>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</si>
  <si>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</si>
  <si>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</si>
  <si>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</si>
  <si>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</si>
  <si>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</si>
  <si>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</si>
  <si>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</si>
  <si>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</si>
  <si>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</si>
  <si>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</si>
  <si>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</si>
  <si>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</si>
  <si>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</si>
  <si>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</si>
  <si>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</si>
  <si>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</si>
  <si>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</si>
  <si>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</si>
  <si>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</si>
  <si>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</si>
  <si>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</si>
  <si>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</si>
  <si>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</si>
  <si>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</si>
  <si>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</si>
  <si>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</si>
  <si>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</si>
  <si>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</si>
  <si>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</si>
  <si>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</si>
  <si>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</si>
  <si>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</si>
  <si>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</si>
  <si>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</si>
  <si>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</si>
  <si>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</si>
  <si>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</si>
  <si>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</si>
  <si>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</si>
  <si>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</si>
  <si>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</si>
  <si>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</si>
  <si>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</si>
  <si>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</si>
  <si>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</si>
  <si>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</si>
  <si>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</si>
  <si>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</si>
  <si>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</si>
  <si>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</si>
  <si>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</si>
  <si>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</si>
  <si>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</si>
  <si>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</si>
  <si>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</si>
  <si>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</si>
  <si>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</si>
  <si>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</si>
  <si>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</si>
  <si>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</si>
  <si>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</si>
  <si>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</si>
  <si>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</si>
  <si>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</si>
  <si>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</si>
  <si>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</si>
  <si>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</si>
  <si>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</si>
  <si>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</si>
  <si>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</si>
  <si>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</si>
  <si>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</si>
  <si>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</si>
  <si>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</si>
  <si>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</si>
  <si>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</si>
  <si>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</si>
  <si>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</si>
  <si>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</si>
  <si>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</si>
  <si>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</si>
  <si>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</si>
  <si>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</si>
  <si>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</si>
  <si>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</si>
  <si>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</si>
  <si>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</si>
  <si>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</si>
  <si>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</si>
  <si>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</si>
  <si>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</si>
  <si>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</si>
  <si>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</si>
  <si>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</si>
  <si>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</si>
  <si>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</si>
  <si>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</si>
  <si>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</si>
  <si>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</si>
  <si>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</si>
  <si>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</si>
  <si>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</si>
  <si>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</si>
  <si>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</si>
  <si>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</si>
  <si>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</si>
  <si>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</si>
  <si>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</si>
  <si>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</si>
  <si>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</si>
  <si>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</si>
  <si>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</si>
  <si>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</si>
  <si>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</si>
  <si>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</si>
  <si>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</si>
  <si>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</si>
  <si>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</si>
  <si>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</si>
  <si>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</si>
  <si>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</si>
  <si>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</si>
  <si>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</si>
  <si>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</si>
  <si>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</si>
  <si>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</si>
  <si>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</si>
  <si>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</si>
  <si>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</si>
  <si>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</si>
  <si>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</si>
  <si>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</si>
  <si>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</si>
  <si>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</si>
  <si>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</si>
  <si>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</si>
  <si>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</si>
  <si>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</si>
  <si>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</si>
  <si>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</si>
  <si>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</si>
  <si>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</si>
  <si>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</si>
  <si>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</si>
  <si>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</si>
  <si>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</si>
  <si>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</si>
  <si>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</si>
  <si>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</si>
  <si>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</si>
  <si>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</si>
  <si>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</si>
  <si>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</si>
  <si>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</si>
  <si>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</si>
  <si>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</si>
  <si>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</si>
  <si>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</si>
  <si>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</si>
  <si>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</si>
  <si>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</si>
  <si>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</si>
  <si>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</si>
  <si>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</si>
  <si>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</si>
  <si>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</si>
  <si>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</si>
  <si>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</si>
  <si>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</si>
  <si>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</si>
  <si>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</si>
  <si>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</si>
  <si>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</si>
  <si>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</si>
  <si>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</si>
  <si>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</si>
  <si>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</si>
  <si>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</si>
  <si>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</si>
  <si>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</si>
  <si>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</si>
  <si>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</si>
  <si>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</si>
  <si>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</si>
  <si>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</si>
  <si>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</si>
  <si>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</si>
  <si>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</si>
  <si>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</si>
  <si>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</si>
  <si>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</si>
  <si>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</si>
  <si>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</si>
  <si>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STRAFFORD SCHOOL DISTRICT</t>
  </si>
  <si>
    <t>07/10</t>
  </si>
  <si>
    <t>08/30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</si>
</sst>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8502-53DE-42B2-AA71-9A41C39AE1EA}">
  <sheetPr transitionEvaluation="1" transitionEntry="1" codeName="Sheet1">
    <tabColor indexed="56"/>
  </sheetPr>
  <dimension ref="A1:AQ666"/>
  <sheetViews>
    <sheetView tabSelected="1" topLeftCell="A627" zoomScale="75" zoomScaleNormal="100" workbookViewId="0">
      <selection activeCell="L176" sqref="G166:L17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507</v>
      </c>
      <c r="C2" s="21">
        <v>507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2169706.84</v>
      </c>
      <c r="G9" s="18">
        <v>46762.3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>
        <v>1546005.73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7734.79</v>
      </c>
      <c r="G13" s="18"/>
      <c r="H13" s="18"/>
      <c r="I13" s="18"/>
      <c r="J13" s="67">
        <f>SUM(I434)</f>
        <v>360107.25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40692.83</v>
      </c>
      <c r="G14" s="18">
        <v>16756.37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1131.1099999999999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51871.59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2218134.46</v>
      </c>
      <c r="G19" s="41">
        <f>SUM(G9:G18)</f>
        <v>64649.78</v>
      </c>
      <c r="H19" s="41">
        <f>SUM(H9:H18)</f>
        <v>0</v>
      </c>
      <c r="I19" s="41">
        <f>SUM(I9:I18)</f>
        <v>1546005.73</v>
      </c>
      <c r="J19" s="41">
        <f>SUM(J9:J18)</f>
        <v>411978.83999999997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1633347.87</v>
      </c>
      <c r="G23" s="18">
        <v>8773.17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69906.35+4889.67</f>
        <v>74796.02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1708143.8900000001</v>
      </c>
      <c r="G33" s="41">
        <f>SUM(G23:G32)</f>
        <v>8773.17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55876.61</v>
      </c>
      <c r="H41" s="18"/>
      <c r="I41" s="18">
        <v>1546005.73</v>
      </c>
      <c r="J41" s="13">
        <f>SUM(I449)</f>
        <v>411978.84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509990.57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509990.57</v>
      </c>
      <c r="G43" s="41">
        <f>SUM(G35:G42)</f>
        <v>55876.61</v>
      </c>
      <c r="H43" s="41">
        <f>SUM(H35:H42)</f>
        <v>0</v>
      </c>
      <c r="I43" s="41">
        <f>SUM(I35:I42)</f>
        <v>1546005.73</v>
      </c>
      <c r="J43" s="41">
        <f>SUM(J35:J42)</f>
        <v>411978.84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2218134.46</v>
      </c>
      <c r="G44" s="41">
        <f>G43+G33</f>
        <v>64649.78</v>
      </c>
      <c r="H44" s="41">
        <f>H43+H33</f>
        <v>0</v>
      </c>
      <c r="I44" s="41">
        <f>I43+I33</f>
        <v>1546005.73</v>
      </c>
      <c r="J44" s="41">
        <f>J43+J33</f>
        <v>411978.84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6573192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6573192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7563.43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7563.43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5243.55</v>
      </c>
      <c r="G88" s="18"/>
      <c r="H88" s="18"/>
      <c r="I88" s="18"/>
      <c r="J88" s="18">
        <v>579.86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106696.62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1320.86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6564.41</v>
      </c>
      <c r="G103" s="41">
        <f>SUM(G88:G102)</f>
        <v>106696.62</v>
      </c>
      <c r="H103" s="41">
        <f>SUM(H88:H102)</f>
        <v>0</v>
      </c>
      <c r="I103" s="41">
        <f>SUM(I88:I102)</f>
        <v>0</v>
      </c>
      <c r="J103" s="41">
        <f>SUM(J88:J102)</f>
        <v>579.86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6587319.8399999999</v>
      </c>
      <c r="G104" s="41">
        <f>G52+G103</f>
        <v>106696.62</v>
      </c>
      <c r="H104" s="41">
        <f>H52+H71+H86+H103</f>
        <v>0</v>
      </c>
      <c r="I104" s="41">
        <f>I52+I103</f>
        <v>0</v>
      </c>
      <c r="J104" s="41">
        <f>J52+J103</f>
        <v>579.86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2199412.92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1075414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79772.08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3354599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128.13999999999999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2021.88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128.13999999999999</v>
      </c>
      <c r="G128" s="41">
        <f>SUM(G115:G127)</f>
        <v>2021.88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3354727.14</v>
      </c>
      <c r="G132" s="41">
        <f>G113+SUM(G128:G129)</f>
        <v>2021.88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49795.91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27563.59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27563.59</v>
      </c>
      <c r="G154" s="41">
        <f>SUM(G142:G153)</f>
        <v>49795.91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27563.59</v>
      </c>
      <c r="G161" s="41">
        <f>G139+G154+SUM(G155:G160)</f>
        <v>49795.91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5600000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5600000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5600000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9969610.5700000003</v>
      </c>
      <c r="G185" s="47">
        <f>G104+G132+G161+G184</f>
        <v>158514.41</v>
      </c>
      <c r="H185" s="47">
        <f>H104+H132+H161+H184</f>
        <v>0</v>
      </c>
      <c r="I185" s="47">
        <f>I104+I132+I161+I184</f>
        <v>5600000</v>
      </c>
      <c r="J185" s="47">
        <f>J104+J132+J184</f>
        <v>50579.86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13283.98+2620+1761843.11+2640+58520.43+1469.62</f>
        <v>1840377.1400000001</v>
      </c>
      <c r="G189" s="18">
        <f>427807.56+16600.4+2570.01+8586.39+6000+136669.59+3526.19+139548.83+3338.36+4388.12</f>
        <v>749035.45</v>
      </c>
      <c r="H189" s="18">
        <f>1756.75+491.98+9345.53-7</f>
        <v>11587.26</v>
      </c>
      <c r="I189" s="18">
        <f>379.13+2451.38+898.11+164.8+300.33+353.88+1301.19+918.6+375+1097.03+1585.49+13429.91+895.05+167.99+254.2+471.2</f>
        <v>25043.290000000005</v>
      </c>
      <c r="J189" s="18">
        <f>994+259.95+98+25227.98</f>
        <v>26579.93</v>
      </c>
      <c r="K189" s="18">
        <v>1208.6600000000001</v>
      </c>
      <c r="L189" s="19">
        <f>SUM(F189:K189)</f>
        <v>2653831.73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296720.49+303467.29+21291.92+18443.36+13510+2443.79</f>
        <v>655876.85000000009</v>
      </c>
      <c r="G190" s="18">
        <f>264713.54+7293.51+453.6+6000+1000+46403.22+29554.22+23659.33+1245.5+2700.48</f>
        <v>383023.39999999997</v>
      </c>
      <c r="H190" s="18">
        <f>2296.33+713.75+216.5+145880.24</f>
        <v>149106.81999999998</v>
      </c>
      <c r="I190" s="18">
        <f>199.95+241.06+48.49+450+99.57+142.91</f>
        <v>1181.98</v>
      </c>
      <c r="J190" s="18">
        <f>712.44+245.39+16.99</f>
        <v>974.82</v>
      </c>
      <c r="K190" s="18">
        <v>125</v>
      </c>
      <c r="L190" s="19">
        <f>SUM(F190:K190)</f>
        <v>1190288.8700000001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38687.050000000003</v>
      </c>
      <c r="G192" s="18">
        <v>5078.24</v>
      </c>
      <c r="H192" s="18">
        <f>1150+2445+240</f>
        <v>3835</v>
      </c>
      <c r="I192" s="18">
        <f>150+1609.14</f>
        <v>1759.14</v>
      </c>
      <c r="J192" s="18"/>
      <c r="K192" s="18">
        <v>750</v>
      </c>
      <c r="L192" s="19">
        <f>SUM(F192:K192)</f>
        <v>50109.43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500+97064.2+47431.56+3800+109653+22295</f>
        <v>280743.76</v>
      </c>
      <c r="G194" s="18">
        <f>38.25+45.8+14649.75+780.32+131.4+7063.52+4813.64+99.64+225.04+75.6+1000+3995.87+3804.09+99.64+112.5+26697.42+1459.47+195.4+1000+9708.98+2042.26+8794.24+149.46+337.56</f>
        <v>87319.85</v>
      </c>
      <c r="H194" s="18">
        <f>393.7+50755.52</f>
        <v>51149.219999999994</v>
      </c>
      <c r="I194" s="18">
        <f>277+967.17+640.28</f>
        <v>1884.45</v>
      </c>
      <c r="J194" s="18">
        <v>100</v>
      </c>
      <c r="K194" s="18">
        <f>1350+135</f>
        <v>1485</v>
      </c>
      <c r="L194" s="19">
        <f t="shared" ref="L194:L200" si="0">SUM(F194:K194)</f>
        <v>422682.27999999997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60970.21+17199+1085</f>
        <v>79254.209999999992</v>
      </c>
      <c r="G195" s="18">
        <f>122.4+128.32+14022.5+119+31506.34+973.47+75.6+5697.61+1575.42+4889.82+99.64+225.04</f>
        <v>59435.159999999996</v>
      </c>
      <c r="H195" s="18">
        <f>1600+12039.71+260+127.13+2326.1</f>
        <v>16352.939999999999</v>
      </c>
      <c r="I195" s="18">
        <f>174.39+141.89+1380.54+6208.02+9729.26</f>
        <v>17634.099999999999</v>
      </c>
      <c r="J195" s="18"/>
      <c r="K195" s="18"/>
      <c r="L195" s="19">
        <f t="shared" si="0"/>
        <v>172676.41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6597.29</v>
      </c>
      <c r="G196" s="18">
        <v>500.68</v>
      </c>
      <c r="H196" s="18">
        <f>12456.51+179473.8</f>
        <v>191930.31</v>
      </c>
      <c r="I196" s="18"/>
      <c r="J196" s="18"/>
      <c r="K196" s="18">
        <v>50</v>
      </c>
      <c r="L196" s="19">
        <f t="shared" si="0"/>
        <v>199078.28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82097.23+70653.18+59879.16+50628.04</f>
        <v>263257.61</v>
      </c>
      <c r="G197" s="18">
        <f>51971.38+2234.46+752.22+426.77+1000+17341.76+6958.02+12250.68+199.28+450.08</f>
        <v>93584.650000000009</v>
      </c>
      <c r="H197" s="18">
        <f>2798.89+1966.33+1131.91+209.9+85.94</f>
        <v>6192.9699999999984</v>
      </c>
      <c r="I197" s="18">
        <f>227.83+231.96</f>
        <v>459.79</v>
      </c>
      <c r="J197" s="18"/>
      <c r="K197" s="18">
        <f>1904.33+1504.9</f>
        <v>3409.23</v>
      </c>
      <c r="L197" s="19">
        <f t="shared" si="0"/>
        <v>366904.24999999994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23603.64</v>
      </c>
      <c r="G198" s="18">
        <v>17251.2</v>
      </c>
      <c r="H198" s="18">
        <v>1130.27</v>
      </c>
      <c r="I198" s="18">
        <v>2280.02</v>
      </c>
      <c r="J198" s="18"/>
      <c r="K198" s="18"/>
      <c r="L198" s="19">
        <f t="shared" si="0"/>
        <v>44265.12999999999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41830.7+97129.72+495.64+3211.75+6029.14</f>
        <v>148696.95000000001</v>
      </c>
      <c r="G199" s="18">
        <f>46979.28+483.08+75.6+10997.11+11510.63+348.74+562.6</f>
        <v>70957.040000000008</v>
      </c>
      <c r="H199" s="18">
        <f>241.1+150+8465.6+1988.26+1199.38+43.59+8078.16+400+13350+585+28448+338.84+6200.3+1296.13+7450+1991.65+502.35+800+3018.75+3768.73</f>
        <v>88315.839999999997</v>
      </c>
      <c r="I199" s="18">
        <f>18910.47+103.6+1016.3+550.52+610.99+49775.89+16902.2+37868.66</f>
        <v>125738.63</v>
      </c>
      <c r="J199" s="18">
        <f>20693.8+1785+5461.5</f>
        <v>27940.3</v>
      </c>
      <c r="K199" s="18"/>
      <c r="L199" s="19">
        <f t="shared" si="0"/>
        <v>461648.76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342091.27-92282.98</f>
        <v>249808.29000000004</v>
      </c>
      <c r="I200" s="18"/>
      <c r="J200" s="18"/>
      <c r="K200" s="18"/>
      <c r="L200" s="19">
        <f t="shared" si="0"/>
        <v>249808.29000000004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3337094.5</v>
      </c>
      <c r="G203" s="41">
        <f t="shared" si="1"/>
        <v>1466185.6699999997</v>
      </c>
      <c r="H203" s="41">
        <f t="shared" si="1"/>
        <v>769408.92</v>
      </c>
      <c r="I203" s="41">
        <f t="shared" si="1"/>
        <v>175981.40000000002</v>
      </c>
      <c r="J203" s="41">
        <f t="shared" si="1"/>
        <v>55595.05</v>
      </c>
      <c r="K203" s="41">
        <f t="shared" si="1"/>
        <v>7027.8899999999994</v>
      </c>
      <c r="L203" s="41">
        <f t="shared" si="1"/>
        <v>5811293.4300000006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3198055+6818.13</f>
        <v>3204873.13</v>
      </c>
      <c r="I225" s="18"/>
      <c r="J225" s="18"/>
      <c r="K225" s="18"/>
      <c r="L225" s="19">
        <f>SUM(F225:K225)</f>
        <v>3204873.13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469944.75</v>
      </c>
      <c r="I226" s="18"/>
      <c r="J226" s="18"/>
      <c r="K226" s="18"/>
      <c r="L226" s="19">
        <f>SUM(F226:K226)</f>
        <v>469944.75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37237.769999999997</v>
      </c>
      <c r="I230" s="18"/>
      <c r="J230" s="18"/>
      <c r="K230" s="18"/>
      <c r="L230" s="19">
        <f t="shared" ref="L230:L236" si="4">SUM(F230:K230)</f>
        <v>37237.769999999997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3398.61</v>
      </c>
      <c r="G232" s="18">
        <v>257.92</v>
      </c>
      <c r="H232" s="18">
        <f>6416.99+92282.98+198.98</f>
        <v>98898.95</v>
      </c>
      <c r="I232" s="18"/>
      <c r="J232" s="18"/>
      <c r="K232" s="18"/>
      <c r="L232" s="19">
        <f t="shared" si="4"/>
        <v>102555.48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12159.45</v>
      </c>
      <c r="G234" s="18">
        <v>8886.98</v>
      </c>
      <c r="H234" s="18">
        <v>582.26</v>
      </c>
      <c r="I234" s="18">
        <v>1174.55</v>
      </c>
      <c r="J234" s="18"/>
      <c r="K234" s="18"/>
      <c r="L234" s="19">
        <f t="shared" si="4"/>
        <v>22803.239999999998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92282.98</v>
      </c>
      <c r="I236" s="18"/>
      <c r="J236" s="18"/>
      <c r="K236" s="18"/>
      <c r="L236" s="19">
        <f t="shared" si="4"/>
        <v>92282.98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15558.060000000001</v>
      </c>
      <c r="G239" s="41">
        <f t="shared" si="5"/>
        <v>9144.9</v>
      </c>
      <c r="H239" s="41">
        <f t="shared" si="5"/>
        <v>3903819.84</v>
      </c>
      <c r="I239" s="41">
        <f t="shared" si="5"/>
        <v>1174.55</v>
      </c>
      <c r="J239" s="41">
        <f t="shared" si="5"/>
        <v>0</v>
      </c>
      <c r="K239" s="41">
        <f t="shared" si="5"/>
        <v>0</v>
      </c>
      <c r="L239" s="41">
        <f t="shared" si="5"/>
        <v>3929697.35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3352652.56</v>
      </c>
      <c r="G249" s="41">
        <f t="shared" si="8"/>
        <v>1475330.5699999996</v>
      </c>
      <c r="H249" s="41">
        <f t="shared" si="8"/>
        <v>4673228.76</v>
      </c>
      <c r="I249" s="41">
        <f t="shared" si="8"/>
        <v>177155.95</v>
      </c>
      <c r="J249" s="41">
        <f t="shared" si="8"/>
        <v>55595.05</v>
      </c>
      <c r="K249" s="41">
        <f t="shared" si="8"/>
        <v>7027.8899999999994</v>
      </c>
      <c r="L249" s="41">
        <f t="shared" si="8"/>
        <v>9740990.7800000012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133425.98000000001</v>
      </c>
      <c r="L253" s="19">
        <f>SUM(F253:K253)</f>
        <v>133425.98000000001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183425.98</v>
      </c>
      <c r="L262" s="41">
        <f t="shared" si="9"/>
        <v>183425.98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3352652.56</v>
      </c>
      <c r="G263" s="42">
        <f t="shared" si="11"/>
        <v>1475330.5699999996</v>
      </c>
      <c r="H263" s="42">
        <f t="shared" si="11"/>
        <v>4673228.76</v>
      </c>
      <c r="I263" s="42">
        <f t="shared" si="11"/>
        <v>177155.95</v>
      </c>
      <c r="J263" s="42">
        <f t="shared" si="11"/>
        <v>55595.05</v>
      </c>
      <c r="K263" s="42">
        <f t="shared" si="11"/>
        <v>190453.87</v>
      </c>
      <c r="L263" s="42">
        <f t="shared" si="11"/>
        <v>9924416.7600000016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31258.48+36098.45+1881.23</f>
        <v>69238.159999999989</v>
      </c>
      <c r="G350" s="18">
        <f>1000+5334.98+2860.05+298.92+450.08</f>
        <v>9944.0299999999988</v>
      </c>
      <c r="H350" s="18">
        <v>281.45</v>
      </c>
      <c r="I350" s="18">
        <f>2401.49+74.32+64018.57+2442.53</f>
        <v>68936.91</v>
      </c>
      <c r="J350" s="18"/>
      <c r="K350" s="18">
        <v>39.25</v>
      </c>
      <c r="L350" s="13">
        <f>SUM(F350:K350)</f>
        <v>148439.79999999999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69238.159999999989</v>
      </c>
      <c r="G354" s="47">
        <f t="shared" si="22"/>
        <v>9944.0299999999988</v>
      </c>
      <c r="H354" s="47">
        <f t="shared" si="22"/>
        <v>281.45</v>
      </c>
      <c r="I354" s="47">
        <f t="shared" si="22"/>
        <v>68936.91</v>
      </c>
      <c r="J354" s="47">
        <f t="shared" si="22"/>
        <v>0</v>
      </c>
      <c r="K354" s="47">
        <f t="shared" si="22"/>
        <v>39.25</v>
      </c>
      <c r="L354" s="47">
        <f t="shared" si="22"/>
        <v>148439.79999999999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64018.57</v>
      </c>
      <c r="G359" s="18"/>
      <c r="H359" s="18"/>
      <c r="I359" s="56">
        <f>SUM(F359:H359)</f>
        <v>64018.57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4918.34</v>
      </c>
      <c r="G360" s="63"/>
      <c r="H360" s="63"/>
      <c r="I360" s="56">
        <f>SUM(F360:H360)</f>
        <v>4918.34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68936.91</v>
      </c>
      <c r="G361" s="47">
        <f>SUM(G359:G360)</f>
        <v>0</v>
      </c>
      <c r="H361" s="47">
        <f>SUM(H359:H360)</f>
        <v>0</v>
      </c>
      <c r="I361" s="47">
        <f>SUM(I359:I360)</f>
        <v>68936.91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167243.99</v>
      </c>
      <c r="I368" s="18"/>
      <c r="J368" s="18"/>
      <c r="K368" s="18"/>
      <c r="L368" s="13">
        <f t="shared" si="23"/>
        <v>167243.99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3517436.28</v>
      </c>
      <c r="I370" s="18"/>
      <c r="J370" s="18"/>
      <c r="K370" s="18"/>
      <c r="L370" s="13">
        <f t="shared" si="23"/>
        <v>3517436.28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>
        <v>20000</v>
      </c>
      <c r="L372" s="13">
        <f t="shared" si="23"/>
        <v>20000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3684680.2699999996</v>
      </c>
      <c r="I374" s="41">
        <f t="shared" si="24"/>
        <v>0</v>
      </c>
      <c r="J374" s="47">
        <f t="shared" si="24"/>
        <v>0</v>
      </c>
      <c r="K374" s="47">
        <f t="shared" si="24"/>
        <v>20000</v>
      </c>
      <c r="L374" s="47">
        <f t="shared" si="24"/>
        <v>3704680.2699999996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50000</v>
      </c>
      <c r="H384" s="18">
        <v>579.86</v>
      </c>
      <c r="I384" s="18"/>
      <c r="J384" s="24" t="s">
        <v>312</v>
      </c>
      <c r="K384" s="24" t="s">
        <v>312</v>
      </c>
      <c r="L384" s="56">
        <f t="shared" si="25"/>
        <v>50579.86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50000</v>
      </c>
      <c r="H385" s="139">
        <f>SUM(H379:H384)</f>
        <v>579.86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50579.86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579.86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50579.86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360107.25</v>
      </c>
      <c r="G434" s="18"/>
      <c r="H434" s="18"/>
      <c r="I434" s="56">
        <f t="shared" si="33"/>
        <v>360107.25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f>26838.2+25033.39</f>
        <v>51871.59</v>
      </c>
      <c r="G437" s="18"/>
      <c r="H437" s="18"/>
      <c r="I437" s="56">
        <f t="shared" si="33"/>
        <v>51871.59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411978.83999999997</v>
      </c>
      <c r="G438" s="13">
        <f>SUM(G431:G437)</f>
        <v>0</v>
      </c>
      <c r="H438" s="13">
        <f>SUM(H431:H437)</f>
        <v>0</v>
      </c>
      <c r="I438" s="13">
        <f>SUM(I431:I437)</f>
        <v>411978.83999999997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411978.84</v>
      </c>
      <c r="G449" s="18"/>
      <c r="H449" s="18"/>
      <c r="I449" s="56">
        <f>SUM(F449:H449)</f>
        <v>411978.84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411978.84</v>
      </c>
      <c r="G450" s="83">
        <f>SUM(G446:G449)</f>
        <v>0</v>
      </c>
      <c r="H450" s="83">
        <f>SUM(H446:H449)</f>
        <v>0</v>
      </c>
      <c r="I450" s="83">
        <f>SUM(I446:I449)</f>
        <v>411978.84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411978.84</v>
      </c>
      <c r="G451" s="42">
        <f>G444+G450</f>
        <v>0</v>
      </c>
      <c r="H451" s="42">
        <f>H444+H450</f>
        <v>0</v>
      </c>
      <c r="I451" s="42">
        <f>I444+I450</f>
        <v>411978.84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464796.76</v>
      </c>
      <c r="G455" s="18">
        <v>45802</v>
      </c>
      <c r="H455" s="18"/>
      <c r="I455" s="18">
        <v>-349314</v>
      </c>
      <c r="J455" s="18">
        <v>361398.98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9969610.5700000003</v>
      </c>
      <c r="G458" s="18">
        <v>158514.41399999999</v>
      </c>
      <c r="H458" s="18"/>
      <c r="I458" s="18">
        <v>5600000</v>
      </c>
      <c r="J458" s="18">
        <v>50579.86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9969610.5700000003</v>
      </c>
      <c r="G460" s="53">
        <f>SUM(G458:G459)</f>
        <v>158514.41399999999</v>
      </c>
      <c r="H460" s="53">
        <f>SUM(H458:H459)</f>
        <v>0</v>
      </c>
      <c r="I460" s="53">
        <f>SUM(I458:I459)</f>
        <v>5600000</v>
      </c>
      <c r="J460" s="53">
        <f>SUM(J458:J459)</f>
        <v>50579.86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9924416.7599999998</v>
      </c>
      <c r="G462" s="18">
        <v>148439.79999999999</v>
      </c>
      <c r="H462" s="18"/>
      <c r="I462" s="18">
        <v>3704680.27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9924416.7599999998</v>
      </c>
      <c r="G464" s="53">
        <f>SUM(G462:G463)</f>
        <v>148439.79999999999</v>
      </c>
      <c r="H464" s="53">
        <f>SUM(H462:H463)</f>
        <v>0</v>
      </c>
      <c r="I464" s="53">
        <f>SUM(I462:I463)</f>
        <v>3704680.27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509990.5700000003</v>
      </c>
      <c r="G466" s="53">
        <f>(G455+G460)- G464</f>
        <v>55876.614000000001</v>
      </c>
      <c r="H466" s="53">
        <f>(H455+H460)- H464</f>
        <v>0</v>
      </c>
      <c r="I466" s="53">
        <f>(I455+I460)- I464</f>
        <v>1546005.73</v>
      </c>
      <c r="J466" s="53">
        <f>(J455+J460)- J464</f>
        <v>411978.83999999997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5234500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3.9851000000000001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5234500</v>
      </c>
      <c r="G485" s="18"/>
      <c r="H485" s="18"/>
      <c r="I485" s="18"/>
      <c r="J485" s="18"/>
      <c r="K485" s="53">
        <f>SUM(F485:J485)</f>
        <v>5234500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5234500</v>
      </c>
      <c r="G488" s="205"/>
      <c r="H488" s="205"/>
      <c r="I488" s="205"/>
      <c r="J488" s="205"/>
      <c r="K488" s="206">
        <f t="shared" si="34"/>
        <v>5234500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3013697</v>
      </c>
      <c r="G489" s="18"/>
      <c r="H489" s="18"/>
      <c r="I489" s="18"/>
      <c r="J489" s="18"/>
      <c r="K489" s="53">
        <f t="shared" si="34"/>
        <v>3013697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8248197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8248197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174500</v>
      </c>
      <c r="G491" s="205"/>
      <c r="H491" s="205"/>
      <c r="I491" s="205"/>
      <c r="J491" s="205"/>
      <c r="K491" s="206">
        <f t="shared" si="34"/>
        <v>174500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233128</v>
      </c>
      <c r="G492" s="18"/>
      <c r="H492" s="18"/>
      <c r="I492" s="18"/>
      <c r="J492" s="18"/>
      <c r="K492" s="53">
        <f t="shared" si="34"/>
        <v>233128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407628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407628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296720.49+303467.29+21291.92+18443.36+13510+2443.79</f>
        <v>655876.85000000009</v>
      </c>
      <c r="G511" s="18">
        <f>264713.54+7293.51+453.6+6000+1000+46403.22+29554.22+23659.33+1245.5+2700.48</f>
        <v>383023.39999999997</v>
      </c>
      <c r="H511" s="18">
        <f>2296.33+713.75+216.5+145880.24</f>
        <v>149106.81999999998</v>
      </c>
      <c r="I511" s="18">
        <f>199.95+241.06+48.49+450+99.57+142.91</f>
        <v>1181.98</v>
      </c>
      <c r="J511" s="18">
        <f>712.44+245.39+16.99</f>
        <v>974.82</v>
      </c>
      <c r="K511" s="18">
        <v>125</v>
      </c>
      <c r="L511" s="88">
        <f>SUM(F511:K511)</f>
        <v>1190288.8700000001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469944.75</v>
      </c>
      <c r="I513" s="18"/>
      <c r="J513" s="18"/>
      <c r="K513" s="18"/>
      <c r="L513" s="88">
        <f>SUM(F513:K513)</f>
        <v>469944.75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655876.85000000009</v>
      </c>
      <c r="G514" s="108">
        <f t="shared" ref="G514:L514" si="35">SUM(G511:G513)</f>
        <v>383023.39999999997</v>
      </c>
      <c r="H514" s="108">
        <f t="shared" si="35"/>
        <v>619051.56999999995</v>
      </c>
      <c r="I514" s="108">
        <f t="shared" si="35"/>
        <v>1181.98</v>
      </c>
      <c r="J514" s="108">
        <f t="shared" si="35"/>
        <v>974.82</v>
      </c>
      <c r="K514" s="108">
        <f t="shared" si="35"/>
        <v>125</v>
      </c>
      <c r="L514" s="89">
        <f t="shared" si="35"/>
        <v>1660233.62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131948</v>
      </c>
      <c r="G516" s="18">
        <v>50384.79</v>
      </c>
      <c r="H516" s="18">
        <v>50755.519999999997</v>
      </c>
      <c r="I516" s="18">
        <v>1244.17</v>
      </c>
      <c r="J516" s="18">
        <v>100</v>
      </c>
      <c r="K516" s="18"/>
      <c r="L516" s="88">
        <f>SUM(F516:K516)</f>
        <v>234432.48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37237.769999999997</v>
      </c>
      <c r="I518" s="18"/>
      <c r="J518" s="18"/>
      <c r="K518" s="18"/>
      <c r="L518" s="88">
        <f>SUM(F518:K518)</f>
        <v>37237.769999999997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131948</v>
      </c>
      <c r="G519" s="89">
        <f t="shared" ref="G519:L519" si="36">SUM(G516:G518)</f>
        <v>50384.79</v>
      </c>
      <c r="H519" s="89">
        <f t="shared" si="36"/>
        <v>87993.29</v>
      </c>
      <c r="I519" s="89">
        <f t="shared" si="36"/>
        <v>1244.17</v>
      </c>
      <c r="J519" s="89">
        <f t="shared" si="36"/>
        <v>100</v>
      </c>
      <c r="K519" s="89">
        <f t="shared" si="36"/>
        <v>0</v>
      </c>
      <c r="L519" s="89">
        <f t="shared" si="36"/>
        <v>271670.25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41075.64</v>
      </c>
      <c r="G521" s="18">
        <v>20096.59</v>
      </c>
      <c r="H521" s="18">
        <v>1550.77</v>
      </c>
      <c r="I521" s="18">
        <v>576.55999999999995</v>
      </c>
      <c r="J521" s="18"/>
      <c r="K521" s="18"/>
      <c r="L521" s="88">
        <f>SUM(F521:K521)</f>
        <v>63299.55999999999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21108.31</v>
      </c>
      <c r="G523" s="18">
        <v>10327.42</v>
      </c>
      <c r="H523" s="18">
        <v>796.92</v>
      </c>
      <c r="I523" s="18">
        <v>296.29000000000002</v>
      </c>
      <c r="J523" s="18"/>
      <c r="K523" s="18"/>
      <c r="L523" s="88">
        <f>SUM(F523:K523)</f>
        <v>32528.940000000002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62183.95</v>
      </c>
      <c r="G524" s="89">
        <f t="shared" ref="G524:L524" si="37">SUM(G521:G523)</f>
        <v>30424.010000000002</v>
      </c>
      <c r="H524" s="89">
        <f t="shared" si="37"/>
        <v>2347.69</v>
      </c>
      <c r="I524" s="89">
        <f t="shared" si="37"/>
        <v>872.84999999999991</v>
      </c>
      <c r="J524" s="89">
        <f t="shared" si="37"/>
        <v>0</v>
      </c>
      <c r="K524" s="89">
        <f t="shared" si="37"/>
        <v>0</v>
      </c>
      <c r="L524" s="89">
        <f t="shared" si="37"/>
        <v>95828.5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68751.11</v>
      </c>
      <c r="I531" s="18"/>
      <c r="J531" s="18"/>
      <c r="K531" s="18"/>
      <c r="L531" s="88">
        <f>SUM(F531:K531)</f>
        <v>68751.11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68751.11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68751.11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850008.8</v>
      </c>
      <c r="G535" s="89">
        <f t="shared" ref="G535:L535" si="40">G514+G519+G524+G529+G534</f>
        <v>463832.19999999995</v>
      </c>
      <c r="H535" s="89">
        <f t="shared" si="40"/>
        <v>778143.65999999992</v>
      </c>
      <c r="I535" s="89">
        <f t="shared" si="40"/>
        <v>3299</v>
      </c>
      <c r="J535" s="89">
        <f t="shared" si="40"/>
        <v>1074.8200000000002</v>
      </c>
      <c r="K535" s="89">
        <f t="shared" si="40"/>
        <v>125</v>
      </c>
      <c r="L535" s="89">
        <f t="shared" si="40"/>
        <v>2096483.4800000002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1190288.8700000001</v>
      </c>
      <c r="G539" s="87">
        <f>L516</f>
        <v>234432.48</v>
      </c>
      <c r="H539" s="87">
        <f>L521</f>
        <v>63299.55999999999</v>
      </c>
      <c r="I539" s="87">
        <f>L526</f>
        <v>0</v>
      </c>
      <c r="J539" s="87">
        <f>L531</f>
        <v>68751.11</v>
      </c>
      <c r="K539" s="87">
        <f>SUM(F539:J539)</f>
        <v>1556772.0200000003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469944.75</v>
      </c>
      <c r="G541" s="87">
        <f>L518</f>
        <v>37237.769999999997</v>
      </c>
      <c r="H541" s="87">
        <f>L523</f>
        <v>32528.940000000002</v>
      </c>
      <c r="I541" s="87">
        <f>L528</f>
        <v>0</v>
      </c>
      <c r="J541" s="87">
        <f>L533</f>
        <v>0</v>
      </c>
      <c r="K541" s="87">
        <f>SUM(F541:J541)</f>
        <v>539711.46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1660233.62</v>
      </c>
      <c r="G542" s="89">
        <f t="shared" si="41"/>
        <v>271670.25</v>
      </c>
      <c r="H542" s="89">
        <f t="shared" si="41"/>
        <v>95828.5</v>
      </c>
      <c r="I542" s="89">
        <f t="shared" si="41"/>
        <v>0</v>
      </c>
      <c r="J542" s="89">
        <f t="shared" si="41"/>
        <v>68751.11</v>
      </c>
      <c r="K542" s="89">
        <f t="shared" si="41"/>
        <v>2096483.4800000002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8465.9500000000007</v>
      </c>
      <c r="I552" s="18"/>
      <c r="J552" s="18"/>
      <c r="K552" s="18"/>
      <c r="L552" s="88">
        <f>SUM(F552:K552)</f>
        <v>8465.9500000000007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8465.9500000000007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8465.9500000000007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8465.9500000000007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8465.9500000000007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6818.13</v>
      </c>
      <c r="I565" s="87">
        <f>SUM(F565:H565)</f>
        <v>6818.13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3198055</v>
      </c>
      <c r="I567" s="87">
        <f t="shared" si="46"/>
        <v>3198055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3145.12</v>
      </c>
      <c r="I569" s="87">
        <f t="shared" si="46"/>
        <v>3145.12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375962.71</v>
      </c>
      <c r="I571" s="87">
        <f t="shared" si="46"/>
        <v>375962.71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236933.66</v>
      </c>
      <c r="I572" s="87">
        <f t="shared" si="46"/>
        <v>236933.66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177797.02</v>
      </c>
      <c r="I581" s="18"/>
      <c r="J581" s="18">
        <v>92282.98</v>
      </c>
      <c r="K581" s="104">
        <f t="shared" ref="K581:K587" si="47">SUM(H581:J581)</f>
        <v>270080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68751.11</v>
      </c>
      <c r="I582" s="18"/>
      <c r="J582" s="18"/>
      <c r="K582" s="104">
        <f t="shared" si="47"/>
        <v>68751.11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2087.0300000000002</v>
      </c>
      <c r="I584" s="18"/>
      <c r="J584" s="18"/>
      <c r="K584" s="104">
        <f t="shared" si="47"/>
        <v>2087.0300000000002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1173.1300000000001</v>
      </c>
      <c r="I585" s="18"/>
      <c r="J585" s="18"/>
      <c r="K585" s="104">
        <f t="shared" si="47"/>
        <v>1173.1300000000001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249808.29</v>
      </c>
      <c r="I588" s="108">
        <f>SUM(I581:I587)</f>
        <v>0</v>
      </c>
      <c r="J588" s="108">
        <f>SUM(J581:J587)</f>
        <v>92282.98</v>
      </c>
      <c r="K588" s="108">
        <f>SUM(K581:K587)</f>
        <v>342091.27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994+259.95+98+25227.98+712.44+245.39+16.99+100+20693.8+1785+5461.5</f>
        <v>55595.05</v>
      </c>
      <c r="I594" s="18"/>
      <c r="J594" s="18"/>
      <c r="K594" s="104">
        <f>SUM(H594:J594)</f>
        <v>55595.05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55595.05</v>
      </c>
      <c r="I595" s="108">
        <f>SUM(I592:I594)</f>
        <v>0</v>
      </c>
      <c r="J595" s="108">
        <f>SUM(J592:J594)</f>
        <v>0</v>
      </c>
      <c r="K595" s="108">
        <f>SUM(K592:K594)</f>
        <v>55595.05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9190.34+5400</f>
        <v>14590.34</v>
      </c>
      <c r="G601" s="18">
        <f>1109.27+247.32+888.02</f>
        <v>2244.6099999999997</v>
      </c>
      <c r="H601" s="18"/>
      <c r="I601" s="18"/>
      <c r="J601" s="18"/>
      <c r="K601" s="18"/>
      <c r="L601" s="88">
        <f>SUM(F601:K601)</f>
        <v>16834.95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14590.34</v>
      </c>
      <c r="G604" s="108">
        <f t="shared" si="48"/>
        <v>2244.6099999999997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16834.95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2218134.46</v>
      </c>
      <c r="H607" s="109">
        <f>SUM(F44)</f>
        <v>2218134.46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64649.78</v>
      </c>
      <c r="H608" s="109">
        <f>SUM(G44)</f>
        <v>64649.78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1546005.73</v>
      </c>
      <c r="H610" s="109">
        <f>SUM(I44)</f>
        <v>1546005.73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411978.83999999997</v>
      </c>
      <c r="H611" s="109">
        <f>SUM(J44)</f>
        <v>411978.84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509990.57</v>
      </c>
      <c r="H612" s="109">
        <f>F466</f>
        <v>509990.5700000003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55876.61</v>
      </c>
      <c r="H613" s="109">
        <f>G466</f>
        <v>55876.614000000001</v>
      </c>
      <c r="I613" s="121" t="s">
        <v>108</v>
      </c>
      <c r="J613" s="109">
        <f t="shared" si="49"/>
        <v>-4.0000000008149073E-3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1546005.73</v>
      </c>
      <c r="H615" s="109">
        <f>I466</f>
        <v>1546005.73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411978.84</v>
      </c>
      <c r="H616" s="109">
        <f>J466</f>
        <v>411978.83999999997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9969610.5700000003</v>
      </c>
      <c r="H617" s="104">
        <f>SUM(F458)</f>
        <v>9969610.5700000003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158514.41</v>
      </c>
      <c r="H618" s="104">
        <f>SUM(G458)</f>
        <v>158514.41399999999</v>
      </c>
      <c r="I618" s="140" t="s">
        <v>116</v>
      </c>
      <c r="J618" s="109">
        <f>G618-H618</f>
        <v>-3.999999986262992E-3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5600000</v>
      </c>
      <c r="H620" s="104">
        <f>SUM(I458)</f>
        <v>5600000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50579.86</v>
      </c>
      <c r="H621" s="104">
        <f>SUM(J458)</f>
        <v>50579.86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9924416.7600000016</v>
      </c>
      <c r="H622" s="104">
        <f>SUM(F462)</f>
        <v>9924416.7599999998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68936.91</v>
      </c>
      <c r="H624" s="104">
        <f>I361</f>
        <v>68936.91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148439.79999999999</v>
      </c>
      <c r="H625" s="104">
        <f>SUM(G462)</f>
        <v>148439.79999999999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3704680.2699999996</v>
      </c>
      <c r="H626" s="104">
        <f>SUM(I462)</f>
        <v>3704680.27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50579.86</v>
      </c>
      <c r="H627" s="164">
        <f>SUM(J458)</f>
        <v>50579.86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411978.83999999997</v>
      </c>
      <c r="H629" s="104">
        <f>SUM(F451)</f>
        <v>411978.84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411978.83999999997</v>
      </c>
      <c r="H632" s="104">
        <f>SUM(I451)</f>
        <v>411978.84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579.86</v>
      </c>
      <c r="H634" s="104">
        <f>H400</f>
        <v>579.86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50579.86</v>
      </c>
      <c r="H636" s="104">
        <f>L400</f>
        <v>50579.86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342091.27</v>
      </c>
      <c r="H637" s="104">
        <f>L200+L218+L236</f>
        <v>342091.27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55595.05</v>
      </c>
      <c r="H638" s="104">
        <f>(J249+J330)-(J247+J328)</f>
        <v>55595.05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249808.29000000004</v>
      </c>
      <c r="H639" s="104">
        <f>H588</f>
        <v>249808.29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92282.98</v>
      </c>
      <c r="H641" s="104">
        <f>J588</f>
        <v>92282.98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-8.0000013113021851E-3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5959733.2300000004</v>
      </c>
      <c r="G650" s="19">
        <f>(L221+L301+L351)</f>
        <v>0</v>
      </c>
      <c r="H650" s="19">
        <f>(L239+L320+L352)</f>
        <v>3929697.35</v>
      </c>
      <c r="I650" s="19">
        <f>SUM(F650:H650)</f>
        <v>9889430.5800000001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106696.62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106696.62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249808.29000000004</v>
      </c>
      <c r="G652" s="19">
        <f>(L218+L298)-(J218+J298)</f>
        <v>0</v>
      </c>
      <c r="H652" s="19">
        <f>(L236+L317)-(J236+J317)</f>
        <v>92282.98</v>
      </c>
      <c r="I652" s="19">
        <f>SUM(F652:H652)</f>
        <v>342091.27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72430</v>
      </c>
      <c r="G653" s="200">
        <f>SUM(G565:G577)+SUM(I592:I594)+L602</f>
        <v>0</v>
      </c>
      <c r="H653" s="200">
        <f>SUM(H565:H577)+SUM(J592:J594)+L603</f>
        <v>3820914.62</v>
      </c>
      <c r="I653" s="19">
        <f>SUM(F653:H653)</f>
        <v>3893344.62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5530798.3200000003</v>
      </c>
      <c r="G654" s="19">
        <f>G650-SUM(G651:G653)</f>
        <v>0</v>
      </c>
      <c r="H654" s="19">
        <f>H650-SUM(H651:H653)</f>
        <v>16499.75</v>
      </c>
      <c r="I654" s="19">
        <f>I650-SUM(I651:I653)</f>
        <v>5547298.0700000003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429.45</v>
      </c>
      <c r="G655" s="249"/>
      <c r="H655" s="249"/>
      <c r="I655" s="19">
        <f>SUM(F655:H655)</f>
        <v>429.45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12878.79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12917.22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-16499.75</v>
      </c>
      <c r="I659" s="19">
        <f>SUM(F659:H659)</f>
        <v>-16499.75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12878.79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12878.79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2851-85A9-4F3A-9E2E-D4938588846A}">
  <sheetPr>
    <tabColor indexed="20"/>
  </sheetPr>
  <dimension ref="A1:C52"/>
  <sheetViews>
    <sheetView topLeftCell="A25" workbookViewId="0">
      <selection activeCell="G25" sqref="G2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STRAFFORD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1840377.1400000001</v>
      </c>
      <c r="C9" s="230">
        <f>'DOE25'!G189+'DOE25'!G207+'DOE25'!G225+'DOE25'!G268+'DOE25'!G287+'DOE25'!G306</f>
        <v>749035.45</v>
      </c>
    </row>
    <row r="10" spans="1:3" x14ac:dyDescent="0.2">
      <c r="A10" t="s">
        <v>810</v>
      </c>
      <c r="B10" s="241">
        <f>1761843.11</f>
        <v>1761843.11</v>
      </c>
      <c r="C10" s="241">
        <f>427807.56+16600.4+2570.01+8586.39+6000+139548.83+3338.36+4388.12+134781</f>
        <v>743620.67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f>13283.98+2620+2640+58520.43+1469.62</f>
        <v>78534.03</v>
      </c>
      <c r="C12" s="241">
        <f>3526.19+4767.83-2879.24</f>
        <v>5414.7800000000007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1840377.1400000001</v>
      </c>
      <c r="C13" s="232">
        <f>SUM(C10:C12)</f>
        <v>749035.45000000007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655876.85000000009</v>
      </c>
      <c r="C18" s="230">
        <f>'DOE25'!G190+'DOE25'!G208+'DOE25'!G226+'DOE25'!G269+'DOE25'!G288+'DOE25'!G307</f>
        <v>383023.39999999997</v>
      </c>
    </row>
    <row r="19" spans="1:3" x14ac:dyDescent="0.2">
      <c r="A19" t="s">
        <v>810</v>
      </c>
      <c r="B19" s="241">
        <f>296720.49+2443.79</f>
        <v>299164.27999999997</v>
      </c>
      <c r="C19" s="241">
        <f>453.6+1000+23659.33+645.5+1700+5293.51+74154.31+22699.12+483.12+483.12+483.12</f>
        <v>131054.72999999998</v>
      </c>
    </row>
    <row r="20" spans="1:3" x14ac:dyDescent="0.2">
      <c r="A20" t="s">
        <v>811</v>
      </c>
      <c r="B20" s="241">
        <v>303467.28999999998</v>
      </c>
      <c r="C20" s="241">
        <v>232370.75</v>
      </c>
    </row>
    <row r="21" spans="1:3" x14ac:dyDescent="0.2">
      <c r="A21" t="s">
        <v>812</v>
      </c>
      <c r="B21" s="241">
        <f>21291.92+18443.36+13510</f>
        <v>53245.279999999999</v>
      </c>
      <c r="C21" s="241">
        <f>1628.83+17969.09</f>
        <v>19597.919999999998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655876.85</v>
      </c>
      <c r="C22" s="232">
        <f>SUM(C19:C21)</f>
        <v>383023.39999999997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38687.050000000003</v>
      </c>
      <c r="C36" s="236">
        <f>'DOE25'!G192+'DOE25'!G210+'DOE25'!G228+'DOE25'!G271+'DOE25'!G290+'DOE25'!G309</f>
        <v>5078.24</v>
      </c>
    </row>
    <row r="37" spans="1:3" x14ac:dyDescent="0.2">
      <c r="A37" t="s">
        <v>810</v>
      </c>
      <c r="B37" s="241">
        <v>32271.21</v>
      </c>
      <c r="C37" s="241">
        <v>4024.98</v>
      </c>
    </row>
    <row r="38" spans="1:3" x14ac:dyDescent="0.2">
      <c r="A38" t="s">
        <v>811</v>
      </c>
      <c r="B38" s="241">
        <f>2500+1125+875+875+1040.84</f>
        <v>6415.84</v>
      </c>
      <c r="C38" s="241">
        <f>241.22+91.6+247.32+473.12</f>
        <v>1053.26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38687.050000000003</v>
      </c>
      <c r="C40" s="232">
        <f>SUM(C37:C39)</f>
        <v>5078.24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8D2C-A149-48C2-B149-9FBD6AA151E5}">
  <sheetPr>
    <tabColor indexed="11"/>
  </sheetPr>
  <dimension ref="A1:I51"/>
  <sheetViews>
    <sheetView zoomScale="125" zoomScaleNormal="125" workbookViewId="0">
      <pane ySplit="4" topLeftCell="A17" activePane="bottomLeft" state="frozen"/>
      <selection pane="bottomLeft" activeCell="F19" sqref="F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STRAFFORD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7569047.9100000001</v>
      </c>
      <c r="D5" s="20">
        <f>SUM('DOE25'!L189:L192)+SUM('DOE25'!L207:L210)+SUM('DOE25'!L225:L228)-F5-G5</f>
        <v>7539409.5</v>
      </c>
      <c r="E5" s="244"/>
      <c r="F5" s="256">
        <f>SUM('DOE25'!J189:J192)+SUM('DOE25'!J207:J210)+SUM('DOE25'!J225:J228)</f>
        <v>27554.75</v>
      </c>
      <c r="G5" s="53">
        <f>SUM('DOE25'!K189:K192)+SUM('DOE25'!K207:K210)+SUM('DOE25'!K225:K228)</f>
        <v>2083.66</v>
      </c>
      <c r="H5" s="260"/>
    </row>
    <row r="6" spans="1:9" x14ac:dyDescent="0.2">
      <c r="A6" s="32">
        <v>2100</v>
      </c>
      <c r="B6" t="s">
        <v>832</v>
      </c>
      <c r="C6" s="246">
        <f t="shared" si="0"/>
        <v>459920.05</v>
      </c>
      <c r="D6" s="20">
        <f>'DOE25'!L194+'DOE25'!L212+'DOE25'!L230-F6-G6</f>
        <v>458335.05</v>
      </c>
      <c r="E6" s="244"/>
      <c r="F6" s="256">
        <f>'DOE25'!J194+'DOE25'!J212+'DOE25'!J230</f>
        <v>100</v>
      </c>
      <c r="G6" s="53">
        <f>'DOE25'!K194+'DOE25'!K212+'DOE25'!K230</f>
        <v>1485</v>
      </c>
      <c r="H6" s="260"/>
    </row>
    <row r="7" spans="1:9" x14ac:dyDescent="0.2">
      <c r="A7" s="32">
        <v>2200</v>
      </c>
      <c r="B7" t="s">
        <v>865</v>
      </c>
      <c r="C7" s="246">
        <f t="shared" si="0"/>
        <v>172676.41</v>
      </c>
      <c r="D7" s="20">
        <f>'DOE25'!L195+'DOE25'!L213+'DOE25'!L231-F7-G7</f>
        <v>172676.41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185849.11000000002</v>
      </c>
      <c r="D8" s="244"/>
      <c r="E8" s="20">
        <f>'DOE25'!L196+'DOE25'!L214+'DOE25'!L232-F8-G8-D9-D11</f>
        <v>185799.11000000002</v>
      </c>
      <c r="F8" s="256">
        <f>'DOE25'!J196+'DOE25'!J214+'DOE25'!J232</f>
        <v>0</v>
      </c>
      <c r="G8" s="53">
        <f>'DOE25'!K196+'DOE25'!K214+'DOE25'!K232</f>
        <v>50</v>
      </c>
      <c r="H8" s="260"/>
    </row>
    <row r="9" spans="1:9" x14ac:dyDescent="0.2">
      <c r="A9" s="32">
        <v>2310</v>
      </c>
      <c r="B9" t="s">
        <v>849</v>
      </c>
      <c r="C9" s="246">
        <f t="shared" si="0"/>
        <v>33784.300000000003</v>
      </c>
      <c r="D9" s="245">
        <v>33784.300000000003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9650</v>
      </c>
      <c r="D10" s="244"/>
      <c r="E10" s="245">
        <v>9650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82000.350000000006</v>
      </c>
      <c r="D11" s="245">
        <v>82000.350000000006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366904.24999999994</v>
      </c>
      <c r="D12" s="20">
        <f>'DOE25'!L197+'DOE25'!L215+'DOE25'!L233-F12-G12</f>
        <v>363495.01999999996</v>
      </c>
      <c r="E12" s="244"/>
      <c r="F12" s="256">
        <f>'DOE25'!J197+'DOE25'!J215+'DOE25'!J233</f>
        <v>0</v>
      </c>
      <c r="G12" s="53">
        <f>'DOE25'!K197+'DOE25'!K215+'DOE25'!K233</f>
        <v>3409.23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67068.37</v>
      </c>
      <c r="D13" s="244"/>
      <c r="E13" s="20">
        <f>'DOE25'!L198+'DOE25'!L216+'DOE25'!L234-F13-G13</f>
        <v>67068.37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461648.76</v>
      </c>
      <c r="D14" s="20">
        <f>'DOE25'!L199+'DOE25'!L217+'DOE25'!L235-F14-G14</f>
        <v>433708.46</v>
      </c>
      <c r="E14" s="244"/>
      <c r="F14" s="256">
        <f>'DOE25'!J199+'DOE25'!J217+'DOE25'!J235</f>
        <v>27940.3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342091.27</v>
      </c>
      <c r="D15" s="20">
        <f>'DOE25'!L200+'DOE25'!L218+'DOE25'!L236-F15-G15</f>
        <v>342091.27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133425.98000000001</v>
      </c>
      <c r="D25" s="244"/>
      <c r="E25" s="244"/>
      <c r="F25" s="259"/>
      <c r="G25" s="257"/>
      <c r="H25" s="258">
        <f>'DOE25'!L252+'DOE25'!L253+'DOE25'!L333+'DOE25'!L334</f>
        <v>133425.98000000001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84421.229999999981</v>
      </c>
      <c r="D29" s="20">
        <f>'DOE25'!L350+'DOE25'!L351+'DOE25'!L352-'DOE25'!I359-F29-G29</f>
        <v>84381.979999999981</v>
      </c>
      <c r="E29" s="244"/>
      <c r="F29" s="256">
        <f>'DOE25'!J350+'DOE25'!J351+'DOE25'!J352</f>
        <v>0</v>
      </c>
      <c r="G29" s="53">
        <f>'DOE25'!K350+'DOE25'!K351+'DOE25'!K352</f>
        <v>39.25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9509882.3399999999</v>
      </c>
      <c r="E33" s="247">
        <f>SUM(E5:E31)</f>
        <v>262517.48</v>
      </c>
      <c r="F33" s="247">
        <f>SUM(F5:F31)</f>
        <v>55595.05</v>
      </c>
      <c r="G33" s="247">
        <f>SUM(G5:G31)</f>
        <v>7067.1399999999994</v>
      </c>
      <c r="H33" s="247">
        <f>SUM(H5:H31)</f>
        <v>133425.98000000001</v>
      </c>
    </row>
    <row r="35" spans="2:8" ht="12" thickBot="1" x14ac:dyDescent="0.25">
      <c r="B35" s="254" t="s">
        <v>878</v>
      </c>
      <c r="D35" s="255">
        <f>E33</f>
        <v>262517.48</v>
      </c>
      <c r="E35" s="250"/>
    </row>
    <row r="36" spans="2:8" ht="12" thickTop="1" x14ac:dyDescent="0.2">
      <c r="B36" t="s">
        <v>846</v>
      </c>
      <c r="D36" s="20">
        <f>D33</f>
        <v>9509882.3399999999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EC41-BE19-43E8-A695-E14141B5D32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STRAFFORD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2169706.84</v>
      </c>
      <c r="D9" s="95">
        <f>'DOE25'!G9</f>
        <v>46762.3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1546005.73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7734.79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360107.25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40692.83</v>
      </c>
      <c r="D14" s="95">
        <f>'DOE25'!G14</f>
        <v>16756.37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1131.1099999999999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51871.59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2218134.46</v>
      </c>
      <c r="D19" s="41">
        <f>SUM(D9:D18)</f>
        <v>64649.78</v>
      </c>
      <c r="E19" s="41">
        <f>SUM(E9:E18)</f>
        <v>0</v>
      </c>
      <c r="F19" s="41">
        <f>SUM(F9:F18)</f>
        <v>1546005.73</v>
      </c>
      <c r="G19" s="41">
        <f>SUM(G9:G18)</f>
        <v>411978.83999999997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1633347.87</v>
      </c>
      <c r="D22" s="95">
        <f>'DOE25'!G23</f>
        <v>8773.17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74796.02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1708143.8900000001</v>
      </c>
      <c r="D32" s="41">
        <f>SUM(D22:D31)</f>
        <v>8773.17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55876.61</v>
      </c>
      <c r="E40" s="95">
        <f>'DOE25'!H41</f>
        <v>0</v>
      </c>
      <c r="F40" s="95">
        <f>'DOE25'!I41</f>
        <v>1546005.73</v>
      </c>
      <c r="G40" s="95">
        <f>'DOE25'!J41</f>
        <v>411978.84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509990.57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509990.57</v>
      </c>
      <c r="D42" s="41">
        <f>SUM(D34:D41)</f>
        <v>55876.61</v>
      </c>
      <c r="E42" s="41">
        <f>SUM(E34:E41)</f>
        <v>0</v>
      </c>
      <c r="F42" s="41">
        <f>SUM(F34:F41)</f>
        <v>1546005.73</v>
      </c>
      <c r="G42" s="41">
        <f>SUM(G34:G41)</f>
        <v>411978.84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2218134.46</v>
      </c>
      <c r="D43" s="41">
        <f>D42+D32</f>
        <v>64649.78</v>
      </c>
      <c r="E43" s="41">
        <f>E42+E32</f>
        <v>0</v>
      </c>
      <c r="F43" s="41">
        <f>F42+F32</f>
        <v>1546005.73</v>
      </c>
      <c r="G43" s="41">
        <f>G42+G32</f>
        <v>411978.84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6573192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7563.43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5243.55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579.86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106696.62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1320.86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14127.84</v>
      </c>
      <c r="D54" s="130">
        <f>SUM(D49:D53)</f>
        <v>106696.62</v>
      </c>
      <c r="E54" s="130">
        <f>SUM(E49:E53)</f>
        <v>0</v>
      </c>
      <c r="F54" s="130">
        <f>SUM(F49:F53)</f>
        <v>0</v>
      </c>
      <c r="G54" s="130">
        <f>SUM(G49:G53)</f>
        <v>579.86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6587319.8399999999</v>
      </c>
      <c r="D55" s="22">
        <f>D48+D54</f>
        <v>106696.62</v>
      </c>
      <c r="E55" s="22">
        <f>E48+E54</f>
        <v>0</v>
      </c>
      <c r="F55" s="22">
        <f>F48+F54</f>
        <v>0</v>
      </c>
      <c r="G55" s="22">
        <f>G48+G54</f>
        <v>579.86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2199412.92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1075414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79772.08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3354599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128.13999999999999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2021.88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128.13999999999999</v>
      </c>
      <c r="D70" s="130">
        <f>SUM(D64:D69)</f>
        <v>2021.88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3354727.14</v>
      </c>
      <c r="D73" s="130">
        <f>SUM(D71:D72)+D70+D62</f>
        <v>2021.88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27563.59</v>
      </c>
      <c r="D80" s="95">
        <f>SUM('DOE25'!G145:G153)</f>
        <v>49795.91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27563.59</v>
      </c>
      <c r="D83" s="131">
        <f>SUM(D77:D82)</f>
        <v>49795.91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5600000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5600000</v>
      </c>
      <c r="G95" s="86">
        <f>SUM(G85:G94)</f>
        <v>50000</v>
      </c>
    </row>
    <row r="96" spans="1:7" ht="12.75" thickTop="1" thickBot="1" x14ac:dyDescent="0.25">
      <c r="A96" s="33" t="s">
        <v>796</v>
      </c>
      <c r="C96" s="86">
        <f>C55+C73+C83+C95</f>
        <v>9969610.5700000003</v>
      </c>
      <c r="D96" s="86">
        <f>D55+D73+D83+D95</f>
        <v>158514.41</v>
      </c>
      <c r="E96" s="86">
        <f>E55+E73+E83+E95</f>
        <v>0</v>
      </c>
      <c r="F96" s="86">
        <f>F55+F73+F83+F95</f>
        <v>5600000</v>
      </c>
      <c r="G96" s="86">
        <f>G55+G73+G95</f>
        <v>50579.86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5858704.8599999994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1660233.62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50109.43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7569047.9099999992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459920.05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172676.41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301633.76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366904.24999999994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67068.37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461648.76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342091.27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148439.79999999999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2171942.87</v>
      </c>
      <c r="D120" s="86">
        <f>SUM(D110:D119)</f>
        <v>148439.79999999999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3704680.2699999996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133425.98000000001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50579.86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-579.86000000000058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183425.98000000004</v>
      </c>
      <c r="D136" s="141">
        <f>SUM(D122:D135)</f>
        <v>0</v>
      </c>
      <c r="E136" s="141">
        <f>SUM(E122:E135)</f>
        <v>0</v>
      </c>
      <c r="F136" s="141">
        <f>SUM(F122:F135)</f>
        <v>3704680.2699999996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9924416.7599999998</v>
      </c>
      <c r="D137" s="86">
        <f>(D107+D120+D136)</f>
        <v>148439.79999999999</v>
      </c>
      <c r="E137" s="86">
        <f>(E107+E120+E136)</f>
        <v>0</v>
      </c>
      <c r="F137" s="86">
        <f>(F107+F120+F136)</f>
        <v>3704680.2699999996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07/10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08/30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5234500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3.9851000000000001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5234500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5234500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5234500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5234500</v>
      </c>
    </row>
    <row r="152" spans="1:7" x14ac:dyDescent="0.2">
      <c r="A152" s="22" t="s">
        <v>36</v>
      </c>
      <c r="B152" s="137">
        <f>'DOE25'!F489</f>
        <v>3013697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3013697</v>
      </c>
    </row>
    <row r="153" spans="1:7" x14ac:dyDescent="0.2">
      <c r="A153" s="22" t="s">
        <v>37</v>
      </c>
      <c r="B153" s="137">
        <f>'DOE25'!F490</f>
        <v>8248197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8248197</v>
      </c>
    </row>
    <row r="154" spans="1:7" x14ac:dyDescent="0.2">
      <c r="A154" s="22" t="s">
        <v>38</v>
      </c>
      <c r="B154" s="137">
        <f>'DOE25'!F491</f>
        <v>174500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174500</v>
      </c>
    </row>
    <row r="155" spans="1:7" x14ac:dyDescent="0.2">
      <c r="A155" s="22" t="s">
        <v>39</v>
      </c>
      <c r="B155" s="137">
        <f>'DOE25'!F492</f>
        <v>233128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233128</v>
      </c>
    </row>
    <row r="156" spans="1:7" x14ac:dyDescent="0.2">
      <c r="A156" s="22" t="s">
        <v>269</v>
      </c>
      <c r="B156" s="137">
        <f>'DOE25'!F493</f>
        <v>407628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407628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0DE1-39C5-4A31-A29B-018B39B9EFA1}">
  <sheetPr codeName="Sheet3">
    <tabColor indexed="43"/>
  </sheetPr>
  <dimension ref="A1:D42"/>
  <sheetViews>
    <sheetView topLeftCell="A10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STRAFFORD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12879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12879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5858705</v>
      </c>
      <c r="D10" s="182">
        <f>ROUND((C10/$C$28)*100,1)</f>
        <v>59.1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1660234</v>
      </c>
      <c r="D11" s="182">
        <f>ROUND((C11/$C$28)*100,1)</f>
        <v>16.7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50109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459920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172676</v>
      </c>
      <c r="D16" s="182">
        <f t="shared" si="0"/>
        <v>1.7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301634</v>
      </c>
      <c r="D17" s="182">
        <f t="shared" si="0"/>
        <v>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366904</v>
      </c>
      <c r="D18" s="182">
        <f t="shared" si="0"/>
        <v>3.7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67068</v>
      </c>
      <c r="D19" s="182">
        <f t="shared" si="0"/>
        <v>0.7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461649</v>
      </c>
      <c r="D20" s="182">
        <f t="shared" si="0"/>
        <v>4.7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342091</v>
      </c>
      <c r="D21" s="182">
        <f t="shared" si="0"/>
        <v>3.4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133426</v>
      </c>
      <c r="D25" s="182">
        <f t="shared" si="0"/>
        <v>1.3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41743.380000000005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9916159.3800000008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3704680</v>
      </c>
    </row>
    <row r="30" spans="1:4" x14ac:dyDescent="0.2">
      <c r="B30" s="187" t="s">
        <v>760</v>
      </c>
      <c r="C30" s="180">
        <f>SUM(C28:C29)</f>
        <v>13620839.380000001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6573192</v>
      </c>
      <c r="D35" s="182">
        <f t="shared" ref="D35:D40" si="1">ROUND((C35/$C$41)*100,1)</f>
        <v>65.599999999999994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14707.700000000186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3354599</v>
      </c>
      <c r="D37" s="182">
        <f t="shared" si="1"/>
        <v>33.5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2150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77360</v>
      </c>
      <c r="D39" s="182">
        <f t="shared" si="1"/>
        <v>0.8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10022008.699999999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5600000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0787-8C5E-4B0D-8A17-8A90D86768CA}">
  <sheetPr>
    <tabColor indexed="17"/>
  </sheetPr>
  <dimension ref="A1:IV90"/>
  <sheetViews>
    <sheetView workbookViewId="0">
      <pane ySplit="3" topLeftCell="A25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95" t="s">
        <v>798</v>
      </c>
      <c r="B2" s="296"/>
      <c r="C2" s="296"/>
      <c r="D2" s="296"/>
      <c r="E2" s="296"/>
      <c r="F2" s="293" t="str">
        <f>'DOE25'!A2</f>
        <v>STRAFFORD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BC40:BM40"/>
    <mergeCell ref="BP40:BZ40"/>
    <mergeCell ref="IC40:IM40"/>
    <mergeCell ref="FC40:FM40"/>
    <mergeCell ref="FP40:FZ40"/>
    <mergeCell ref="CC40:CM40"/>
    <mergeCell ref="CP40:CZ40"/>
    <mergeCell ref="DC40:DM40"/>
    <mergeCell ref="DP40:DZ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40:M40"/>
    <mergeCell ref="C43:M43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IP40:IV40"/>
    <mergeCell ref="GC38:GM38"/>
    <mergeCell ref="GP38:GZ38"/>
    <mergeCell ref="HC38:HM38"/>
    <mergeCell ref="HP38:HZ38"/>
    <mergeCell ref="IC38:IM38"/>
    <mergeCell ref="IP38:IV38"/>
    <mergeCell ref="DP32:DZ32"/>
    <mergeCell ref="EC32:EM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HC32:HM32"/>
    <mergeCell ref="EP32:EZ32"/>
    <mergeCell ref="AC38:AM38"/>
    <mergeCell ref="AP38:AZ38"/>
    <mergeCell ref="GP32:GZ32"/>
    <mergeCell ref="BP38:BZ38"/>
    <mergeCell ref="CC38:CM38"/>
    <mergeCell ref="CC32:CM32"/>
    <mergeCell ref="CP38:CZ38"/>
    <mergeCell ref="DC32:DM32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DP30:DZ30"/>
    <mergeCell ref="EC30:EM30"/>
    <mergeCell ref="EP30:EZ30"/>
    <mergeCell ref="FC30:FM30"/>
    <mergeCell ref="FP30:FZ30"/>
    <mergeCell ref="GC30:GM30"/>
    <mergeCell ref="AP32:AZ32"/>
    <mergeCell ref="P38:Z38"/>
    <mergeCell ref="AC31:AM31"/>
    <mergeCell ref="CC30:CM30"/>
    <mergeCell ref="CP30:CZ30"/>
    <mergeCell ref="DC30:DM30"/>
    <mergeCell ref="CC31:CM31"/>
    <mergeCell ref="CP31:CZ31"/>
    <mergeCell ref="DC31:DM31"/>
    <mergeCell ref="C37:M37"/>
    <mergeCell ref="C38:M38"/>
    <mergeCell ref="C39:M39"/>
    <mergeCell ref="BC30:BM30"/>
    <mergeCell ref="BP30:BZ30"/>
    <mergeCell ref="P40:Z40"/>
    <mergeCell ref="AC40:AM40"/>
    <mergeCell ref="BP32:BZ32"/>
    <mergeCell ref="BC38:BM38"/>
    <mergeCell ref="AC32:AM32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C24:M24"/>
    <mergeCell ref="C29:M29"/>
    <mergeCell ref="C25:M25"/>
    <mergeCell ref="CP29:CZ29"/>
    <mergeCell ref="DC29:DM29"/>
    <mergeCell ref="DP29:DZ29"/>
    <mergeCell ref="BC29:BM29"/>
    <mergeCell ref="BP29:BZ29"/>
    <mergeCell ref="CC29:CM29"/>
    <mergeCell ref="P29:Z29"/>
    <mergeCell ref="AC29:AM29"/>
    <mergeCell ref="AP29:AZ29"/>
    <mergeCell ref="P31:Z31"/>
    <mergeCell ref="C9:M9"/>
    <mergeCell ref="C10:M10"/>
    <mergeCell ref="C11:M11"/>
    <mergeCell ref="C12:M12"/>
    <mergeCell ref="C5:M5"/>
    <mergeCell ref="C6:M6"/>
    <mergeCell ref="C7:M7"/>
    <mergeCell ref="C8:M8"/>
    <mergeCell ref="C20:M20"/>
    <mergeCell ref="AP31:AZ31"/>
    <mergeCell ref="P32:Z32"/>
    <mergeCell ref="A1:I1"/>
    <mergeCell ref="C3:M3"/>
    <mergeCell ref="C4:M4"/>
    <mergeCell ref="F2:I2"/>
    <mergeCell ref="A2:E2"/>
    <mergeCell ref="C13:M13"/>
    <mergeCell ref="C22:M22"/>
    <mergeCell ref="C23:M23"/>
    <mergeCell ref="C55:M55"/>
    <mergeCell ref="C56:M56"/>
    <mergeCell ref="C57:M57"/>
    <mergeCell ref="C59:M59"/>
    <mergeCell ref="C60:M60"/>
    <mergeCell ref="C58:M58"/>
    <mergeCell ref="C21:M21"/>
    <mergeCell ref="C52:M52"/>
    <mergeCell ref="C50:M50"/>
    <mergeCell ref="C47:M47"/>
    <mergeCell ref="C48:M48"/>
    <mergeCell ref="C49:M49"/>
    <mergeCell ref="C51:M51"/>
    <mergeCell ref="C32:M32"/>
    <mergeCell ref="C30:M30"/>
    <mergeCell ref="C31:M31"/>
    <mergeCell ref="C14:M14"/>
    <mergeCell ref="C15:M15"/>
    <mergeCell ref="C16:M16"/>
    <mergeCell ref="C17:M17"/>
    <mergeCell ref="C18:M18"/>
    <mergeCell ref="C19:M19"/>
    <mergeCell ref="C62:M62"/>
    <mergeCell ref="C63:M63"/>
    <mergeCell ref="C64:M64"/>
    <mergeCell ref="C65:M65"/>
    <mergeCell ref="C34:M34"/>
    <mergeCell ref="C35:M35"/>
    <mergeCell ref="C36:M36"/>
    <mergeCell ref="C61:M61"/>
    <mergeCell ref="C53:M53"/>
    <mergeCell ref="C54:M54"/>
    <mergeCell ref="C70:M70"/>
    <mergeCell ref="A72:E72"/>
    <mergeCell ref="C73:M73"/>
    <mergeCell ref="C74:M74"/>
    <mergeCell ref="C66:M66"/>
    <mergeCell ref="C67:M67"/>
    <mergeCell ref="C68:M68"/>
    <mergeCell ref="C69:M6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6:M26"/>
    <mergeCell ref="C27:M27"/>
    <mergeCell ref="C28:M28"/>
    <mergeCell ref="C87:M87"/>
    <mergeCell ref="C88:M88"/>
    <mergeCell ref="C89:M89"/>
    <mergeCell ref="C75:M75"/>
    <mergeCell ref="C76:M76"/>
    <mergeCell ref="C77:M77"/>
    <mergeCell ref="C78:M7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2011-10-24T18:53:26Z</cp:lastPrinted>
  <dcterms:created xsi:type="dcterms:W3CDTF">1997-12-04T19:04:30Z</dcterms:created>
  <dcterms:modified xsi:type="dcterms:W3CDTF">2025-01-10T20:32:25Z</dcterms:modified>
</cp:coreProperties>
</file>