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F5992DC-182E-4A26-9864-35CE3C841CB5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65A31635-3A87-4963-ADBF-A294C0C899F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8" i="1" l="1"/>
  <c r="C38" i="12"/>
  <c r="B38" i="12"/>
  <c r="B19" i="12"/>
  <c r="C19" i="12"/>
  <c r="C22" i="12" s="1"/>
  <c r="B20" i="12"/>
  <c r="C11" i="12"/>
  <c r="B11" i="12"/>
  <c r="G189" i="1"/>
  <c r="F189" i="1"/>
  <c r="F203" i="1" s="1"/>
  <c r="F249" i="1" s="1"/>
  <c r="F263" i="1" s="1"/>
  <c r="F458" i="1"/>
  <c r="F460" i="1" s="1"/>
  <c r="F466" i="1" s="1"/>
  <c r="H612" i="1" s="1"/>
  <c r="H594" i="1"/>
  <c r="K594" i="1" s="1"/>
  <c r="J594" i="1"/>
  <c r="J585" i="1"/>
  <c r="H585" i="1"/>
  <c r="H584" i="1"/>
  <c r="J581" i="1"/>
  <c r="H581" i="1"/>
  <c r="H582" i="1"/>
  <c r="F511" i="1"/>
  <c r="K523" i="1"/>
  <c r="K521" i="1"/>
  <c r="H523" i="1"/>
  <c r="L523" i="1" s="1"/>
  <c r="H541" i="1" s="1"/>
  <c r="H521" i="1"/>
  <c r="L521" i="1" s="1"/>
  <c r="G523" i="1"/>
  <c r="G521" i="1"/>
  <c r="H533" i="1"/>
  <c r="H531" i="1"/>
  <c r="I513" i="1"/>
  <c r="I511" i="1"/>
  <c r="H511" i="1"/>
  <c r="H518" i="1"/>
  <c r="H516" i="1"/>
  <c r="H513" i="1"/>
  <c r="H514" i="1" s="1"/>
  <c r="G513" i="1"/>
  <c r="G511" i="1"/>
  <c r="G514" i="1" s="1"/>
  <c r="G535" i="1" s="1"/>
  <c r="F513" i="1"/>
  <c r="L513" i="1" s="1"/>
  <c r="F541" i="1" s="1"/>
  <c r="J511" i="1"/>
  <c r="F14" i="1"/>
  <c r="G352" i="1"/>
  <c r="K352" i="1"/>
  <c r="K350" i="1"/>
  <c r="J352" i="1"/>
  <c r="J350" i="1"/>
  <c r="I352" i="1"/>
  <c r="I350" i="1"/>
  <c r="I354" i="1" s="1"/>
  <c r="G624" i="1" s="1"/>
  <c r="J624" i="1" s="1"/>
  <c r="H352" i="1"/>
  <c r="L352" i="1" s="1"/>
  <c r="H651" i="1" s="1"/>
  <c r="H350" i="1"/>
  <c r="H354" i="1" s="1"/>
  <c r="G350" i="1"/>
  <c r="L350" i="1" s="1"/>
  <c r="F352" i="1"/>
  <c r="F350" i="1"/>
  <c r="F268" i="1"/>
  <c r="H268" i="1"/>
  <c r="L268" i="1" s="1"/>
  <c r="H269" i="1"/>
  <c r="J268" i="1"/>
  <c r="I268" i="1"/>
  <c r="G268" i="1"/>
  <c r="K268" i="1"/>
  <c r="I274" i="1"/>
  <c r="L274" i="1" s="1"/>
  <c r="E111" i="2" s="1"/>
  <c r="F306" i="1"/>
  <c r="F320" i="1" s="1"/>
  <c r="H306" i="1"/>
  <c r="G306" i="1"/>
  <c r="J269" i="1"/>
  <c r="J282" i="1" s="1"/>
  <c r="I269" i="1"/>
  <c r="H236" i="1"/>
  <c r="H200" i="1"/>
  <c r="L200" i="1" s="1"/>
  <c r="H199" i="1"/>
  <c r="J235" i="1"/>
  <c r="J199" i="1"/>
  <c r="I199" i="1"/>
  <c r="I235" i="1"/>
  <c r="H235" i="1"/>
  <c r="L235" i="1" s="1"/>
  <c r="G199" i="1"/>
  <c r="L199" i="1" s="1"/>
  <c r="G235" i="1"/>
  <c r="F235" i="1"/>
  <c r="F199" i="1"/>
  <c r="K197" i="1"/>
  <c r="G12" i="13" s="1"/>
  <c r="K233" i="1"/>
  <c r="J233" i="1"/>
  <c r="J197" i="1"/>
  <c r="I197" i="1"/>
  <c r="I233" i="1"/>
  <c r="H233" i="1"/>
  <c r="L233" i="1" s="1"/>
  <c r="H197" i="1"/>
  <c r="G197" i="1"/>
  <c r="G233" i="1"/>
  <c r="F233" i="1"/>
  <c r="F197" i="1"/>
  <c r="L197" i="1" s="1"/>
  <c r="H232" i="1"/>
  <c r="I196" i="1"/>
  <c r="H196" i="1"/>
  <c r="G196" i="1"/>
  <c r="G232" i="1"/>
  <c r="F196" i="1"/>
  <c r="L196" i="1" s="1"/>
  <c r="I231" i="1"/>
  <c r="L231" i="1" s="1"/>
  <c r="J231" i="1"/>
  <c r="F7" i="13" s="1"/>
  <c r="J195" i="1"/>
  <c r="I195" i="1"/>
  <c r="H231" i="1"/>
  <c r="H195" i="1"/>
  <c r="G195" i="1"/>
  <c r="L195" i="1" s="1"/>
  <c r="G231" i="1"/>
  <c r="F231" i="1"/>
  <c r="F195" i="1"/>
  <c r="G194" i="1"/>
  <c r="F194" i="1"/>
  <c r="L194" i="1" s="1"/>
  <c r="F230" i="1"/>
  <c r="F239" i="1" s="1"/>
  <c r="G230" i="1"/>
  <c r="G239" i="1" s="1"/>
  <c r="H230" i="1"/>
  <c r="H194" i="1"/>
  <c r="I194" i="1"/>
  <c r="I230" i="1"/>
  <c r="K228" i="1"/>
  <c r="K239" i="1" s="1"/>
  <c r="J228" i="1"/>
  <c r="J192" i="1"/>
  <c r="I192" i="1"/>
  <c r="I228" i="1"/>
  <c r="H228" i="1"/>
  <c r="L228" i="1" s="1"/>
  <c r="H192" i="1"/>
  <c r="H203" i="1" s="1"/>
  <c r="G192" i="1"/>
  <c r="G203" i="1" s="1"/>
  <c r="G249" i="1" s="1"/>
  <c r="G263" i="1" s="1"/>
  <c r="G228" i="1"/>
  <c r="F192" i="1"/>
  <c r="L192" i="1" s="1"/>
  <c r="I190" i="1"/>
  <c r="I226" i="1"/>
  <c r="H226" i="1"/>
  <c r="L226" i="1" s="1"/>
  <c r="H190" i="1"/>
  <c r="G190" i="1"/>
  <c r="G226" i="1"/>
  <c r="F226" i="1"/>
  <c r="F190" i="1"/>
  <c r="B18" i="12" s="1"/>
  <c r="A22" i="12" s="1"/>
  <c r="I189" i="1"/>
  <c r="I203" i="1" s="1"/>
  <c r="K189" i="1"/>
  <c r="G5" i="13" s="1"/>
  <c r="G33" i="13" s="1"/>
  <c r="K225" i="1"/>
  <c r="J225" i="1"/>
  <c r="F5" i="13" s="1"/>
  <c r="J189" i="1"/>
  <c r="I225" i="1"/>
  <c r="H225" i="1"/>
  <c r="H189" i="1"/>
  <c r="G225" i="1"/>
  <c r="F225" i="1"/>
  <c r="F12" i="1"/>
  <c r="F113" i="1"/>
  <c r="F128" i="1"/>
  <c r="F132" i="1"/>
  <c r="C38" i="10" s="1"/>
  <c r="G128" i="1"/>
  <c r="C37" i="10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C114" i="2" s="1"/>
  <c r="L234" i="1"/>
  <c r="F16" i="13"/>
  <c r="G16" i="13"/>
  <c r="L201" i="1"/>
  <c r="E16" i="13" s="1"/>
  <c r="C16" i="13" s="1"/>
  <c r="L219" i="1"/>
  <c r="L237" i="1"/>
  <c r="L191" i="1"/>
  <c r="L207" i="1"/>
  <c r="L221" i="1" s="1"/>
  <c r="G650" i="1" s="1"/>
  <c r="L208" i="1"/>
  <c r="L209" i="1"/>
  <c r="C12" i="10" s="1"/>
  <c r="L210" i="1"/>
  <c r="L225" i="1"/>
  <c r="L227" i="1"/>
  <c r="F6" i="13"/>
  <c r="G6" i="13"/>
  <c r="L212" i="1"/>
  <c r="G7" i="13"/>
  <c r="L213" i="1"/>
  <c r="F12" i="13"/>
  <c r="L215" i="1"/>
  <c r="F14" i="13"/>
  <c r="G14" i="13"/>
  <c r="L217" i="1"/>
  <c r="F15" i="13"/>
  <c r="G15" i="13"/>
  <c r="L218" i="1"/>
  <c r="G640" i="1" s="1"/>
  <c r="J640" i="1" s="1"/>
  <c r="L236" i="1"/>
  <c r="H652" i="1" s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C24" i="10" s="1"/>
  <c r="D19" i="13"/>
  <c r="C19" i="13" s="1"/>
  <c r="F29" i="13"/>
  <c r="G29" i="13"/>
  <c r="L351" i="1"/>
  <c r="I359" i="1"/>
  <c r="I361" i="1" s="1"/>
  <c r="H624" i="1" s="1"/>
  <c r="J301" i="1"/>
  <c r="J320" i="1"/>
  <c r="K282" i="1"/>
  <c r="G31" i="13" s="1"/>
  <c r="K301" i="1"/>
  <c r="K320" i="1"/>
  <c r="L269" i="1"/>
  <c r="E102" i="2" s="1"/>
  <c r="L270" i="1"/>
  <c r="L271" i="1"/>
  <c r="L273" i="1"/>
  <c r="L275" i="1"/>
  <c r="E112" i="2" s="1"/>
  <c r="L276" i="1"/>
  <c r="E113" i="2" s="1"/>
  <c r="L277" i="1"/>
  <c r="E114" i="2" s="1"/>
  <c r="L278" i="1"/>
  <c r="L279" i="1"/>
  <c r="L280" i="1"/>
  <c r="L287" i="1"/>
  <c r="L288" i="1"/>
  <c r="L289" i="1"/>
  <c r="L290" i="1"/>
  <c r="L292" i="1"/>
  <c r="L293" i="1"/>
  <c r="L301" i="1" s="1"/>
  <c r="L294" i="1"/>
  <c r="L295" i="1"/>
  <c r="L296" i="1"/>
  <c r="L297" i="1"/>
  <c r="L298" i="1"/>
  <c r="L299" i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L333" i="1"/>
  <c r="L334" i="1"/>
  <c r="C25" i="10" s="1"/>
  <c r="L247" i="1"/>
  <c r="L328" i="1"/>
  <c r="F22" i="13"/>
  <c r="C22" i="13" s="1"/>
  <c r="C11" i="13"/>
  <c r="C10" i="13"/>
  <c r="C9" i="13"/>
  <c r="L353" i="1"/>
  <c r="B4" i="12"/>
  <c r="B36" i="12"/>
  <c r="B40" i="12"/>
  <c r="C40" i="12"/>
  <c r="B27" i="12"/>
  <c r="A31" i="12" s="1"/>
  <c r="C27" i="12"/>
  <c r="B31" i="12"/>
  <c r="C31" i="12"/>
  <c r="B13" i="12"/>
  <c r="C9" i="12"/>
  <c r="C13" i="12"/>
  <c r="B22" i="12"/>
  <c r="C18" i="12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/>
  <c r="L601" i="1"/>
  <c r="C40" i="10"/>
  <c r="F52" i="1"/>
  <c r="G52" i="1"/>
  <c r="C35" i="10" s="1"/>
  <c r="H52" i="1"/>
  <c r="I52" i="1"/>
  <c r="I104" i="1" s="1"/>
  <c r="F71" i="1"/>
  <c r="F86" i="1"/>
  <c r="F103" i="1"/>
  <c r="F104" i="1"/>
  <c r="G103" i="1"/>
  <c r="H71" i="1"/>
  <c r="H86" i="1"/>
  <c r="H103" i="1"/>
  <c r="H104" i="1"/>
  <c r="I103" i="1"/>
  <c r="J103" i="1"/>
  <c r="J104" i="1" s="1"/>
  <c r="J185" i="1" s="1"/>
  <c r="G113" i="1"/>
  <c r="G132" i="1" s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D77" i="2" s="1"/>
  <c r="D83" i="2" s="1"/>
  <c r="G154" i="1"/>
  <c r="H139" i="1"/>
  <c r="H154" i="1"/>
  <c r="H161" i="1"/>
  <c r="I139" i="1"/>
  <c r="I161" i="1" s="1"/>
  <c r="I154" i="1"/>
  <c r="L242" i="1"/>
  <c r="C23" i="10" s="1"/>
  <c r="L324" i="1"/>
  <c r="E105" i="2" s="1"/>
  <c r="L246" i="1"/>
  <c r="L260" i="1"/>
  <c r="C134" i="2" s="1"/>
  <c r="L261" i="1"/>
  <c r="L341" i="1"/>
  <c r="L342" i="1"/>
  <c r="I655" i="1"/>
  <c r="I660" i="1"/>
  <c r="I659" i="1"/>
  <c r="C5" i="10"/>
  <c r="C42" i="10"/>
  <c r="C32" i="10"/>
  <c r="L366" i="1"/>
  <c r="L367" i="1"/>
  <c r="L368" i="1"/>
  <c r="L369" i="1"/>
  <c r="L370" i="1"/>
  <c r="L371" i="1"/>
  <c r="L372" i="1"/>
  <c r="C29" i="10"/>
  <c r="B2" i="10"/>
  <c r="L336" i="1"/>
  <c r="L343" i="1" s="1"/>
  <c r="L337" i="1"/>
  <c r="L338" i="1"/>
  <c r="L339" i="1"/>
  <c r="K343" i="1"/>
  <c r="L512" i="1"/>
  <c r="F540" i="1"/>
  <c r="L516" i="1"/>
  <c r="G539" i="1" s="1"/>
  <c r="L517" i="1"/>
  <c r="G540" i="1" s="1"/>
  <c r="K540" i="1" s="1"/>
  <c r="L518" i="1"/>
  <c r="L519" i="1" s="1"/>
  <c r="G541" i="1"/>
  <c r="L522" i="1"/>
  <c r="H540" i="1"/>
  <c r="L526" i="1"/>
  <c r="I539" i="1" s="1"/>
  <c r="I542" i="1" s="1"/>
  <c r="L527" i="1"/>
  <c r="L529" i="1" s="1"/>
  <c r="I540" i="1"/>
  <c r="L528" i="1"/>
  <c r="I541" i="1" s="1"/>
  <c r="L531" i="1"/>
  <c r="J539" i="1"/>
  <c r="J542" i="1" s="1"/>
  <c r="L532" i="1"/>
  <c r="L534" i="1" s="1"/>
  <c r="J540" i="1"/>
  <c r="L533" i="1"/>
  <c r="J541" i="1" s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D19" i="2"/>
  <c r="E19" i="2"/>
  <c r="F19" i="2"/>
  <c r="C22" i="2"/>
  <c r="D22" i="2"/>
  <c r="E22" i="2"/>
  <c r="F22" i="2"/>
  <c r="I440" i="1"/>
  <c r="I444" i="1" s="1"/>
  <c r="C23" i="2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 s="1"/>
  <c r="G24" i="2" s="1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E42" i="2" s="1"/>
  <c r="E43" i="2" s="1"/>
  <c r="F37" i="2"/>
  <c r="I447" i="1"/>
  <c r="J38" i="1" s="1"/>
  <c r="G37" i="2" s="1"/>
  <c r="C38" i="2"/>
  <c r="D38" i="2"/>
  <c r="E38" i="2"/>
  <c r="F38" i="2"/>
  <c r="I448" i="1"/>
  <c r="J40" i="1"/>
  <c r="G39" i="2"/>
  <c r="C40" i="2"/>
  <c r="C42" i="2" s="1"/>
  <c r="C43" i="2" s="1"/>
  <c r="D40" i="2"/>
  <c r="E40" i="2"/>
  <c r="F40" i="2"/>
  <c r="I449" i="1"/>
  <c r="J41" i="1"/>
  <c r="G40" i="2" s="1"/>
  <c r="C41" i="2"/>
  <c r="D41" i="2"/>
  <c r="E41" i="2"/>
  <c r="F41" i="2"/>
  <c r="D42" i="2"/>
  <c r="C48" i="2"/>
  <c r="D48" i="2"/>
  <c r="D55" i="2" s="1"/>
  <c r="E48" i="2"/>
  <c r="E55" i="2" s="1"/>
  <c r="E96" i="2" s="1"/>
  <c r="F48" i="2"/>
  <c r="F55" i="2" s="1"/>
  <c r="C49" i="2"/>
  <c r="C54" i="2" s="1"/>
  <c r="C55" i="2" s="1"/>
  <c r="E49" i="2"/>
  <c r="E54" i="2" s="1"/>
  <c r="C50" i="2"/>
  <c r="E50" i="2"/>
  <c r="C51" i="2"/>
  <c r="D51" i="2"/>
  <c r="D54" i="2" s="1"/>
  <c r="E51" i="2"/>
  <c r="F51" i="2"/>
  <c r="D52" i="2"/>
  <c r="C53" i="2"/>
  <c r="D53" i="2"/>
  <c r="E53" i="2"/>
  <c r="F53" i="2"/>
  <c r="F54" i="2" s="1"/>
  <c r="C58" i="2"/>
  <c r="C62" i="2" s="1"/>
  <c r="C59" i="2"/>
  <c r="C61" i="2"/>
  <c r="D61" i="2"/>
  <c r="D62" i="2" s="1"/>
  <c r="D73" i="2" s="1"/>
  <c r="E61" i="2"/>
  <c r="E62" i="2" s="1"/>
  <c r="E73" i="2" s="1"/>
  <c r="F61" i="2"/>
  <c r="F62" i="2" s="1"/>
  <c r="G61" i="2"/>
  <c r="G62" i="2" s="1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G70" i="2" s="1"/>
  <c r="G73" i="2" s="1"/>
  <c r="C70" i="2"/>
  <c r="C73" i="2" s="1"/>
  <c r="D70" i="2"/>
  <c r="E70" i="2"/>
  <c r="C71" i="2"/>
  <c r="D71" i="2"/>
  <c r="E71" i="2"/>
  <c r="C72" i="2"/>
  <c r="E72" i="2"/>
  <c r="C77" i="2"/>
  <c r="C83" i="2" s="1"/>
  <c r="E77" i="2"/>
  <c r="E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95" i="2"/>
  <c r="G95" i="2"/>
  <c r="E103" i="2"/>
  <c r="E104" i="2"/>
  <c r="E106" i="2"/>
  <c r="D107" i="2"/>
  <c r="F107" i="2"/>
  <c r="G107" i="2"/>
  <c r="E110" i="2"/>
  <c r="E120" i="2" s="1"/>
  <c r="E115" i="2"/>
  <c r="E116" i="2"/>
  <c r="E117" i="2"/>
  <c r="F120" i="2"/>
  <c r="G120" i="2"/>
  <c r="C122" i="2"/>
  <c r="E122" i="2"/>
  <c r="F122" i="2"/>
  <c r="D126" i="2"/>
  <c r="D136" i="2" s="1"/>
  <c r="E126" i="2"/>
  <c r="F126" i="2"/>
  <c r="K411" i="1"/>
  <c r="K419" i="1"/>
  <c r="K425" i="1"/>
  <c r="K426" i="1" s="1"/>
  <c r="G126" i="2" s="1"/>
  <c r="G136" i="2" s="1"/>
  <c r="L255" i="1"/>
  <c r="C127" i="2" s="1"/>
  <c r="E127" i="2"/>
  <c r="L256" i="1"/>
  <c r="C128" i="2"/>
  <c r="L257" i="1"/>
  <c r="C129" i="2" s="1"/>
  <c r="E129" i="2"/>
  <c r="E134" i="2"/>
  <c r="C135" i="2"/>
  <c r="E135" i="2"/>
  <c r="E136" i="2"/>
  <c r="F136" i="2"/>
  <c r="F137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490" i="1"/>
  <c r="C153" i="2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156" i="2" s="1"/>
  <c r="G493" i="1"/>
  <c r="C156" i="2" s="1"/>
  <c r="H493" i="1"/>
  <c r="D156" i="2"/>
  <c r="I493" i="1"/>
  <c r="E156" i="2" s="1"/>
  <c r="J493" i="1"/>
  <c r="F156" i="2" s="1"/>
  <c r="F19" i="1"/>
  <c r="G607" i="1" s="1"/>
  <c r="G19" i="1"/>
  <c r="G608" i="1" s="1"/>
  <c r="J608" i="1" s="1"/>
  <c r="H19" i="1"/>
  <c r="G609" i="1" s="1"/>
  <c r="J609" i="1" s="1"/>
  <c r="I19" i="1"/>
  <c r="F33" i="1"/>
  <c r="G33" i="1"/>
  <c r="H33" i="1"/>
  <c r="I33" i="1"/>
  <c r="F43" i="1"/>
  <c r="G43" i="1"/>
  <c r="G44" i="1" s="1"/>
  <c r="H608" i="1" s="1"/>
  <c r="H43" i="1"/>
  <c r="H44" i="1" s="1"/>
  <c r="H609" i="1" s="1"/>
  <c r="I43" i="1"/>
  <c r="G615" i="1" s="1"/>
  <c r="F44" i="1"/>
  <c r="H607" i="1" s="1"/>
  <c r="F169" i="1"/>
  <c r="I169" i="1"/>
  <c r="I184" i="1" s="1"/>
  <c r="F175" i="1"/>
  <c r="G175" i="1"/>
  <c r="G184" i="1" s="1"/>
  <c r="H175" i="1"/>
  <c r="H184" i="1" s="1"/>
  <c r="I175" i="1"/>
  <c r="J175" i="1"/>
  <c r="F180" i="1"/>
  <c r="F184" i="1" s="1"/>
  <c r="G180" i="1"/>
  <c r="H180" i="1"/>
  <c r="I180" i="1"/>
  <c r="J184" i="1"/>
  <c r="J203" i="1"/>
  <c r="F221" i="1"/>
  <c r="G221" i="1"/>
  <c r="H221" i="1"/>
  <c r="I221" i="1"/>
  <c r="J221" i="1"/>
  <c r="K221" i="1"/>
  <c r="F248" i="1"/>
  <c r="L248" i="1" s="1"/>
  <c r="G248" i="1"/>
  <c r="H248" i="1"/>
  <c r="I248" i="1"/>
  <c r="J248" i="1"/>
  <c r="K248" i="1"/>
  <c r="L262" i="1"/>
  <c r="F282" i="1"/>
  <c r="G282" i="1"/>
  <c r="H282" i="1"/>
  <c r="H330" i="1" s="1"/>
  <c r="H344" i="1" s="1"/>
  <c r="F301" i="1"/>
  <c r="G301" i="1"/>
  <c r="G330" i="1" s="1"/>
  <c r="G344" i="1" s="1"/>
  <c r="H301" i="1"/>
  <c r="I301" i="1"/>
  <c r="G320" i="1"/>
  <c r="H320" i="1"/>
  <c r="I320" i="1"/>
  <c r="F329" i="1"/>
  <c r="G329" i="1"/>
  <c r="H329" i="1"/>
  <c r="L329" i="1" s="1"/>
  <c r="I329" i="1"/>
  <c r="J329" i="1"/>
  <c r="K329" i="1"/>
  <c r="F354" i="1"/>
  <c r="G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G626" i="1" s="1"/>
  <c r="J626" i="1" s="1"/>
  <c r="F385" i="1"/>
  <c r="G385" i="1"/>
  <c r="H385" i="1"/>
  <c r="I385" i="1"/>
  <c r="F393" i="1"/>
  <c r="G393" i="1"/>
  <c r="H393" i="1"/>
  <c r="I393" i="1"/>
  <c r="F399" i="1"/>
  <c r="G399" i="1"/>
  <c r="H399" i="1"/>
  <c r="H400" i="1" s="1"/>
  <c r="H634" i="1" s="1"/>
  <c r="I399" i="1"/>
  <c r="I400" i="1" s="1"/>
  <c r="F400" i="1"/>
  <c r="H633" i="1" s="1"/>
  <c r="J633" i="1" s="1"/>
  <c r="G400" i="1"/>
  <c r="H635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38" i="1"/>
  <c r="G438" i="1"/>
  <c r="H438" i="1"/>
  <c r="G631" i="1" s="1"/>
  <c r="I438" i="1"/>
  <c r="G632" i="1" s="1"/>
  <c r="F444" i="1"/>
  <c r="F451" i="1" s="1"/>
  <c r="H629" i="1" s="1"/>
  <c r="J629" i="1" s="1"/>
  <c r="G444" i="1"/>
  <c r="H444" i="1"/>
  <c r="F450" i="1"/>
  <c r="G450" i="1"/>
  <c r="H450" i="1"/>
  <c r="G451" i="1"/>
  <c r="H451" i="1"/>
  <c r="H631" i="1" s="1"/>
  <c r="G460" i="1"/>
  <c r="H460" i="1"/>
  <c r="I460" i="1"/>
  <c r="J460" i="1"/>
  <c r="J466" i="1" s="1"/>
  <c r="H616" i="1" s="1"/>
  <c r="F464" i="1"/>
  <c r="G464" i="1"/>
  <c r="H464" i="1"/>
  <c r="I464" i="1"/>
  <c r="J464" i="1"/>
  <c r="G466" i="1"/>
  <c r="H613" i="1" s="1"/>
  <c r="H466" i="1"/>
  <c r="I466" i="1"/>
  <c r="H615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I514" i="1"/>
  <c r="I535" i="1" s="1"/>
  <c r="J514" i="1"/>
  <c r="K514" i="1"/>
  <c r="K535" i="1" s="1"/>
  <c r="F519" i="1"/>
  <c r="G519" i="1"/>
  <c r="H519" i="1"/>
  <c r="I519" i="1"/>
  <c r="J519" i="1"/>
  <c r="J535" i="1" s="1"/>
  <c r="K519" i="1"/>
  <c r="F524" i="1"/>
  <c r="G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H550" i="1"/>
  <c r="H561" i="1" s="1"/>
  <c r="I550" i="1"/>
  <c r="I561" i="1" s="1"/>
  <c r="J550" i="1"/>
  <c r="J561" i="1" s="1"/>
  <c r="K550" i="1"/>
  <c r="L552" i="1"/>
  <c r="L553" i="1"/>
  <c r="L555" i="1" s="1"/>
  <c r="L554" i="1"/>
  <c r="F555" i="1"/>
  <c r="G555" i="1"/>
  <c r="G561" i="1" s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L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J588" i="1"/>
  <c r="H641" i="1" s="1"/>
  <c r="K588" i="1"/>
  <c r="G637" i="1" s="1"/>
  <c r="K592" i="1"/>
  <c r="K593" i="1"/>
  <c r="I595" i="1"/>
  <c r="J595" i="1"/>
  <c r="F604" i="1"/>
  <c r="G604" i="1"/>
  <c r="H604" i="1"/>
  <c r="I604" i="1"/>
  <c r="J604" i="1"/>
  <c r="K604" i="1"/>
  <c r="L604" i="1"/>
  <c r="G610" i="1"/>
  <c r="G612" i="1"/>
  <c r="J612" i="1" s="1"/>
  <c r="G614" i="1"/>
  <c r="J614" i="1" s="1"/>
  <c r="H614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J630" i="1" s="1"/>
  <c r="H630" i="1"/>
  <c r="G633" i="1"/>
  <c r="G634" i="1"/>
  <c r="G635" i="1"/>
  <c r="J635" i="1" s="1"/>
  <c r="H640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L524" i="1" l="1"/>
  <c r="H539" i="1"/>
  <c r="H542" i="1" s="1"/>
  <c r="D6" i="13"/>
  <c r="C6" i="13" s="1"/>
  <c r="C112" i="2"/>
  <c r="C17" i="10"/>
  <c r="E8" i="13"/>
  <c r="K595" i="1"/>
  <c r="G638" i="1" s="1"/>
  <c r="J637" i="1"/>
  <c r="G137" i="2"/>
  <c r="C96" i="2"/>
  <c r="F330" i="1"/>
  <c r="F344" i="1" s="1"/>
  <c r="F96" i="2"/>
  <c r="I185" i="1"/>
  <c r="G620" i="1" s="1"/>
  <c r="J620" i="1" s="1"/>
  <c r="G542" i="1"/>
  <c r="G636" i="1"/>
  <c r="G621" i="1"/>
  <c r="J621" i="1" s="1"/>
  <c r="G96" i="2"/>
  <c r="G639" i="1"/>
  <c r="J639" i="1" s="1"/>
  <c r="F652" i="1"/>
  <c r="I652" i="1" s="1"/>
  <c r="C21" i="10"/>
  <c r="D15" i="13"/>
  <c r="C15" i="13" s="1"/>
  <c r="H637" i="1"/>
  <c r="C116" i="2"/>
  <c r="J249" i="1"/>
  <c r="D96" i="2"/>
  <c r="C111" i="2"/>
  <c r="C16" i="10"/>
  <c r="D7" i="13"/>
  <c r="C7" i="13" s="1"/>
  <c r="L282" i="1"/>
  <c r="E101" i="2"/>
  <c r="E107" i="2" s="1"/>
  <c r="E137" i="2" s="1"/>
  <c r="J632" i="1"/>
  <c r="J607" i="1"/>
  <c r="G153" i="2"/>
  <c r="J43" i="1"/>
  <c r="G36" i="2"/>
  <c r="G42" i="2" s="1"/>
  <c r="H185" i="1"/>
  <c r="G619" i="1" s="1"/>
  <c r="J619" i="1" s="1"/>
  <c r="C130" i="2"/>
  <c r="C133" i="2" s="1"/>
  <c r="L400" i="1"/>
  <c r="C113" i="2"/>
  <c r="C18" i="10"/>
  <c r="D12" i="13"/>
  <c r="C12" i="13" s="1"/>
  <c r="J631" i="1"/>
  <c r="J615" i="1"/>
  <c r="D43" i="2"/>
  <c r="I451" i="1"/>
  <c r="H632" i="1" s="1"/>
  <c r="J330" i="1"/>
  <c r="J344" i="1" s="1"/>
  <c r="F31" i="13"/>
  <c r="J634" i="1"/>
  <c r="F33" i="13"/>
  <c r="C13" i="10"/>
  <c r="C104" i="2"/>
  <c r="J19" i="1"/>
  <c r="G611" i="1" s="1"/>
  <c r="G9" i="2"/>
  <c r="G19" i="2" s="1"/>
  <c r="D14" i="13"/>
  <c r="C14" i="13" s="1"/>
  <c r="C20" i="10"/>
  <c r="C115" i="2"/>
  <c r="F651" i="1"/>
  <c r="G651" i="1"/>
  <c r="G654" i="1" s="1"/>
  <c r="D119" i="2"/>
  <c r="D120" i="2" s="1"/>
  <c r="D137" i="2" s="1"/>
  <c r="D29" i="13"/>
  <c r="C29" i="13" s="1"/>
  <c r="L354" i="1"/>
  <c r="K541" i="1"/>
  <c r="I282" i="1"/>
  <c r="I330" i="1" s="1"/>
  <c r="I344" i="1" s="1"/>
  <c r="F185" i="1"/>
  <c r="G617" i="1" s="1"/>
  <c r="L511" i="1"/>
  <c r="C36" i="12"/>
  <c r="A40" i="12" s="1"/>
  <c r="L230" i="1"/>
  <c r="L239" i="1" s="1"/>
  <c r="H650" i="1" s="1"/>
  <c r="H654" i="1" s="1"/>
  <c r="H617" i="1"/>
  <c r="H524" i="1"/>
  <c r="H535" i="1" s="1"/>
  <c r="K490" i="1"/>
  <c r="K203" i="1"/>
  <c r="K249" i="1" s="1"/>
  <c r="K263" i="1" s="1"/>
  <c r="C26" i="10"/>
  <c r="C103" i="2"/>
  <c r="G641" i="1"/>
  <c r="J641" i="1" s="1"/>
  <c r="G613" i="1"/>
  <c r="J613" i="1" s="1"/>
  <c r="I450" i="1"/>
  <c r="K330" i="1"/>
  <c r="K344" i="1" s="1"/>
  <c r="J239" i="1"/>
  <c r="C19" i="10"/>
  <c r="G161" i="1"/>
  <c r="C39" i="10" s="1"/>
  <c r="B9" i="12"/>
  <c r="A13" i="12" s="1"/>
  <c r="I239" i="1"/>
  <c r="I249" i="1" s="1"/>
  <c r="I263" i="1" s="1"/>
  <c r="J23" i="1"/>
  <c r="G104" i="1"/>
  <c r="G185" i="1" s="1"/>
  <c r="G618" i="1" s="1"/>
  <c r="J618" i="1" s="1"/>
  <c r="F653" i="1"/>
  <c r="I653" i="1" s="1"/>
  <c r="L190" i="1"/>
  <c r="D5" i="13" s="1"/>
  <c r="H239" i="1"/>
  <c r="H249" i="1" s="1"/>
  <c r="H263" i="1" s="1"/>
  <c r="F77" i="2"/>
  <c r="F83" i="2" s="1"/>
  <c r="G652" i="1"/>
  <c r="H25" i="13"/>
  <c r="L306" i="1"/>
  <c r="L320" i="1" s="1"/>
  <c r="L189" i="1"/>
  <c r="I44" i="1"/>
  <c r="H610" i="1" s="1"/>
  <c r="J610" i="1" s="1"/>
  <c r="C106" i="2"/>
  <c r="H595" i="1"/>
  <c r="C105" i="2"/>
  <c r="C117" i="2"/>
  <c r="G662" i="1" l="1"/>
  <c r="G657" i="1"/>
  <c r="H662" i="1"/>
  <c r="C6" i="10" s="1"/>
  <c r="H657" i="1"/>
  <c r="C5" i="13"/>
  <c r="D31" i="13"/>
  <c r="C31" i="13" s="1"/>
  <c r="L330" i="1"/>
  <c r="L344" i="1" s="1"/>
  <c r="G623" i="1" s="1"/>
  <c r="J623" i="1" s="1"/>
  <c r="E33" i="13"/>
  <c r="D35" i="13" s="1"/>
  <c r="C8" i="13"/>
  <c r="G22" i="2"/>
  <c r="G32" i="2" s="1"/>
  <c r="J33" i="1"/>
  <c r="C110" i="2"/>
  <c r="C120" i="2" s="1"/>
  <c r="G627" i="1"/>
  <c r="J627" i="1" s="1"/>
  <c r="H636" i="1"/>
  <c r="J636" i="1" s="1"/>
  <c r="I651" i="1"/>
  <c r="C15" i="10"/>
  <c r="J263" i="1"/>
  <c r="H638" i="1"/>
  <c r="L203" i="1"/>
  <c r="C101" i="2"/>
  <c r="C10" i="10"/>
  <c r="G43" i="2"/>
  <c r="C25" i="13"/>
  <c r="H33" i="13"/>
  <c r="G616" i="1"/>
  <c r="J616" i="1" s="1"/>
  <c r="J44" i="1"/>
  <c r="H611" i="1" s="1"/>
  <c r="J611" i="1" s="1"/>
  <c r="G625" i="1"/>
  <c r="J625" i="1" s="1"/>
  <c r="C27" i="10"/>
  <c r="F539" i="1"/>
  <c r="L514" i="1"/>
  <c r="L535" i="1" s="1"/>
  <c r="C36" i="10"/>
  <c r="J617" i="1"/>
  <c r="J638" i="1"/>
  <c r="C11" i="10"/>
  <c r="C102" i="2"/>
  <c r="C136" i="2"/>
  <c r="C41" i="10" l="1"/>
  <c r="C28" i="10"/>
  <c r="F542" i="1"/>
  <c r="K539" i="1"/>
  <c r="K542" i="1" s="1"/>
  <c r="C107" i="2"/>
  <c r="C137" i="2" s="1"/>
  <c r="D27" i="10"/>
  <c r="F650" i="1"/>
  <c r="L249" i="1"/>
  <c r="L263" i="1" s="1"/>
  <c r="G622" i="1" s="1"/>
  <c r="J622" i="1" s="1"/>
  <c r="D33" i="13"/>
  <c r="D36" i="13" s="1"/>
  <c r="F654" i="1" l="1"/>
  <c r="I650" i="1"/>
  <c r="I654" i="1" s="1"/>
  <c r="D22" i="10"/>
  <c r="C30" i="10"/>
  <c r="D23" i="10"/>
  <c r="D12" i="10"/>
  <c r="D24" i="10"/>
  <c r="D25" i="10"/>
  <c r="D17" i="10"/>
  <c r="D20" i="10"/>
  <c r="D19" i="10"/>
  <c r="D26" i="10"/>
  <c r="D16" i="10"/>
  <c r="D13" i="10"/>
  <c r="D21" i="10"/>
  <c r="D18" i="10"/>
  <c r="D10" i="10"/>
  <c r="D40" i="10"/>
  <c r="D37" i="10"/>
  <c r="D35" i="10"/>
  <c r="D38" i="10"/>
  <c r="D39" i="10"/>
  <c r="D36" i="10"/>
  <c r="H646" i="1"/>
  <c r="D15" i="10"/>
  <c r="D11" i="10"/>
  <c r="D41" i="10" l="1"/>
  <c r="I657" i="1"/>
  <c r="I662" i="1"/>
  <c r="C7" i="10" s="1"/>
  <c r="D28" i="10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376B5FF-4F11-4FF1-8676-58E12BD3E49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3E24914-02B5-477B-A6CF-5DD68C712BD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E7D44B0-4E18-4E17-AE60-7ED5EF4388D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7B709F9-D250-4F2F-A6C9-D994AC14E1D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798AE8C-3863-41F1-88B3-BA5409942F4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E6E5764-FE3A-4115-89C8-B7C23054277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5870318-E00C-4E58-BE49-E5D358DDE89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73CBDB1-D8C4-49D6-B417-6BE5DA10F0E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01BB494-A5FE-4B92-8BB0-D804FFB9061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75B425C-EF98-4FEF-8E48-F4E88F04CA0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D078A25-DD03-4C48-95EF-1AD64A3575A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B178C5E-C740-4550-83A4-7BDD3F20802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<sst xmlns="http://schemas.openxmlformats.org/spreadsheetml/2006/main" count="3858" uniqueCount="895">
  <si>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</si>
  <si>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</si>
  <si>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</si>
  <si>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</si>
  <si>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</si>
  <si>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</si>
  <si>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</si>
  <si>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</si>
  <si>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</si>
  <si>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</si>
  <si>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</si>
  <si>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</si>
  <si>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</si>
  <si>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</si>
  <si>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</si>
  <si>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</si>
  <si>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</si>
  <si>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</si>
  <si>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</si>
  <si>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</si>
  <si>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</si>
  <si>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</si>
  <si>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</si>
  <si>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</si>
  <si>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</si>
  <si>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</si>
  <si>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</si>
  <si>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</si>
  <si>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</si>
  <si>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</si>
  <si>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</si>
  <si>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</si>
  <si>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</si>
  <si>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</si>
  <si>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</si>
  <si>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</si>
  <si>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</si>
  <si>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</si>
  <si>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</si>
  <si>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</si>
  <si>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</si>
  <si>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</si>
  <si>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</si>
  <si>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</si>
  <si>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</si>
  <si>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</si>
  <si>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</si>
  <si>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</si>
  <si>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</si>
  <si>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</si>
  <si>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</si>
  <si>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</si>
  <si>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</si>
  <si>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</si>
  <si>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</si>
  <si>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</si>
  <si>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</si>
  <si>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</si>
  <si>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</si>
  <si>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</si>
  <si>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</si>
  <si>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</si>
  <si>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</si>
  <si>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</si>
  <si>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</si>
  <si>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</si>
  <si>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</si>
  <si>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</si>
  <si>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</si>
  <si>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</si>
  <si>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</si>
  <si>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</si>
  <si>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</si>
  <si>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</si>
  <si>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</si>
  <si>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</si>
  <si>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</si>
  <si>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</si>
  <si>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</si>
  <si>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</si>
  <si>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</si>
  <si>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</si>
  <si>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</si>
  <si>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</si>
  <si>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</si>
  <si>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</si>
  <si>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</si>
  <si>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</si>
  <si>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</si>
  <si>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</si>
  <si>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</si>
  <si>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</si>
  <si>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</si>
  <si>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</si>
  <si>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</si>
  <si>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</si>
  <si>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</si>
  <si>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</si>
  <si>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</si>
  <si>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</si>
  <si>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</si>
  <si>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</si>
  <si>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</si>
  <si>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</si>
  <si>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</si>
  <si>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</si>
  <si>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</si>
  <si>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</si>
  <si>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</si>
  <si>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</si>
  <si>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</si>
  <si>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</si>
  <si>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</si>
  <si>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</si>
  <si>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</si>
  <si>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</si>
  <si>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</si>
  <si>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</si>
  <si>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</si>
  <si>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</si>
  <si>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</si>
  <si>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</si>
  <si>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</si>
  <si>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</si>
  <si>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</si>
  <si>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</si>
  <si>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</si>
  <si>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</si>
  <si>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</si>
  <si>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</si>
  <si>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</si>
  <si>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</si>
  <si>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</si>
  <si>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</si>
  <si>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</si>
  <si>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</si>
  <si>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</si>
  <si>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</si>
  <si>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</si>
  <si>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</si>
  <si>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</si>
  <si>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</si>
  <si>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</si>
  <si>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</si>
  <si>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</si>
  <si>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</si>
  <si>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</si>
  <si>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</si>
  <si>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</si>
  <si>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</si>
  <si>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</si>
  <si>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</si>
  <si>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</si>
  <si>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</si>
  <si>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</si>
  <si>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</si>
  <si>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</si>
  <si>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</si>
  <si>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</si>
  <si>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</si>
  <si>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</si>
  <si>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</si>
  <si>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</si>
  <si>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</si>
  <si>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</si>
  <si>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</si>
  <si>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</si>
  <si>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</si>
  <si>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</si>
  <si>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</si>
  <si>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</si>
  <si>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</si>
  <si>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</si>
  <si>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</si>
  <si>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</si>
  <si>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</si>
  <si>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</si>
  <si>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</si>
  <si>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</si>
  <si>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</si>
  <si>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</si>
  <si>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</si>
  <si>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</si>
  <si>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</si>
  <si>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</si>
  <si>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</si>
  <si>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</si>
  <si>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</si>
  <si>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</si>
  <si>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</si>
  <si>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</si>
  <si>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</si>
  <si>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</si>
  <si>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</si>
  <si>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</si>
  <si>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</si>
  <si>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</si>
  <si>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</si>
  <si>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</si>
  <si>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</si>
  <si>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</si>
  <si>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</si>
  <si>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</si>
  <si>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</si>
  <si>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</si>
  <si>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</si>
  <si>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</si>
  <si>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</si>
  <si>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</si>
  <si>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</si>
  <si>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</si>
  <si>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</si>
  <si>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</si>
  <si>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</si>
  <si>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</si>
  <si>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</si>
  <si>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</si>
  <si>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</si>
  <si>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</si>
  <si>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</si>
  <si>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</si>
  <si>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</si>
  <si>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</si>
  <si>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</si>
  <si>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</si>
  <si>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</si>
  <si>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</si>
  <si>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</si>
  <si>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</si>
  <si>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</si>
  <si>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</si>
  <si>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</si>
  <si>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</si>
  <si>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</si>
  <si>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</si>
  <si>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</si>
  <si>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</si>
  <si>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</si>
  <si>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</si>
  <si>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</si>
  <si>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</si>
  <si>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</si>
  <si>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</si>
  <si>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</si>
  <si>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</si>
  <si>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</si>
  <si>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</si>
  <si>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</si>
  <si>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</si>
  <si>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</si>
  <si>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</si>
  <si>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</si>
  <si>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</si>
  <si>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</si>
  <si>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</si>
  <si>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</si>
  <si>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</si>
  <si>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</si>
  <si>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</si>
  <si>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</si>
  <si>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</si>
  <si>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</si>
  <si>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</si>
  <si>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</si>
  <si>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</si>
  <si>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</si>
  <si>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</si>
  <si>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</si>
  <si>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</si>
  <si>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</si>
  <si>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</si>
  <si>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</si>
  <si>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</si>
  <si>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</si>
  <si>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</si>
  <si>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</si>
  <si>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</si>
  <si>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</si>
  <si>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</si>
  <si>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</si>
  <si>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</si>
  <si>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</si>
  <si>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</si>
  <si>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</si>
  <si>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</si>
  <si>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</si>
  <si>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</si>
  <si>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</si>
  <si>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</si>
  <si>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</si>
  <si>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</si>
  <si>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</si>
  <si>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</si>
  <si>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</si>
  <si>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</si>
  <si>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</si>
  <si>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</si>
  <si>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</si>
  <si>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</si>
  <si>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</si>
  <si>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</si>
  <si>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</si>
  <si>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</si>
  <si>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</si>
  <si>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</si>
  <si>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</si>
  <si>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</si>
  <si>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</si>
  <si>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</si>
  <si>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</si>
  <si>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</si>
  <si>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</si>
  <si>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</si>
  <si>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</si>
  <si>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</si>
  <si>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</si>
  <si>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</si>
  <si>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</si>
  <si>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</si>
  <si>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</si>
  <si>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</si>
  <si>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</si>
  <si>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</si>
  <si>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</si>
  <si>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</si>
  <si>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</si>
  <si>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</si>
  <si>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</si>
  <si>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</si>
  <si>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</si>
  <si>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</si>
  <si>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</si>
  <si>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</si>
  <si>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</si>
  <si>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</si>
  <si>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</si>
  <si>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</si>
  <si>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</si>
  <si>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</si>
  <si>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</si>
  <si>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</si>
  <si>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</si>
  <si>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</si>
  <si>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</si>
  <si>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</si>
  <si>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</si>
  <si>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</si>
  <si>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</si>
  <si>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</si>
  <si>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</si>
  <si>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</si>
  <si>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</si>
  <si>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</si>
  <si>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</si>
  <si>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</si>
  <si>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</si>
  <si>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</si>
  <si>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</si>
  <si>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</si>
  <si>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</si>
  <si>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</si>
  <si>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</si>
  <si>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</si>
  <si>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</si>
  <si>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</si>
  <si>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</si>
  <si>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</si>
  <si>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</si>
  <si>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</si>
  <si>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</si>
  <si>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</si>
  <si>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</si>
  <si>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</si>
  <si>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</si>
  <si>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</si>
  <si>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</si>
  <si>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</si>
  <si>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</si>
  <si>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</si>
  <si>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</si>
  <si>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</si>
  <si>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</si>
  <si>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</si>
  <si>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</si>
  <si>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</si>
  <si>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</si>
  <si>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</si>
  <si>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</si>
  <si>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</si>
  <si>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</si>
  <si>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</si>
  <si>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</si>
  <si>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</si>
  <si>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</si>
  <si>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</si>
  <si>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</si>
  <si>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</si>
  <si>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</si>
  <si>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</si>
  <si>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</si>
  <si>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</si>
  <si>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</si>
  <si>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</si>
  <si>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</si>
  <si>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</si>
  <si>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</si>
  <si>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</si>
  <si>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</si>
  <si>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</si>
  <si>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</si>
  <si>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</si>
  <si>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</si>
  <si>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</si>
  <si>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</si>
  <si>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</si>
  <si>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</si>
  <si>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</si>
  <si>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</si>
  <si>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</si>
  <si>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</si>
  <si>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</si>
  <si>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</si>
  <si>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</si>
  <si>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</si>
  <si>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</si>
  <si>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</si>
  <si>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</si>
  <si>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</si>
  <si>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</si>
  <si>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</si>
  <si>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</si>
  <si>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</si>
  <si>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</si>
  <si>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</si>
  <si>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</si>
  <si>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</si>
  <si>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</si>
  <si>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</si>
  <si>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</si>
  <si>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</si>
  <si>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</si>
  <si>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</si>
  <si>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</si>
  <si>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</si>
  <si>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</si>
  <si>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</si>
  <si>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</si>
  <si>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</si>
  <si>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</si>
  <si>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</si>
  <si>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</si>
  <si>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</si>
  <si>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</si>
  <si>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</si>
  <si>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</si>
  <si>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</si>
  <si>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</si>
  <si>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</si>
  <si>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</si>
  <si>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</si>
  <si>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</si>
  <si>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</si>
  <si>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</si>
  <si>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</si>
  <si>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</si>
  <si>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</si>
  <si>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</si>
  <si>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</si>
  <si>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</si>
  <si>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</si>
  <si>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</si>
  <si>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</si>
  <si>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</si>
  <si>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</si>
  <si>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</si>
  <si>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</si>
  <si>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</si>
  <si>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</si>
  <si>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</si>
  <si>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</si>
  <si>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</si>
  <si>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</si>
  <si>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</si>
  <si>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</si>
  <si>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</si>
  <si>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</si>
  <si>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</si>
  <si>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</si>
  <si>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</si>
  <si>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</si>
  <si>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</si>
  <si>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</si>
  <si>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</si>
  <si>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</si>
  <si>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</si>
  <si>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</si>
  <si>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</si>
  <si>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</si>
  <si>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</si>
  <si>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</si>
  <si>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</si>
  <si>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</si>
  <si>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</si>
  <si>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</si>
  <si>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</si>
  <si>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</si>
  <si>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</si>
  <si>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</si>
  <si>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</si>
  <si>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</si>
  <si>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</si>
  <si>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</si>
  <si>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</si>
  <si>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</si>
  <si>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</si>
  <si>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</si>
  <si>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</si>
  <si>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</si>
  <si>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</si>
  <si>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</si>
  <si>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</si>
  <si>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</si>
  <si>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</si>
  <si>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</si>
  <si>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</si>
  <si>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</si>
  <si>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</si>
  <si>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</si>
  <si>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</si>
  <si>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</si>
  <si>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</si>
  <si>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</si>
  <si>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</si>
  <si>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</si>
  <si>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</si>
  <si>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</si>
  <si>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</si>
  <si>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</si>
  <si>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</si>
  <si>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</si>
  <si>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</si>
  <si>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</si>
  <si>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</si>
  <si>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</si>
  <si>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</si>
  <si>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</si>
  <si>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</si>
  <si>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</si>
  <si>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</si>
  <si>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</si>
  <si>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</si>
  <si>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</si>
  <si>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</si>
  <si>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</si>
  <si>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</si>
  <si>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</si>
  <si>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</si>
  <si>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</si>
  <si>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</si>
  <si>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</si>
  <si>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</si>
  <si>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</si>
  <si>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</si>
  <si>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</si>
  <si>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</si>
  <si>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</si>
  <si>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</si>
  <si>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</si>
  <si>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</si>
  <si>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</si>
  <si>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</si>
  <si>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</si>
  <si>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</si>
  <si>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</si>
  <si>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</si>
  <si>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</si>
  <si>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</si>
  <si>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</si>
  <si>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</si>
  <si>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</si>
  <si>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</si>
  <si>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</si>
  <si>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</si>
  <si>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</si>
  <si>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</si>
  <si>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</si>
  <si>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</si>
  <si>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</si>
  <si>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</si>
  <si>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</si>
  <si>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</si>
  <si>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</si>
  <si>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</si>
  <si>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</si>
  <si>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</si>
  <si>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</si>
  <si>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</si>
  <si>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</si>
  <si>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</si>
  <si>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</si>
  <si>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</si>
  <si>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</si>
  <si>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</si>
  <si>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</si>
  <si>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</si>
  <si>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</si>
  <si>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</si>
  <si>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</si>
  <si>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</si>
  <si>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</si>
  <si>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</si>
  <si>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</si>
  <si>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</si>
  <si>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</si>
  <si>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</si>
  <si>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</si>
  <si>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</si>
  <si>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</si>
  <si>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</si>
  <si>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</si>
  <si>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</si>
  <si>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</si>
  <si>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</si>
  <si>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</si>
  <si>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</si>
  <si>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</si>
  <si>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</si>
  <si>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</si>
  <si>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</si>
  <si>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</si>
  <si>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</si>
  <si>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</si>
  <si>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</si>
  <si>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</si>
  <si>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</si>
  <si>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</si>
  <si>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</si>
  <si>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</si>
  <si>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</si>
  <si>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</si>
  <si>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</si>
  <si>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</si>
  <si>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</si>
  <si>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</si>
  <si>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</si>
  <si>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</si>
  <si>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</si>
  <si>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</si>
  <si>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</si>
  <si>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</si>
  <si>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</si>
  <si>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</si>
  <si>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</si>
  <si>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</si>
  <si>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</si>
  <si>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</si>
  <si>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</si>
  <si>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</si>
  <si>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</si>
  <si>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</si>
  <si>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</si>
  <si>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</si>
  <si>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</si>
  <si>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</si>
  <si>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</si>
  <si>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</si>
  <si>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</si>
  <si>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</si>
  <si>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</si>
  <si>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</si>
  <si>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</si>
  <si>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</si>
  <si>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</si>
  <si>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</si>
  <si>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</si>
  <si>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</si>
  <si>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</si>
  <si>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</si>
  <si>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</si>
  <si>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</si>
  <si>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</si>
  <si>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</si>
  <si>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</si>
  <si>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</si>
  <si>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</si>
  <si>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</si>
  <si>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</si>
  <si>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</si>
  <si>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</si>
  <si>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</si>
  <si>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</si>
  <si>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</si>
  <si>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</si>
  <si>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</si>
  <si>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</si>
  <si>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</si>
  <si>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</si>
  <si>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</si>
  <si>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</si>
  <si>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</si>
  <si>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</si>
  <si>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</si>
  <si>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</si>
  <si>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</si>
  <si>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</si>
  <si>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</si>
  <si>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</si>
  <si>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</si>
  <si>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</si>
  <si>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</si>
  <si>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</si>
  <si>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</si>
  <si>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</si>
  <si>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</si>
  <si>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</si>
  <si>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</si>
  <si>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</si>
  <si>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</si>
  <si>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</si>
  <si>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</si>
  <si>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</si>
  <si>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</si>
  <si>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</si>
  <si>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</si>
  <si>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</si>
  <si>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</si>
  <si>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</si>
  <si>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</si>
  <si>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</si>
  <si>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</si>
  <si>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</si>
  <si>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</si>
  <si>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</si>
  <si>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</si>
  <si>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</si>
  <si>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</si>
  <si>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</si>
  <si>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</si>
  <si>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</si>
  <si>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</si>
  <si>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</si>
  <si>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</si>
  <si>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</si>
  <si>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</si>
  <si>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</si>
  <si>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</si>
  <si>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</si>
  <si>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</si>
  <si>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</si>
  <si>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</si>
  <si>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</si>
  <si>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</si>
  <si>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</si>
  <si>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</si>
  <si>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</si>
  <si>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</si>
  <si>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</si>
  <si>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</si>
  <si>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</si>
  <si>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</si>
  <si>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</si>
  <si>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</si>
  <si>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</si>
  <si>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</si>
  <si>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</si>
  <si>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</si>
  <si>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</si>
  <si>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</si>
  <si>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</si>
  <si>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</si>
  <si>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</si>
  <si>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</si>
  <si>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</si>
  <si>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</si>
  <si>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</si>
  <si>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</si>
  <si>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</si>
  <si>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</si>
  <si>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</si>
  <si>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</si>
  <si>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</si>
  <si>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</si>
  <si>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</si>
  <si>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</si>
  <si>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</si>
  <si>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</si>
  <si>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</si>
  <si>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</si>
  <si>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</si>
  <si>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</si>
  <si>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</si>
  <si>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</si>
  <si>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</si>
  <si>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</si>
  <si>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</si>
  <si>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</si>
  <si>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</si>
  <si>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</si>
  <si>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</si>
  <si>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</si>
  <si>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</si>
  <si>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</si>
  <si>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</si>
  <si>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</si>
  <si>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</si>
  <si>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</si>
  <si>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</si>
  <si>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</si>
  <si>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</si>
  <si>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</si>
  <si>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</si>
  <si>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</si>
  <si>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</si>
  <si>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</si>
  <si>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</si>
  <si>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</si>
  <si>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</si>
  <si>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</si>
  <si>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</si>
  <si>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</si>
  <si>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</si>
  <si>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</si>
  <si>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</si>
  <si>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</si>
  <si>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</si>
  <si>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</si>
  <si>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</si>
  <si>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</si>
  <si>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</si>
  <si>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</si>
  <si>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</si>
  <si>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</si>
  <si>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</si>
  <si>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</si>
  <si>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</si>
  <si>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</si>
  <si>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</si>
  <si>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</si>
  <si>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</si>
  <si>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</si>
  <si>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</si>
  <si>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</si>
  <si>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</si>
  <si>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</si>
  <si>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</si>
  <si>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</si>
  <si>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</si>
  <si>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</si>
  <si>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</si>
  <si>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</si>
  <si>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</si>
  <si>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</si>
  <si>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</si>
  <si>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</si>
  <si>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</si>
  <si>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</si>
  <si>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</si>
  <si>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</si>
  <si>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</si>
  <si>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</si>
  <si>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</si>
  <si>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</si>
  <si>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</si>
  <si>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</si>
  <si>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</si>
  <si>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</si>
  <si>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</si>
  <si>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</si>
  <si>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</si>
  <si>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</si>
  <si>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</si>
  <si>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</si>
  <si>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</si>
  <si>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</si>
  <si>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</si>
  <si>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</si>
  <si>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</si>
  <si>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</si>
  <si>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</si>
  <si>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</si>
  <si>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</si>
  <si>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</si>
  <si>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</si>
  <si>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</si>
  <si>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</si>
  <si>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</si>
  <si>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</si>
  <si>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</si>
  <si>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</si>
  <si>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</si>
  <si>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</si>
  <si>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</si>
  <si>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</si>
  <si>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</si>
  <si>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Stratford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</si>
</sst>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03B2-C1F4-4FF4-9FDD-D4CD81E8749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509</v>
      </c>
      <c r="C2" s="21">
        <v>509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-69381</v>
      </c>
      <c r="G9" s="18"/>
      <c r="H9" s="18"/>
      <c r="I9" s="18"/>
      <c r="J9" s="67">
        <f>SUM(I431)</f>
        <v>272936.83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49061.48+10173.87</f>
        <v>59235.350000000006</v>
      </c>
      <c r="G12" s="18">
        <v>2395</v>
      </c>
      <c r="H12" s="18">
        <v>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33459.05+11352.91</f>
        <v>44811.960000000006</v>
      </c>
      <c r="G14" s="18">
        <v>10173.870000000001</v>
      </c>
      <c r="H14" s="18">
        <v>49061.48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34666.310000000012</v>
      </c>
      <c r="G19" s="41">
        <f>SUM(G9:G18)</f>
        <v>12568.87</v>
      </c>
      <c r="H19" s="41">
        <f>SUM(H9:H18)</f>
        <v>49061.48</v>
      </c>
      <c r="I19" s="41">
        <f>SUM(I9:I18)</f>
        <v>0</v>
      </c>
      <c r="J19" s="41">
        <f>SUM(J9:J18)</f>
        <v>272936.83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2395</v>
      </c>
      <c r="G23" s="18">
        <v>10173.870000000001</v>
      </c>
      <c r="H23" s="18">
        <v>49061.48</v>
      </c>
      <c r="I23" s="18"/>
      <c r="J23" s="67">
        <f>SUM(I440)</f>
        <v>11352.91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27826.75</v>
      </c>
      <c r="G29" s="18">
        <v>2395</v>
      </c>
      <c r="H29" s="18">
        <v>0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4444.5600000000004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34666.31</v>
      </c>
      <c r="G33" s="41">
        <f>SUM(G23:G32)</f>
        <v>12568.87</v>
      </c>
      <c r="H33" s="41">
        <f>SUM(H23:H32)</f>
        <v>49061.48</v>
      </c>
      <c r="I33" s="41">
        <f>SUM(I23:I32)</f>
        <v>0</v>
      </c>
      <c r="J33" s="41">
        <f>SUM(J23:J32)</f>
        <v>11352.91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261583.92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261583.92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34666.31</v>
      </c>
      <c r="G44" s="41">
        <f>G43+G33</f>
        <v>12568.87</v>
      </c>
      <c r="H44" s="41">
        <f>H43+H33</f>
        <v>49061.48</v>
      </c>
      <c r="I44" s="41">
        <f>I43+I33</f>
        <v>0</v>
      </c>
      <c r="J44" s="41">
        <f>J43+J33</f>
        <v>272936.83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661135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661135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39788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204288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6647.93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250723.93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175.95</v>
      </c>
      <c r="G88" s="18"/>
      <c r="H88" s="18"/>
      <c r="I88" s="18"/>
      <c r="J88" s="18">
        <v>384.62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23600.98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175.95</v>
      </c>
      <c r="G103" s="41">
        <f>SUM(G88:G102)</f>
        <v>23600.98</v>
      </c>
      <c r="H103" s="41">
        <f>SUM(H88:H102)</f>
        <v>0</v>
      </c>
      <c r="I103" s="41">
        <f>SUM(I88:I102)</f>
        <v>0</v>
      </c>
      <c r="J103" s="41">
        <f>SUM(J88:J102)</f>
        <v>384.62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912034.87999999989</v>
      </c>
      <c r="G104" s="41">
        <f>G52+G103</f>
        <v>23600.98</v>
      </c>
      <c r="H104" s="41">
        <f>H52+H71+H86+H103</f>
        <v>0</v>
      </c>
      <c r="I104" s="41">
        <f>I52+I103</f>
        <v>0</v>
      </c>
      <c r="J104" s="41">
        <f>J52+J103</f>
        <v>384.62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777262.89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120680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28191.11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926134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741.19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750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750</v>
      </c>
      <c r="G128" s="41">
        <f>SUM(G115:G127)</f>
        <v>741.19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926884</v>
      </c>
      <c r="G132" s="41">
        <f>G113+SUM(G128:G129)</f>
        <v>741.19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31080.68</v>
      </c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115738.26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69871.759999999995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49051.95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2243.71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33324.39</v>
      </c>
      <c r="G154" s="41">
        <f>SUM(G142:G153)</f>
        <v>49051.95</v>
      </c>
      <c r="H154" s="41">
        <f>SUM(H142:H153)</f>
        <v>185610.02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4923.09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38247.479999999996</v>
      </c>
      <c r="G161" s="41">
        <f>G139+G154+SUM(G155:G160)</f>
        <v>49051.95</v>
      </c>
      <c r="H161" s="41">
        <f>H139+H154+SUM(H155:H160)</f>
        <v>185610.02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40253.85</v>
      </c>
      <c r="H171" s="18"/>
      <c r="I171" s="18"/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40253.85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11352.91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11352.91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11352.91</v>
      </c>
      <c r="G184" s="41">
        <f>G175+SUM(G180:G183)</f>
        <v>40253.85</v>
      </c>
      <c r="H184" s="41">
        <f>+H175+SUM(H180:H183)</f>
        <v>0</v>
      </c>
      <c r="I184" s="41">
        <f>I169+I175+SUM(I180:I183)</f>
        <v>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1888519.2699999998</v>
      </c>
      <c r="G185" s="47">
        <f>G104+G132+G161+G184</f>
        <v>113647.97</v>
      </c>
      <c r="H185" s="47">
        <f>H104+H132+H161+H184</f>
        <v>185610.02</v>
      </c>
      <c r="I185" s="47">
        <f>I104+I132+I161+I184</f>
        <v>0</v>
      </c>
      <c r="J185" s="47">
        <f>J104+J132+J184</f>
        <v>25384.62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231765.25+500+104236.07+19103.6+5394.95+4671.17+4174.23+20697.13</f>
        <v>390542.39999999997</v>
      </c>
      <c r="G189" s="18">
        <f>43490.64+22825.55+1897.17+921.81+1514.24+545.16+19793.12+38.26+8601.9+21.02+7.51+18030.39+40.1+6112.86+570+320+845.85+281.95+11490.6+1714.5+86.62+1550.59+1393.01</f>
        <v>142092.85</v>
      </c>
      <c r="H189" s="18">
        <f>200+50+3000.01+1071.46+109.17-711.7</f>
        <v>3718.9400000000005</v>
      </c>
      <c r="I189" s="18">
        <f>1356.63+863.97+537.78+615.76+419.53+578.16+572.01+481.09+419.36+536.72+1280.97+238.82+83+310.44+796.89+228.39+478.9+112.79+91.39+520.32+659.3+51+261.63+139.87+332.51+309.38+118.38+648.24+311.61+3384.78+87.7+173.66+76.97+149.76+1861.87+611.29+3537.86+540.05</f>
        <v>23778.779999999995</v>
      </c>
      <c r="J189" s="18">
        <f>139.96+1123.01+323.59+199.99</f>
        <v>1786.55</v>
      </c>
      <c r="K189" s="18">
        <f>168.84+60.3+65</f>
        <v>294.14</v>
      </c>
      <c r="L189" s="19">
        <f>SUM(F189:K189)</f>
        <v>562213.66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23043.95+8230.04+26160.66+6042.16</f>
        <v>63476.81</v>
      </c>
      <c r="G190" s="18">
        <f>8666.19+3094.96+209.84+74.95+138.23+49.37+3690.78+1065.58+1848.17+660.14+270+220+127.44+37.83</f>
        <v>20153.48</v>
      </c>
      <c r="H190" s="18">
        <f>3921.9+11426.04+3907.4+88.9+15.3</f>
        <v>19359.54</v>
      </c>
      <c r="I190" s="18">
        <f>226.87+196.34+217.95</f>
        <v>641.16000000000008</v>
      </c>
      <c r="J190" s="18">
        <v>0</v>
      </c>
      <c r="K190" s="18">
        <v>0</v>
      </c>
      <c r="L190" s="19">
        <f>SUM(F190:K190)</f>
        <v>103630.98999999999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1904+1175</f>
        <v>3079</v>
      </c>
      <c r="G192" s="18">
        <f>145.62+89.93+84.64+15.12+78.6+66.58</f>
        <v>480.48999999999995</v>
      </c>
      <c r="H192" s="18">
        <f>1620+3500</f>
        <v>5120</v>
      </c>
      <c r="I192" s="18">
        <f>300+81.5</f>
        <v>381.5</v>
      </c>
      <c r="J192" s="18">
        <f>0</f>
        <v>0</v>
      </c>
      <c r="K192" s="18">
        <v>0</v>
      </c>
      <c r="L192" s="19">
        <f>SUM(F192:K192)</f>
        <v>9060.99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20468+7309.94</f>
        <v>27777.94</v>
      </c>
      <c r="G194" s="18">
        <f>4335.86+1547.49+209.79+74.95+139.31+49.75+1529.29+545.79+1641.86+585.86+250+220+85.21+17.91</f>
        <v>11233.07</v>
      </c>
      <c r="H194" s="18">
        <f>13933.55+26588.19+9414.68-601.6+100</f>
        <v>49434.82</v>
      </c>
      <c r="I194" s="18">
        <f>33.9</f>
        <v>33.9</v>
      </c>
      <c r="J194" s="18">
        <v>0</v>
      </c>
      <c r="K194" s="18">
        <v>0</v>
      </c>
      <c r="L194" s="19">
        <f t="shared" ref="L194:L200" si="0">SUM(F194:K194)</f>
        <v>88479.729999999981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23548.04+8409.96+4479.98+1599.99</f>
        <v>38037.969999999994</v>
      </c>
      <c r="G195" s="18">
        <f>207.88+74.27+152.16+54.34+2128.44+759.6+1888.9+674.34+250+220+53.91+20.6</f>
        <v>6484.4400000000005</v>
      </c>
      <c r="H195" s="18">
        <f>91.8+150+25+125.61+44.86</f>
        <v>437.27000000000004</v>
      </c>
      <c r="I195" s="18">
        <f>308.26+286.56+200+106.89+1484.86+1300</f>
        <v>3686.5699999999997</v>
      </c>
      <c r="J195" s="18">
        <f>346+32.9</f>
        <v>378.9</v>
      </c>
      <c r="K195" s="18">
        <v>0</v>
      </c>
      <c r="L195" s="19">
        <f t="shared" si="0"/>
        <v>49025.149999999994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2174</f>
        <v>2174</v>
      </c>
      <c r="G196" s="18">
        <f>166</f>
        <v>166</v>
      </c>
      <c r="H196" s="18">
        <f>9962+2597+4394+87562</f>
        <v>104515</v>
      </c>
      <c r="I196" s="18">
        <f>2118</f>
        <v>2118</v>
      </c>
      <c r="J196" s="18">
        <v>0</v>
      </c>
      <c r="K196" s="18">
        <v>0</v>
      </c>
      <c r="L196" s="19">
        <f t="shared" si="0"/>
        <v>108973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40955.91+14108.61+14499.49+4990.32+6479.59+2254.78+277.1+98.96</f>
        <v>83664.760000000024</v>
      </c>
      <c r="G197" s="18">
        <f>4124.81+1414.5+13.98+5.01+263.93+91.22+4636.58+1601.07+1315.45+452.13+3199.88+1104.48+300+220+221.05+48.51+220+220+30.16+5.39</f>
        <v>19488.149999999998</v>
      </c>
      <c r="H197" s="18">
        <f>200+50+868.55+433.89+2042.52+1002.74+9308.48+1662.23+131.31</f>
        <v>15699.72</v>
      </c>
      <c r="I197" s="18">
        <f>410.97+61.11+3000+56+0</f>
        <v>3528.08</v>
      </c>
      <c r="J197" s="18">
        <f>0+280.6</f>
        <v>280.60000000000002</v>
      </c>
      <c r="K197" s="18">
        <f>502.8+326+546.37+257.5</f>
        <v>1632.67</v>
      </c>
      <c r="L197" s="19">
        <f t="shared" si="0"/>
        <v>124293.98000000003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35597.01+12031.35+2003.41+580.51+988.93+353.19</f>
        <v>51554.400000000009</v>
      </c>
      <c r="G199" s="18">
        <f>16195.2+5392.76+2777.65+932.77+3261.16+1101.79+272+222+620.29+163.47</f>
        <v>30939.090000000004</v>
      </c>
      <c r="H199" s="18">
        <f>7939.27+2835.46+3432.8+1226+2688+960+33019.94+11899.41+3612.56+1290.2+1230.09+439.33</f>
        <v>70573.06</v>
      </c>
      <c r="I199" s="18">
        <f>7684.46+2872.1+13268.4+4738.7+880.65+314.52+20050.65+7160.96</f>
        <v>56970.44</v>
      </c>
      <c r="J199" s="18">
        <f>3203.67+1037.03+138.69+15.4</f>
        <v>4394.7899999999991</v>
      </c>
      <c r="K199" s="18">
        <v>0</v>
      </c>
      <c r="L199" s="19">
        <f t="shared" si="0"/>
        <v>214431.78000000003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f>10325.06+4098.8+1735.13+3905.79+23089.93+8246.4+3042.45+205.52</f>
        <v>54649.08</v>
      </c>
      <c r="I200" s="18">
        <v>0</v>
      </c>
      <c r="J200" s="18">
        <v>0</v>
      </c>
      <c r="K200" s="18">
        <v>0</v>
      </c>
      <c r="L200" s="19">
        <f t="shared" si="0"/>
        <v>54649.08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660307.27999999991</v>
      </c>
      <c r="G203" s="41">
        <f t="shared" si="1"/>
        <v>231037.57</v>
      </c>
      <c r="H203" s="41">
        <f t="shared" si="1"/>
        <v>323507.43</v>
      </c>
      <c r="I203" s="41">
        <f t="shared" si="1"/>
        <v>91138.43</v>
      </c>
      <c r="J203" s="41">
        <f t="shared" si="1"/>
        <v>6840.8399999999983</v>
      </c>
      <c r="K203" s="41">
        <f t="shared" si="1"/>
        <v>1926.81</v>
      </c>
      <c r="L203" s="41">
        <f t="shared" si="1"/>
        <v>1314758.3600000001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190138.29+15501.48+6624.18</f>
        <v>212263.95</v>
      </c>
      <c r="G225" s="18">
        <f>40996.92+1225.37+1114.67+16105.48-0.27+14783.13+670+1127.8+3723.65</f>
        <v>79746.75</v>
      </c>
      <c r="H225" s="18">
        <f>750+109+29.74+25+1285.72+79.2+181.01</f>
        <v>2459.67</v>
      </c>
      <c r="I225" s="18">
        <f>151.37+342.18+188.28+690.19+154.71+458.22+640.72+613.17+93.09+434.97+402.73+499.81+368.42+138.24+1611.84+1237.31+296.96+90.48+223.5+434.44+718.06+175.15</f>
        <v>9963.84</v>
      </c>
      <c r="J225" s="18">
        <f>1725+669.75</f>
        <v>2394.75</v>
      </c>
      <c r="K225" s="18">
        <f>94.18+42.5+100+72.36</f>
        <v>309.04000000000002</v>
      </c>
      <c r="L225" s="19">
        <f>SUM(F225:K225)</f>
        <v>307138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9876.01+4029.13</f>
        <v>13905.14</v>
      </c>
      <c r="G226" s="18">
        <f>3713.63+89.97+59.24+1031.91+791.87+250+79.16</f>
        <v>6015.78</v>
      </c>
      <c r="H226" s="18">
        <f>16466.46+41789.59+15.3</f>
        <v>58271.35</v>
      </c>
      <c r="I226" s="18">
        <f>198.69+200</f>
        <v>398.69</v>
      </c>
      <c r="J226" s="18">
        <v>0</v>
      </c>
      <c r="K226" s="18">
        <v>0</v>
      </c>
      <c r="L226" s="19">
        <f>SUM(F226:K226)</f>
        <v>78590.959999999992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3459.16</v>
      </c>
      <c r="I227" s="18">
        <v>0</v>
      </c>
      <c r="J227" s="18">
        <v>0</v>
      </c>
      <c r="K227" s="18">
        <v>0</v>
      </c>
      <c r="L227" s="19">
        <f>SUM(F227:K227)</f>
        <v>3459.16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4221</v>
      </c>
      <c r="G228" s="18">
        <f>322.92+51.38+235.78</f>
        <v>610.08000000000004</v>
      </c>
      <c r="H228" s="18">
        <f>7350+146.63+130</f>
        <v>7626.63</v>
      </c>
      <c r="I228" s="18">
        <f>1153.1</f>
        <v>1153.0999999999999</v>
      </c>
      <c r="J228" s="18">
        <f>312+107.08</f>
        <v>419.08</v>
      </c>
      <c r="K228" s="18">
        <f>353.25+1025</f>
        <v>1378.25</v>
      </c>
      <c r="L228" s="19">
        <f>SUM(F228:K228)</f>
        <v>15408.14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8772.06</f>
        <v>8772.06</v>
      </c>
      <c r="G230" s="18">
        <f>1857.87+90.02+59.7+655.25+703.56+220+60.89</f>
        <v>3647.29</v>
      </c>
      <c r="H230" s="18">
        <f>11602.05+150</f>
        <v>11752.05</v>
      </c>
      <c r="I230" s="18">
        <f>130.13+35.25</f>
        <v>165.38</v>
      </c>
      <c r="J230" s="18">
        <v>0</v>
      </c>
      <c r="K230" s="18">
        <v>0</v>
      </c>
      <c r="L230" s="19">
        <f t="shared" ref="L230:L236" si="4">SUM(F230:K230)</f>
        <v>24336.78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10092+1920.03</f>
        <v>12012.03</v>
      </c>
      <c r="G231" s="18">
        <f>89.2+65.2+911.53+809.22+220+60.98</f>
        <v>2156.13</v>
      </c>
      <c r="H231" s="18">
        <f>100+265.36+190.14+53.84</f>
        <v>609.34</v>
      </c>
      <c r="I231" s="18">
        <f>310+142.19+1487.15</f>
        <v>1939.3400000000001</v>
      </c>
      <c r="J231" s="18">
        <f>384.6+211.84</f>
        <v>596.44000000000005</v>
      </c>
      <c r="K231" s="18">
        <v>0</v>
      </c>
      <c r="L231" s="19">
        <f t="shared" si="4"/>
        <v>17313.28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686</v>
      </c>
      <c r="G232" s="18">
        <f>52.74</f>
        <v>52.74</v>
      </c>
      <c r="H232" s="18">
        <f>3145.5+819.5+1387.58+27651.59</f>
        <v>33004.17</v>
      </c>
      <c r="I232" s="18">
        <v>669.26</v>
      </c>
      <c r="J232" s="18">
        <v>0</v>
      </c>
      <c r="K232" s="18">
        <v>0</v>
      </c>
      <c r="L232" s="19">
        <f t="shared" si="4"/>
        <v>34412.17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18070.96+6402.19+2836.12+118.76</f>
        <v>27428.029999999995</v>
      </c>
      <c r="G233" s="18">
        <f>1823.48+6.01+116.17+2039.27+580.5+1407.82+250+130.82+220+18.31</f>
        <v>6592.38</v>
      </c>
      <c r="H233" s="18">
        <f>50+577.24+1108.86+5651.57</f>
        <v>7387.67</v>
      </c>
      <c r="I233" s="18">
        <f>277.65+1390+0</f>
        <v>1667.65</v>
      </c>
      <c r="J233" s="18">
        <f>0+0</f>
        <v>0</v>
      </c>
      <c r="K233" s="18">
        <f>350.2+50</f>
        <v>400.2</v>
      </c>
      <c r="L233" s="19">
        <f t="shared" si="4"/>
        <v>43475.929999999993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15937.64+993.62+423.83</f>
        <v>17355.09</v>
      </c>
      <c r="G235" s="18">
        <f>7325.49+1249.25+1459.58+252+417.28</f>
        <v>10703.6</v>
      </c>
      <c r="H235" s="18">
        <f>3402.54+1471.2+1152+14367.28+1548.24+527.19</f>
        <v>22468.45</v>
      </c>
      <c r="I235" s="18">
        <f>3437.64+5686.4+377.43+8593.12</f>
        <v>18094.59</v>
      </c>
      <c r="J235" s="18">
        <f>1991.94-135.53</f>
        <v>1856.41</v>
      </c>
      <c r="K235" s="18">
        <v>0</v>
      </c>
      <c r="L235" s="19">
        <f t="shared" si="4"/>
        <v>70478.14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f>4368.52+5993.42+9895.67+3042.55</f>
        <v>23300.16</v>
      </c>
      <c r="I236" s="18">
        <v>0</v>
      </c>
      <c r="J236" s="18">
        <v>0</v>
      </c>
      <c r="K236" s="18">
        <v>0</v>
      </c>
      <c r="L236" s="19">
        <f t="shared" si="4"/>
        <v>23300.16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296643.30000000005</v>
      </c>
      <c r="G239" s="41">
        <f t="shared" si="5"/>
        <v>109524.75000000001</v>
      </c>
      <c r="H239" s="41">
        <f t="shared" si="5"/>
        <v>170338.65</v>
      </c>
      <c r="I239" s="41">
        <f t="shared" si="5"/>
        <v>34051.85</v>
      </c>
      <c r="J239" s="41">
        <f t="shared" si="5"/>
        <v>5266.68</v>
      </c>
      <c r="K239" s="41">
        <f t="shared" si="5"/>
        <v>2087.4899999999998</v>
      </c>
      <c r="L239" s="41">
        <f t="shared" si="5"/>
        <v>617912.72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33303.040000000001</v>
      </c>
      <c r="I247" s="18">
        <v>0</v>
      </c>
      <c r="J247" s="18">
        <v>0</v>
      </c>
      <c r="K247" s="18">
        <v>0</v>
      </c>
      <c r="L247" s="19">
        <f t="shared" si="6"/>
        <v>33303.040000000001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33303.040000000001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33303.040000000001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956950.58</v>
      </c>
      <c r="G249" s="41">
        <f t="shared" si="8"/>
        <v>340562.32</v>
      </c>
      <c r="H249" s="41">
        <f t="shared" si="8"/>
        <v>527149.12</v>
      </c>
      <c r="I249" s="41">
        <f t="shared" si="8"/>
        <v>125190.28</v>
      </c>
      <c r="J249" s="41">
        <f t="shared" si="8"/>
        <v>12107.519999999999</v>
      </c>
      <c r="K249" s="41">
        <f t="shared" si="8"/>
        <v>4014.2999999999997</v>
      </c>
      <c r="L249" s="41">
        <f t="shared" si="8"/>
        <v>1965974.12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40253.85</v>
      </c>
      <c r="L255" s="19">
        <f>SUM(F255:K255)</f>
        <v>40253.85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65253.85</v>
      </c>
      <c r="L262" s="41">
        <f t="shared" si="9"/>
        <v>65253.85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956950.58</v>
      </c>
      <c r="G263" s="42">
        <f t="shared" si="11"/>
        <v>340562.32</v>
      </c>
      <c r="H263" s="42">
        <f t="shared" si="11"/>
        <v>527149.12</v>
      </c>
      <c r="I263" s="42">
        <f t="shared" si="11"/>
        <v>125190.28</v>
      </c>
      <c r="J263" s="42">
        <f t="shared" si="11"/>
        <v>12107.519999999999</v>
      </c>
      <c r="K263" s="42">
        <f t="shared" si="11"/>
        <v>69268.149999999994</v>
      </c>
      <c r="L263" s="42">
        <f t="shared" si="11"/>
        <v>2031227.9700000002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64380.16+173.85+8272.36+17112.78+1000</f>
        <v>90939.15</v>
      </c>
      <c r="G268" s="18">
        <f>7741.22+374.76+294.12+4859.25+3769.45+302.3+316.93+456.12+646.72+651.48+1309.13+9.16+192.48</f>
        <v>20923.12</v>
      </c>
      <c r="H268" s="18">
        <f>194.34+235.11+3551.75+175+150+359.15+1330+681.6-225+3642.4+42.84-9730</f>
        <v>407.19000000000051</v>
      </c>
      <c r="I268" s="18">
        <f>633.3+816+1816.71+1225.44-8087</f>
        <v>-3595.5499999999993</v>
      </c>
      <c r="J268" s="18">
        <f>3578.65-1128</f>
        <v>2450.65</v>
      </c>
      <c r="K268" s="18">
        <f>50</f>
        <v>50</v>
      </c>
      <c r="L268" s="19">
        <f>SUM(F268:K268)</f>
        <v>111174.55999999998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f>24445.88</f>
        <v>24445.88</v>
      </c>
      <c r="I269" s="18">
        <f>8087</f>
        <v>8087</v>
      </c>
      <c r="J269" s="18">
        <f>1128</f>
        <v>1128</v>
      </c>
      <c r="K269" s="18"/>
      <c r="L269" s="19">
        <f>SUM(F269:K269)</f>
        <v>33660.880000000005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0</v>
      </c>
      <c r="I274" s="18">
        <f>393.24+381.34</f>
        <v>774.57999999999993</v>
      </c>
      <c r="J274" s="18">
        <v>0</v>
      </c>
      <c r="K274" s="18">
        <v>0</v>
      </c>
      <c r="L274" s="19">
        <f t="shared" si="12"/>
        <v>774.57999999999993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90939.15</v>
      </c>
      <c r="G282" s="42">
        <f t="shared" si="13"/>
        <v>20923.12</v>
      </c>
      <c r="H282" s="42">
        <f t="shared" si="13"/>
        <v>24853.07</v>
      </c>
      <c r="I282" s="42">
        <f t="shared" si="13"/>
        <v>5266.0300000000007</v>
      </c>
      <c r="J282" s="42">
        <f t="shared" si="13"/>
        <v>3578.65</v>
      </c>
      <c r="K282" s="42">
        <f t="shared" si="13"/>
        <v>50</v>
      </c>
      <c r="L282" s="41">
        <f t="shared" si="13"/>
        <v>145610.01999999999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11439.55+8570+6157.38</f>
        <v>26166.93</v>
      </c>
      <c r="G306" s="18">
        <f>7500+83+374.76+219+1876.43+1007.26+655+775+158.22+884.4</f>
        <v>13533.07</v>
      </c>
      <c r="H306" s="18">
        <f>300</f>
        <v>300</v>
      </c>
      <c r="I306" s="18">
        <v>0</v>
      </c>
      <c r="J306" s="18">
        <v>0</v>
      </c>
      <c r="K306" s="18">
        <v>0</v>
      </c>
      <c r="L306" s="19">
        <f>SUM(F306:K306)</f>
        <v>40000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26166.93</v>
      </c>
      <c r="G320" s="42">
        <f t="shared" si="17"/>
        <v>13533.07</v>
      </c>
      <c r="H320" s="42">
        <f t="shared" si="17"/>
        <v>300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40000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117106.07999999999</v>
      </c>
      <c r="G330" s="41">
        <f t="shared" si="20"/>
        <v>34456.19</v>
      </c>
      <c r="H330" s="41">
        <f t="shared" si="20"/>
        <v>25153.07</v>
      </c>
      <c r="I330" s="41">
        <f t="shared" si="20"/>
        <v>5266.0300000000007</v>
      </c>
      <c r="J330" s="41">
        <f t="shared" si="20"/>
        <v>3578.65</v>
      </c>
      <c r="K330" s="41">
        <f t="shared" si="20"/>
        <v>50</v>
      </c>
      <c r="L330" s="41">
        <f t="shared" si="20"/>
        <v>185610.02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117106.07999999999</v>
      </c>
      <c r="G344" s="41">
        <f>G330</f>
        <v>34456.19</v>
      </c>
      <c r="H344" s="41">
        <f>H330</f>
        <v>25153.07</v>
      </c>
      <c r="I344" s="41">
        <f>I330</f>
        <v>5266.0300000000007</v>
      </c>
      <c r="J344" s="41">
        <f>J330</f>
        <v>3578.65</v>
      </c>
      <c r="K344" s="47">
        <f>K330+K343</f>
        <v>50</v>
      </c>
      <c r="L344" s="41">
        <f>L330+L343</f>
        <v>185610.02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31276+583</f>
        <v>31859</v>
      </c>
      <c r="G350" s="18">
        <f>17644+2223+1114+321+900</f>
        <v>22202</v>
      </c>
      <c r="H350" s="18">
        <f>1859</f>
        <v>1859</v>
      </c>
      <c r="I350" s="18">
        <f>-68+29600</f>
        <v>29532</v>
      </c>
      <c r="J350" s="18">
        <f>760</f>
        <v>760</v>
      </c>
      <c r="K350" s="18">
        <f>161</f>
        <v>161</v>
      </c>
      <c r="L350" s="13">
        <f>SUM(F350:K350)</f>
        <v>86373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9876.3+183.71</f>
        <v>10060.009999999998</v>
      </c>
      <c r="G352" s="18">
        <f>5572+702.43+352.02+101+284.19</f>
        <v>7011.64</v>
      </c>
      <c r="H352" s="18">
        <f>587.26</f>
        <v>587.26</v>
      </c>
      <c r="I352" s="18">
        <f>-22.13+9346.94</f>
        <v>9324.8100000000013</v>
      </c>
      <c r="J352" s="18">
        <f>240</f>
        <v>240</v>
      </c>
      <c r="K352" s="18">
        <f>51.25</f>
        <v>51.25</v>
      </c>
      <c r="L352" s="19">
        <f>SUM(F352:K352)</f>
        <v>27274.969999999998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41919.009999999995</v>
      </c>
      <c r="G354" s="47">
        <f t="shared" si="22"/>
        <v>29213.64</v>
      </c>
      <c r="H354" s="47">
        <f t="shared" si="22"/>
        <v>2446.2600000000002</v>
      </c>
      <c r="I354" s="47">
        <f t="shared" si="22"/>
        <v>38856.81</v>
      </c>
      <c r="J354" s="47">
        <f t="shared" si="22"/>
        <v>1000</v>
      </c>
      <c r="K354" s="47">
        <f t="shared" si="22"/>
        <v>212.25</v>
      </c>
      <c r="L354" s="47">
        <f t="shared" si="22"/>
        <v>113647.97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29600</v>
      </c>
      <c r="G359" s="18"/>
      <c r="H359" s="18">
        <v>9346.94</v>
      </c>
      <c r="I359" s="56">
        <f>SUM(F359:H359)</f>
        <v>38946.94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-68</v>
      </c>
      <c r="G360" s="63"/>
      <c r="H360" s="63">
        <v>-22.13</v>
      </c>
      <c r="I360" s="56">
        <f>SUM(F360:H360)</f>
        <v>-90.13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29532</v>
      </c>
      <c r="G361" s="47">
        <f>SUM(G359:G360)</f>
        <v>0</v>
      </c>
      <c r="H361" s="47">
        <f>SUM(H359:H360)</f>
        <v>9324.8100000000013</v>
      </c>
      <c r="I361" s="47">
        <f>SUM(I359:I360)</f>
        <v>38856.810000000005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240.92</v>
      </c>
      <c r="I388" s="18"/>
      <c r="J388" s="24" t="s">
        <v>312</v>
      </c>
      <c r="K388" s="24" t="s">
        <v>312</v>
      </c>
      <c r="L388" s="56">
        <f t="shared" si="26"/>
        <v>240.92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143.69999999999999</v>
      </c>
      <c r="I389" s="18"/>
      <c r="J389" s="24" t="s">
        <v>312</v>
      </c>
      <c r="K389" s="24" t="s">
        <v>312</v>
      </c>
      <c r="L389" s="56">
        <f t="shared" si="26"/>
        <v>25143.7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384.62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25384.62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384.62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25384.62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11352.91</v>
      </c>
      <c r="L414" s="56">
        <f t="shared" si="29"/>
        <v>11352.91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11352.91</v>
      </c>
      <c r="L419" s="47">
        <f t="shared" si="30"/>
        <v>11352.91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11352.91</v>
      </c>
      <c r="L426" s="47">
        <f t="shared" si="32"/>
        <v>11352.91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272936.83</v>
      </c>
      <c r="H431" s="18"/>
      <c r="I431" s="56">
        <f t="shared" ref="I431:I437" si="33">SUM(F431:H431)</f>
        <v>272936.83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272936.83</v>
      </c>
      <c r="H438" s="13">
        <f>SUM(H431:H437)</f>
        <v>0</v>
      </c>
      <c r="I438" s="13">
        <f>SUM(I431:I437)</f>
        <v>272936.83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11352.91</v>
      </c>
      <c r="H440" s="18"/>
      <c r="I440" s="56">
        <f>SUM(F440:H440)</f>
        <v>11352.91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11352.91</v>
      </c>
      <c r="H444" s="72">
        <f>SUM(H440:H443)</f>
        <v>0</v>
      </c>
      <c r="I444" s="72">
        <f>SUM(I440:I443)</f>
        <v>11352.91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>
        <v>261583.92</v>
      </c>
      <c r="H447" s="18"/>
      <c r="I447" s="56">
        <f>SUM(F447:H447)</f>
        <v>261583.92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261583.92</v>
      </c>
      <c r="H450" s="83">
        <f>SUM(H446:H449)</f>
        <v>0</v>
      </c>
      <c r="I450" s="83">
        <f>SUM(I446:I449)</f>
        <v>261583.92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272936.83</v>
      </c>
      <c r="H451" s="42">
        <f>H444+H450</f>
        <v>0</v>
      </c>
      <c r="I451" s="42">
        <f>I444+I450</f>
        <v>272936.83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142708.70000000001</v>
      </c>
      <c r="G455" s="18"/>
      <c r="H455" s="18"/>
      <c r="I455" s="18"/>
      <c r="J455" s="18">
        <v>247552.21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1877166.36+11352.91</f>
        <v>1888519.27</v>
      </c>
      <c r="G458" s="18">
        <v>113647.97</v>
      </c>
      <c r="H458" s="18">
        <v>185610.02</v>
      </c>
      <c r="I458" s="18"/>
      <c r="J458" s="18">
        <f>25000+384.62</f>
        <v>25384.62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1888519.27</v>
      </c>
      <c r="G460" s="53">
        <f>SUM(G458:G459)</f>
        <v>113647.97</v>
      </c>
      <c r="H460" s="53">
        <f>SUM(H458:H459)</f>
        <v>185610.02</v>
      </c>
      <c r="I460" s="53">
        <f>SUM(I458:I459)</f>
        <v>0</v>
      </c>
      <c r="J460" s="53">
        <f>SUM(J458:J459)</f>
        <v>25384.62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2031227.97</v>
      </c>
      <c r="G462" s="18">
        <v>113647.97</v>
      </c>
      <c r="H462" s="18">
        <v>185610.02</v>
      </c>
      <c r="I462" s="18"/>
      <c r="J462" s="18">
        <v>11352.91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2031227.97</v>
      </c>
      <c r="G464" s="53">
        <f>SUM(G462:G463)</f>
        <v>113647.97</v>
      </c>
      <c r="H464" s="53">
        <f>SUM(H462:H463)</f>
        <v>185610.02</v>
      </c>
      <c r="I464" s="53">
        <f>SUM(I462:I463)</f>
        <v>0</v>
      </c>
      <c r="J464" s="53">
        <f>SUM(J462:J463)</f>
        <v>11352.91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261583.92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23043.95+8230.04+26160.66+6042.16</f>
        <v>63476.81</v>
      </c>
      <c r="G511" s="18">
        <f>8666.19+3094.96+209.84+74.95+138.23+49.37+3690.78+1065.58+1848.17+660.14+270+220+127.44+37.83</f>
        <v>20153.48</v>
      </c>
      <c r="H511" s="18">
        <f>24445.88+3921.9+11426.04+88.9+15.3</f>
        <v>39898.020000000011</v>
      </c>
      <c r="I511" s="18">
        <f>8087+226.87+196.34+217.95</f>
        <v>8728.1600000000017</v>
      </c>
      <c r="J511" s="18">
        <f>1128</f>
        <v>1128</v>
      </c>
      <c r="K511" s="18">
        <v>0</v>
      </c>
      <c r="L511" s="88">
        <f>SUM(F511:K511)</f>
        <v>133384.47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9876.01+4029.13</f>
        <v>13905.14</v>
      </c>
      <c r="G513" s="18">
        <f>3713.63+89.97+59.24+1031.91+791.87+250+79.16</f>
        <v>6015.78</v>
      </c>
      <c r="H513" s="18">
        <f>16466.46+15.3</f>
        <v>16481.759999999998</v>
      </c>
      <c r="I513" s="18">
        <f>198.69+200</f>
        <v>398.69</v>
      </c>
      <c r="J513" s="18">
        <v>0</v>
      </c>
      <c r="K513" s="18">
        <v>0</v>
      </c>
      <c r="L513" s="88">
        <f>SUM(F513:K513)</f>
        <v>36801.369999999995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77381.95</v>
      </c>
      <c r="G514" s="108">
        <f t="shared" ref="G514:L514" si="35">SUM(G511:G513)</f>
        <v>26169.26</v>
      </c>
      <c r="H514" s="108">
        <f t="shared" si="35"/>
        <v>56379.780000000013</v>
      </c>
      <c r="I514" s="108">
        <f t="shared" si="35"/>
        <v>9126.8500000000022</v>
      </c>
      <c r="J514" s="108">
        <f t="shared" si="35"/>
        <v>1128</v>
      </c>
      <c r="K514" s="108">
        <f t="shared" si="35"/>
        <v>0</v>
      </c>
      <c r="L514" s="89">
        <f t="shared" si="35"/>
        <v>170185.84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3907.4</f>
        <v>3907.4</v>
      </c>
      <c r="I516" s="18"/>
      <c r="J516" s="18"/>
      <c r="K516" s="18"/>
      <c r="L516" s="88">
        <f>SUM(F516:K516)</f>
        <v>3907.4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f>41789.59</f>
        <v>41789.589999999997</v>
      </c>
      <c r="I518" s="18"/>
      <c r="J518" s="18"/>
      <c r="K518" s="18"/>
      <c r="L518" s="88">
        <f>SUM(F518:K518)</f>
        <v>41789.589999999997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45696.99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45696.99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0</v>
      </c>
      <c r="G521" s="18">
        <f>220+220+30.16+5.39</f>
        <v>475.55</v>
      </c>
      <c r="H521" s="18">
        <f>9308.48+1662.23+131.31</f>
        <v>11102.019999999999</v>
      </c>
      <c r="I521" s="18">
        <v>0</v>
      </c>
      <c r="J521" s="18">
        <v>0</v>
      </c>
      <c r="K521" s="18">
        <f>546.37+257.5</f>
        <v>803.87</v>
      </c>
      <c r="L521" s="88">
        <f>SUM(F521:K521)</f>
        <v>12381.439999999999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0</v>
      </c>
      <c r="G523" s="18">
        <f>220+18.31</f>
        <v>238.31</v>
      </c>
      <c r="H523" s="18">
        <f>5651.57</f>
        <v>5651.57</v>
      </c>
      <c r="I523" s="18">
        <v>0</v>
      </c>
      <c r="J523" s="18">
        <v>0</v>
      </c>
      <c r="K523" s="18">
        <f>50</f>
        <v>50</v>
      </c>
      <c r="L523" s="88">
        <f>SUM(F523:K523)</f>
        <v>5939.88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713.86</v>
      </c>
      <c r="H524" s="89">
        <f t="shared" si="37"/>
        <v>16753.589999999997</v>
      </c>
      <c r="I524" s="89">
        <f t="shared" si="37"/>
        <v>0</v>
      </c>
      <c r="J524" s="89">
        <f t="shared" si="37"/>
        <v>0</v>
      </c>
      <c r="K524" s="89">
        <f t="shared" si="37"/>
        <v>853.87</v>
      </c>
      <c r="L524" s="89">
        <f t="shared" si="37"/>
        <v>18321.32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10325.06+4098.8</f>
        <v>14423.86</v>
      </c>
      <c r="I531" s="18"/>
      <c r="J531" s="18"/>
      <c r="K531" s="18"/>
      <c r="L531" s="88">
        <f>SUM(F531:K531)</f>
        <v>14423.86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4368.52</f>
        <v>4368.5200000000004</v>
      </c>
      <c r="I533" s="18"/>
      <c r="J533" s="18"/>
      <c r="K533" s="18"/>
      <c r="L533" s="88">
        <f>SUM(F533:K533)</f>
        <v>4368.5200000000004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18792.38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18792.38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77381.95</v>
      </c>
      <c r="G535" s="89">
        <f t="shared" ref="G535:L535" si="40">G514+G519+G524+G529+G534</f>
        <v>26883.119999999999</v>
      </c>
      <c r="H535" s="89">
        <f t="shared" si="40"/>
        <v>137622.74000000002</v>
      </c>
      <c r="I535" s="89">
        <f t="shared" si="40"/>
        <v>9126.8500000000022</v>
      </c>
      <c r="J535" s="89">
        <f t="shared" si="40"/>
        <v>1128</v>
      </c>
      <c r="K535" s="89">
        <f t="shared" si="40"/>
        <v>853.87</v>
      </c>
      <c r="L535" s="89">
        <f t="shared" si="40"/>
        <v>252996.53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133384.47</v>
      </c>
      <c r="G539" s="87">
        <f>L516</f>
        <v>3907.4</v>
      </c>
      <c r="H539" s="87">
        <f>L521</f>
        <v>12381.439999999999</v>
      </c>
      <c r="I539" s="87">
        <f>L526</f>
        <v>0</v>
      </c>
      <c r="J539" s="87">
        <f>L531</f>
        <v>14423.86</v>
      </c>
      <c r="K539" s="87">
        <f>SUM(F539:J539)</f>
        <v>164097.16999999998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36801.369999999995</v>
      </c>
      <c r="G541" s="87">
        <f>L518</f>
        <v>41789.589999999997</v>
      </c>
      <c r="H541" s="87">
        <f>L523</f>
        <v>5939.88</v>
      </c>
      <c r="I541" s="87">
        <f>L528</f>
        <v>0</v>
      </c>
      <c r="J541" s="87">
        <f>L533</f>
        <v>4368.5200000000004</v>
      </c>
      <c r="K541" s="87">
        <f>SUM(F541:J541)</f>
        <v>88899.36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170185.84</v>
      </c>
      <c r="G542" s="89">
        <f t="shared" si="41"/>
        <v>45696.99</v>
      </c>
      <c r="H542" s="89">
        <f t="shared" si="41"/>
        <v>18321.32</v>
      </c>
      <c r="I542" s="89">
        <f t="shared" si="41"/>
        <v>0</v>
      </c>
      <c r="J542" s="89">
        <f t="shared" si="41"/>
        <v>18792.38</v>
      </c>
      <c r="K542" s="89">
        <f t="shared" si="41"/>
        <v>252996.52999999997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3907.4</v>
      </c>
      <c r="G572" s="18"/>
      <c r="H572" s="18">
        <v>41789.589999999997</v>
      </c>
      <c r="I572" s="87">
        <f t="shared" si="46"/>
        <v>45696.99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3459.16</v>
      </c>
      <c r="I574" s="87">
        <f t="shared" si="46"/>
        <v>3459.16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23089.93+8246.4</f>
        <v>31336.33</v>
      </c>
      <c r="I581" s="18"/>
      <c r="J581" s="18">
        <f>9895.67</f>
        <v>9895.67</v>
      </c>
      <c r="K581" s="104">
        <f t="shared" ref="K581:K587" si="47">SUM(H581:J581)</f>
        <v>41232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10325.06+4098.8</f>
        <v>14423.86</v>
      </c>
      <c r="I582" s="18"/>
      <c r="J582" s="18">
        <v>4368.5200000000004</v>
      </c>
      <c r="K582" s="104">
        <f t="shared" si="47"/>
        <v>18792.38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1735.13+3905.79</f>
        <v>5640.92</v>
      </c>
      <c r="I584" s="18"/>
      <c r="J584" s="18">
        <v>5993.42</v>
      </c>
      <c r="K584" s="104">
        <f t="shared" si="47"/>
        <v>11634.34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3042.45+205.52</f>
        <v>3247.97</v>
      </c>
      <c r="I585" s="18"/>
      <c r="J585" s="18">
        <f>3042.55</f>
        <v>3042.55</v>
      </c>
      <c r="K585" s="104">
        <f t="shared" si="47"/>
        <v>6290.52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54649.08</v>
      </c>
      <c r="I588" s="108">
        <f>SUM(I581:I587)</f>
        <v>0</v>
      </c>
      <c r="J588" s="108">
        <f>SUM(J581:J587)</f>
        <v>23300.16</v>
      </c>
      <c r="K588" s="108">
        <f>SUM(K581:K587)</f>
        <v>77949.240000000005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1128-1128+3578.65+139.96+1123.01+323.59+199.99+346+32.9+280.6+3203.67+1037.03+138.69+15.4</f>
        <v>10419.49</v>
      </c>
      <c r="I594" s="18"/>
      <c r="J594" s="18">
        <f>1725+669.75+312+107.08+384.6+211.84+1991.94-135.53</f>
        <v>5266.68</v>
      </c>
      <c r="K594" s="104">
        <f>SUM(H594:J594)</f>
        <v>15686.17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10419.49</v>
      </c>
      <c r="I595" s="108">
        <f>SUM(I592:I594)</f>
        <v>0</v>
      </c>
      <c r="J595" s="108">
        <f>SUM(J592:J594)</f>
        <v>5266.68</v>
      </c>
      <c r="K595" s="108">
        <f>SUM(K592:K594)</f>
        <v>15686.17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34666.310000000012</v>
      </c>
      <c r="H607" s="109">
        <f>SUM(F44)</f>
        <v>34666.31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12568.87</v>
      </c>
      <c r="H608" s="109">
        <f>SUM(G44)</f>
        <v>12568.87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49061.48</v>
      </c>
      <c r="H609" s="109">
        <f>SUM(H44)</f>
        <v>49061.48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272936.83</v>
      </c>
      <c r="H611" s="109">
        <f>SUM(J44)</f>
        <v>272936.83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261583.92</v>
      </c>
      <c r="H616" s="109">
        <f>J466</f>
        <v>261583.92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1888519.2699999998</v>
      </c>
      <c r="H617" s="104">
        <f>SUM(F458)</f>
        <v>1888519.27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113647.97</v>
      </c>
      <c r="H618" s="104">
        <f>SUM(G458)</f>
        <v>113647.97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185610.02</v>
      </c>
      <c r="H619" s="104">
        <f>SUM(H458)</f>
        <v>185610.02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25384.62</v>
      </c>
      <c r="H621" s="104">
        <f>SUM(J458)</f>
        <v>25384.62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2031227.9700000002</v>
      </c>
      <c r="H622" s="104">
        <f>SUM(F462)</f>
        <v>2031227.97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185610.02</v>
      </c>
      <c r="H623" s="104">
        <f>SUM(H462)</f>
        <v>185610.02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38856.81</v>
      </c>
      <c r="H624" s="104">
        <f>I361</f>
        <v>38856.810000000005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113647.97</v>
      </c>
      <c r="H625" s="104">
        <f>SUM(G462)</f>
        <v>113647.97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25384.62</v>
      </c>
      <c r="H627" s="164">
        <f>SUM(J458)</f>
        <v>25384.62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11352.91</v>
      </c>
      <c r="H628" s="164">
        <f>SUM(J462)</f>
        <v>11352.91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272936.83</v>
      </c>
      <c r="H630" s="104">
        <f>SUM(G451)</f>
        <v>272936.83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272936.83</v>
      </c>
      <c r="H632" s="104">
        <f>SUM(I451)</f>
        <v>272936.83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384.62</v>
      </c>
      <c r="H634" s="104">
        <f>H400</f>
        <v>384.62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25384.62</v>
      </c>
      <c r="H636" s="104">
        <f>L400</f>
        <v>25384.62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77949.240000000005</v>
      </c>
      <c r="H637" s="104">
        <f>L200+L218+L236</f>
        <v>77949.240000000005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15686.17</v>
      </c>
      <c r="H638" s="104">
        <f>(J249+J330)-(J247+J328)</f>
        <v>15686.169999999998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54649.08</v>
      </c>
      <c r="H639" s="104">
        <f>H588</f>
        <v>54649.08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23300.16</v>
      </c>
      <c r="H641" s="104">
        <f>J588</f>
        <v>23300.16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40253.85</v>
      </c>
      <c r="H642" s="104">
        <f>K255+K337</f>
        <v>40253.85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1546741.3800000001</v>
      </c>
      <c r="G650" s="19">
        <f>(L221+L301+L351)</f>
        <v>0</v>
      </c>
      <c r="H650" s="19">
        <f>(L239+L320+L352)</f>
        <v>685187.69</v>
      </c>
      <c r="I650" s="19">
        <f>SUM(F650:H650)</f>
        <v>2231929.0700000003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17936.857521872145</v>
      </c>
      <c r="G651" s="19">
        <f>(L351/IF(SUM(L350:L352)=0,1,SUM(L350:L352))*(SUM(G89:G102)))</f>
        <v>0</v>
      </c>
      <c r="H651" s="19">
        <f>(L352/IF(SUM(L350:L352)=0,1,SUM(L350:L352))*(SUM(G89:G102)))</f>
        <v>5664.1224781278534</v>
      </c>
      <c r="I651" s="19">
        <f>SUM(F651:H651)</f>
        <v>23600.98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54649.08</v>
      </c>
      <c r="G652" s="19">
        <f>(L218+L298)-(J218+J298)</f>
        <v>0</v>
      </c>
      <c r="H652" s="19">
        <f>(L236+L317)-(J236+J317)</f>
        <v>23300.16</v>
      </c>
      <c r="I652" s="19">
        <f>SUM(F652:H652)</f>
        <v>77949.240000000005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14326.89</v>
      </c>
      <c r="G653" s="200">
        <f>SUM(G565:G577)+SUM(I592:I594)+L602</f>
        <v>0</v>
      </c>
      <c r="H653" s="200">
        <f>SUM(H565:H577)+SUM(J592:J594)+L603</f>
        <v>50515.43</v>
      </c>
      <c r="I653" s="19">
        <f>SUM(F653:H653)</f>
        <v>64842.32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1459828.5524781279</v>
      </c>
      <c r="G654" s="19">
        <f>G650-SUM(G651:G653)</f>
        <v>0</v>
      </c>
      <c r="H654" s="19">
        <f>H650-SUM(H651:H653)</f>
        <v>605707.97752187215</v>
      </c>
      <c r="I654" s="19">
        <f>I650-SUM(I651:I653)</f>
        <v>2065536.5300000003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87.09</v>
      </c>
      <c r="G655" s="249"/>
      <c r="H655" s="249">
        <v>22.51</v>
      </c>
      <c r="I655" s="19">
        <f>SUM(F655:H655)</f>
        <v>109.60000000000001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16762.3</v>
      </c>
      <c r="G657" s="19" t="e">
        <f>ROUND(G654/G655,2)</f>
        <v>#DIV/0!</v>
      </c>
      <c r="H657" s="19">
        <f>ROUND(H654/H655,2)</f>
        <v>26908.400000000001</v>
      </c>
      <c r="I657" s="19">
        <f>ROUND(I654/I655,2)</f>
        <v>18846.14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-0.67</v>
      </c>
      <c r="I660" s="19">
        <f>SUM(F660:H660)</f>
        <v>-0.67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16762.3</v>
      </c>
      <c r="G662" s="19" t="e">
        <f>ROUND((G654+G659)/(G655+G660),2)</f>
        <v>#DIV/0!</v>
      </c>
      <c r="H662" s="19">
        <f>ROUND((H654+H659)/(H655+H660),2)</f>
        <v>27733.88</v>
      </c>
      <c r="I662" s="19">
        <f>ROUND((I654+I659)/(I655+I660),2)</f>
        <v>18962.05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FF28-A897-4E6C-A320-B868D6A7F49B}">
  <sheetPr>
    <tabColor indexed="20"/>
  </sheetPr>
  <dimension ref="A1:C52"/>
  <sheetViews>
    <sheetView topLeftCell="A16" workbookViewId="0">
      <selection activeCell="C30" sqref="C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Stratford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719912.43</v>
      </c>
      <c r="C9" s="230">
        <f>'DOE25'!G189+'DOE25'!G207+'DOE25'!G225+'DOE25'!G268+'DOE25'!G287+'DOE25'!G306</f>
        <v>256295.79</v>
      </c>
    </row>
    <row r="10" spans="1:3" x14ac:dyDescent="0.2">
      <c r="A10" t="s">
        <v>810</v>
      </c>
      <c r="B10" s="241">
        <v>719912.43</v>
      </c>
      <c r="C10" s="241">
        <v>256295.79</v>
      </c>
    </row>
    <row r="11" spans="1:3" x14ac:dyDescent="0.2">
      <c r="A11" t="s">
        <v>811</v>
      </c>
      <c r="B11" s="241">
        <f>0</f>
        <v>0</v>
      </c>
      <c r="C11" s="241">
        <f>0</f>
        <v>0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719912.43</v>
      </c>
      <c r="C13" s="232">
        <f>SUM(C10:C12)</f>
        <v>256295.79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77381.95</v>
      </c>
      <c r="C18" s="230">
        <f>'DOE25'!G190+'DOE25'!G208+'DOE25'!G226+'DOE25'!G269+'DOE25'!G288+'DOE25'!G307</f>
        <v>26169.26</v>
      </c>
    </row>
    <row r="19" spans="1:3" x14ac:dyDescent="0.2">
      <c r="A19" t="s">
        <v>810</v>
      </c>
      <c r="B19" s="241">
        <f>77381.95-36231.95</f>
        <v>41150</v>
      </c>
      <c r="C19" s="241">
        <f>26169.26-2771.74</f>
        <v>23397.519999999997</v>
      </c>
    </row>
    <row r="20" spans="1:3" x14ac:dyDescent="0.2">
      <c r="A20" t="s">
        <v>811</v>
      </c>
      <c r="B20" s="241">
        <f>26160.66+6042.16+4029.13</f>
        <v>36231.949999999997</v>
      </c>
      <c r="C20" s="241">
        <v>2771.74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77381.95</v>
      </c>
      <c r="C22" s="232">
        <f>SUM(C19:C21)</f>
        <v>26169.259999999995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>
        <v>0</v>
      </c>
      <c r="C28" s="241">
        <v>0</v>
      </c>
    </row>
    <row r="29" spans="1:3" x14ac:dyDescent="0.2">
      <c r="A29" t="s">
        <v>811</v>
      </c>
      <c r="B29" s="241">
        <v>0</v>
      </c>
      <c r="C29" s="241">
        <v>0</v>
      </c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7300</v>
      </c>
      <c r="C36" s="236">
        <f>'DOE25'!G192+'DOE25'!G210+'DOE25'!G228+'DOE25'!G271+'DOE25'!G290+'DOE25'!G309</f>
        <v>1090.57</v>
      </c>
    </row>
    <row r="37" spans="1:3" x14ac:dyDescent="0.2">
      <c r="A37" t="s">
        <v>810</v>
      </c>
      <c r="B37" s="241">
        <v>4200</v>
      </c>
      <c r="C37" s="241">
        <v>702.26</v>
      </c>
    </row>
    <row r="38" spans="1:3" x14ac:dyDescent="0.2">
      <c r="A38" t="s">
        <v>811</v>
      </c>
      <c r="B38" s="241">
        <f>7300-4200</f>
        <v>3100</v>
      </c>
      <c r="C38" s="241">
        <f>1090.57-702.26</f>
        <v>388.30999999999995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7300</v>
      </c>
      <c r="C40" s="232">
        <f>SUM(C37:C39)</f>
        <v>1090.57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B243-816A-4286-B2B9-E715E394786D}">
  <sheetPr>
    <tabColor indexed="11"/>
  </sheetPr>
  <dimension ref="A1:I51"/>
  <sheetViews>
    <sheetView workbookViewId="0">
      <pane ySplit="4" topLeftCell="A20" activePane="bottomLeft" state="frozen"/>
      <selection pane="bottomLeft" activeCell="C26" sqref="C2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Stratford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1079501.8999999999</v>
      </c>
      <c r="D5" s="20">
        <f>SUM('DOE25'!L189:L192)+SUM('DOE25'!L207:L210)+SUM('DOE25'!L225:L228)-F5-G5</f>
        <v>1072920.0900000001</v>
      </c>
      <c r="E5" s="244"/>
      <c r="F5" s="256">
        <f>SUM('DOE25'!J189:J192)+SUM('DOE25'!J207:J210)+SUM('DOE25'!J225:J228)</f>
        <v>4600.38</v>
      </c>
      <c r="G5" s="53">
        <f>SUM('DOE25'!K189:K192)+SUM('DOE25'!K207:K210)+SUM('DOE25'!K225:K228)</f>
        <v>1981.4299999999998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112816.50999999998</v>
      </c>
      <c r="D6" s="20">
        <f>'DOE25'!L194+'DOE25'!L212+'DOE25'!L230-F6-G6</f>
        <v>112816.50999999998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66338.429999999993</v>
      </c>
      <c r="D7" s="20">
        <f>'DOE25'!L195+'DOE25'!L213+'DOE25'!L231-F7-G7</f>
        <v>65363.09</v>
      </c>
      <c r="E7" s="244"/>
      <c r="F7" s="256">
        <f>'DOE25'!J195+'DOE25'!J213+'DOE25'!J231</f>
        <v>975.34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68276.619999999981</v>
      </c>
      <c r="D8" s="244"/>
      <c r="E8" s="20">
        <f>'DOE25'!L196+'DOE25'!L214+'DOE25'!L232-F8-G8-D9-D11</f>
        <v>68276.619999999981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28171.58</v>
      </c>
      <c r="D9" s="245">
        <v>28171.58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3416.5</v>
      </c>
      <c r="D10" s="244"/>
      <c r="E10" s="245">
        <v>3416.5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46936.97</v>
      </c>
      <c r="D11" s="245">
        <v>46936.97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167769.91000000003</v>
      </c>
      <c r="D12" s="20">
        <f>'DOE25'!L197+'DOE25'!L215+'DOE25'!L233-F12-G12</f>
        <v>165456.44000000003</v>
      </c>
      <c r="E12" s="244"/>
      <c r="F12" s="256">
        <f>'DOE25'!J197+'DOE25'!J215+'DOE25'!J233</f>
        <v>280.60000000000002</v>
      </c>
      <c r="G12" s="53">
        <f>'DOE25'!K197+'DOE25'!K215+'DOE25'!K233</f>
        <v>2032.8700000000001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284909.92000000004</v>
      </c>
      <c r="D14" s="20">
        <f>'DOE25'!L199+'DOE25'!L217+'DOE25'!L235-F14-G14</f>
        <v>278658.72000000003</v>
      </c>
      <c r="E14" s="244"/>
      <c r="F14" s="256">
        <f>'DOE25'!J199+'DOE25'!J217+'DOE25'!J235</f>
        <v>6251.1999999999989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77949.240000000005</v>
      </c>
      <c r="D15" s="20">
        <f>'DOE25'!L200+'DOE25'!L218+'DOE25'!L236-F15-G15</f>
        <v>77949.240000000005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33303.040000000001</v>
      </c>
      <c r="D22" s="244"/>
      <c r="E22" s="244"/>
      <c r="F22" s="256">
        <f>'DOE25'!L247+'DOE25'!L328</f>
        <v>33303.040000000001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74701.03</v>
      </c>
      <c r="D29" s="20">
        <f>'DOE25'!L350+'DOE25'!L351+'DOE25'!L352-'DOE25'!I359-F29-G29</f>
        <v>73488.78</v>
      </c>
      <c r="E29" s="244"/>
      <c r="F29" s="256">
        <f>'DOE25'!J350+'DOE25'!J351+'DOE25'!J352</f>
        <v>1000</v>
      </c>
      <c r="G29" s="53">
        <f>'DOE25'!K350+'DOE25'!K351+'DOE25'!K352</f>
        <v>212.25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185610.02</v>
      </c>
      <c r="D31" s="20">
        <f>'DOE25'!L282+'DOE25'!L301+'DOE25'!L320+'DOE25'!L325+'DOE25'!L326+'DOE25'!L327-F31-G31</f>
        <v>181981.37</v>
      </c>
      <c r="E31" s="244"/>
      <c r="F31" s="256">
        <f>'DOE25'!J282+'DOE25'!J301+'DOE25'!J320+'DOE25'!J325+'DOE25'!J326+'DOE25'!J327</f>
        <v>3578.65</v>
      </c>
      <c r="G31" s="53">
        <f>'DOE25'!K282+'DOE25'!K301+'DOE25'!K320+'DOE25'!K325+'DOE25'!K326+'DOE25'!K327</f>
        <v>50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2103742.79</v>
      </c>
      <c r="E33" s="247">
        <f>SUM(E5:E31)</f>
        <v>71693.119999999981</v>
      </c>
      <c r="F33" s="247">
        <f>SUM(F5:F31)</f>
        <v>49989.21</v>
      </c>
      <c r="G33" s="247">
        <f>SUM(G5:G31)</f>
        <v>4276.55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71693.119999999981</v>
      </c>
      <c r="E35" s="250"/>
    </row>
    <row r="36" spans="2:8" ht="12" thickTop="1" x14ac:dyDescent="0.2">
      <c r="B36" t="s">
        <v>846</v>
      </c>
      <c r="D36" s="20">
        <f>D33</f>
        <v>2103742.79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BDAB-6169-46D8-8CBD-C47BEDF4D000}">
  <sheetPr transitionEvaluation="1" codeName="Sheet2">
    <tabColor indexed="10"/>
  </sheetPr>
  <dimension ref="A1:I156"/>
  <sheetViews>
    <sheetView zoomScale="75" workbookViewId="0">
      <pane ySplit="2" topLeftCell="A120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Stratford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-69381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272936.83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59235.350000000006</v>
      </c>
      <c r="D12" s="95">
        <f>'DOE25'!G12</f>
        <v>2395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44811.960000000006</v>
      </c>
      <c r="D14" s="95">
        <f>'DOE25'!G14</f>
        <v>10173.870000000001</v>
      </c>
      <c r="E14" s="95">
        <f>'DOE25'!H14</f>
        <v>49061.48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34666.310000000012</v>
      </c>
      <c r="D19" s="41">
        <f>SUM(D9:D18)</f>
        <v>12568.87</v>
      </c>
      <c r="E19" s="41">
        <f>SUM(E9:E18)</f>
        <v>49061.48</v>
      </c>
      <c r="F19" s="41">
        <f>SUM(F9:F18)</f>
        <v>0</v>
      </c>
      <c r="G19" s="41">
        <f>SUM(G9:G18)</f>
        <v>272936.83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2395</v>
      </c>
      <c r="D22" s="95">
        <f>'DOE25'!G23</f>
        <v>10173.870000000001</v>
      </c>
      <c r="E22" s="95">
        <f>'DOE25'!H23</f>
        <v>49061.48</v>
      </c>
      <c r="F22" s="95">
        <f>'DOE25'!I23</f>
        <v>0</v>
      </c>
      <c r="G22" s="95">
        <f>'DOE25'!J23</f>
        <v>11352.91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27826.75</v>
      </c>
      <c r="D28" s="95">
        <f>'DOE25'!G29</f>
        <v>2395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4444.5600000000004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34666.31</v>
      </c>
      <c r="D32" s="41">
        <f>SUM(D22:D31)</f>
        <v>12568.87</v>
      </c>
      <c r="E32" s="41">
        <f>SUM(E22:E31)</f>
        <v>49061.48</v>
      </c>
      <c r="F32" s="41">
        <f>SUM(F22:F31)</f>
        <v>0</v>
      </c>
      <c r="G32" s="41">
        <f>SUM(G22:G31)</f>
        <v>11352.91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261583.92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261583.92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34666.31</v>
      </c>
      <c r="D43" s="41">
        <f>D42+D32</f>
        <v>12568.87</v>
      </c>
      <c r="E43" s="41">
        <f>E42+E32</f>
        <v>49061.48</v>
      </c>
      <c r="F43" s="41">
        <f>F42+F32</f>
        <v>0</v>
      </c>
      <c r="G43" s="41">
        <f>G42+G32</f>
        <v>272936.83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661135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250723.93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175.95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384.62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23600.98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250899.88</v>
      </c>
      <c r="D54" s="130">
        <f>SUM(D49:D53)</f>
        <v>23600.98</v>
      </c>
      <c r="E54" s="130">
        <f>SUM(E49:E53)</f>
        <v>0</v>
      </c>
      <c r="F54" s="130">
        <f>SUM(F49:F53)</f>
        <v>0</v>
      </c>
      <c r="G54" s="130">
        <f>SUM(G49:G53)</f>
        <v>384.62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912034.88</v>
      </c>
      <c r="D55" s="22">
        <f>D48+D54</f>
        <v>23600.98</v>
      </c>
      <c r="E55" s="22">
        <f>E48+E54</f>
        <v>0</v>
      </c>
      <c r="F55" s="22">
        <f>F48+F54</f>
        <v>0</v>
      </c>
      <c r="G55" s="22">
        <f>G48+G54</f>
        <v>384.62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777262.89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120680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28191.11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926134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750</v>
      </c>
      <c r="D69" s="95">
        <f>SUM('DOE25'!G123:G127)</f>
        <v>741.19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750</v>
      </c>
      <c r="D70" s="130">
        <f>SUM(D64:D69)</f>
        <v>741.19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926884</v>
      </c>
      <c r="D73" s="130">
        <f>SUM(D71:D72)+D70+D62</f>
        <v>741.19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31080.68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2243.71</v>
      </c>
      <c r="D80" s="95">
        <f>SUM('DOE25'!G145:G153)</f>
        <v>49051.95</v>
      </c>
      <c r="E80" s="95">
        <f>SUM('DOE25'!H145:H153)</f>
        <v>185610.02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4923.09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38247.479999999996</v>
      </c>
      <c r="D83" s="131">
        <f>SUM(D77:D82)</f>
        <v>49051.95</v>
      </c>
      <c r="E83" s="131">
        <f>SUM(E77:E82)</f>
        <v>185610.02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40253.85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11352.91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11352.91</v>
      </c>
      <c r="D95" s="86">
        <f>SUM(D85:D94)</f>
        <v>40253.85</v>
      </c>
      <c r="E95" s="86">
        <f>SUM(E85:E94)</f>
        <v>0</v>
      </c>
      <c r="F95" s="86">
        <f>SUM(F85:F94)</f>
        <v>0</v>
      </c>
      <c r="G95" s="86">
        <f>SUM(G85:G94)</f>
        <v>25000</v>
      </c>
    </row>
    <row r="96" spans="1:7" ht="12.75" thickTop="1" thickBot="1" x14ac:dyDescent="0.25">
      <c r="A96" s="33" t="s">
        <v>796</v>
      </c>
      <c r="C96" s="86">
        <f>C55+C73+C83+C95</f>
        <v>1888519.2699999998</v>
      </c>
      <c r="D96" s="86">
        <f>D55+D73+D83+D95</f>
        <v>113647.97</v>
      </c>
      <c r="E96" s="86">
        <f>E55+E73+E83+E95</f>
        <v>185610.02</v>
      </c>
      <c r="F96" s="86">
        <f>F55+F73+F83+F95</f>
        <v>0</v>
      </c>
      <c r="G96" s="86">
        <f>G55+G73+G95</f>
        <v>25384.62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869351.66</v>
      </c>
      <c r="D101" s="24" t="s">
        <v>312</v>
      </c>
      <c r="E101" s="95">
        <f>('DOE25'!L268)+('DOE25'!L287)+('DOE25'!L306)</f>
        <v>151174.56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182221.94999999998</v>
      </c>
      <c r="D102" s="24" t="s">
        <v>312</v>
      </c>
      <c r="E102" s="95">
        <f>('DOE25'!L269)+('DOE25'!L288)+('DOE25'!L307)</f>
        <v>33660.880000000005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3459.16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24469.129999999997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1079501.8999999999</v>
      </c>
      <c r="D107" s="86">
        <f>SUM(D101:D106)</f>
        <v>0</v>
      </c>
      <c r="E107" s="86">
        <f>SUM(E101:E106)</f>
        <v>184835.44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112816.50999999998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66338.429999999993</v>
      </c>
      <c r="D111" s="24" t="s">
        <v>312</v>
      </c>
      <c r="E111" s="95">
        <f>+('DOE25'!L274)+('DOE25'!L293)+('DOE25'!L312)</f>
        <v>774.57999999999993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143385.16999999998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167769.91000000003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284909.92000000004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77949.240000000005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113647.97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853169.18</v>
      </c>
      <c r="D120" s="86">
        <f>SUM(D110:D119)</f>
        <v>113647.97</v>
      </c>
      <c r="E120" s="86">
        <f>SUM(E110:E119)</f>
        <v>774.57999999999993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33303.040000000001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11352.91</v>
      </c>
    </row>
    <row r="127" spans="1:7" x14ac:dyDescent="0.2">
      <c r="A127" t="s">
        <v>256</v>
      </c>
      <c r="B127" s="32" t="s">
        <v>257</v>
      </c>
      <c r="C127" s="95">
        <f>'DOE25'!L255</f>
        <v>40253.85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25384.62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-384.61999999999898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98556.89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11352.91</v>
      </c>
    </row>
    <row r="137" spans="1:9" ht="12.75" thickTop="1" thickBot="1" x14ac:dyDescent="0.25">
      <c r="A137" s="33" t="s">
        <v>267</v>
      </c>
      <c r="C137" s="86">
        <f>(C107+C120+C136)</f>
        <v>2031227.97</v>
      </c>
      <c r="D137" s="86">
        <f>(D107+D120+D136)</f>
        <v>113647.97</v>
      </c>
      <c r="E137" s="86">
        <f>(E107+E120+E136)</f>
        <v>185610.02</v>
      </c>
      <c r="F137" s="86">
        <f>(F107+F120+F136)</f>
        <v>0</v>
      </c>
      <c r="G137" s="86">
        <f>(G107+G120+G136)</f>
        <v>11352.91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B9DA-361B-402F-AB8B-0009C683CCC5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Stratford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16762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27734</v>
      </c>
    </row>
    <row r="7" spans="1:4" x14ac:dyDescent="0.2">
      <c r="B7" t="s">
        <v>736</v>
      </c>
      <c r="C7" s="179">
        <f>IF('DOE25'!I655+'DOE25'!I660=0,0,ROUND('DOE25'!I662,0))</f>
        <v>18962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1020526</v>
      </c>
      <c r="D10" s="182">
        <f>ROUND((C10/$C$28)*100,1)</f>
        <v>46.2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215883</v>
      </c>
      <c r="D11" s="182">
        <f>ROUND((C11/$C$28)*100,1)</f>
        <v>9.8000000000000007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3459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24469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112817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67113</v>
      </c>
      <c r="D16" s="182">
        <f t="shared" si="0"/>
        <v>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143385</v>
      </c>
      <c r="D17" s="182">
        <f t="shared" si="0"/>
        <v>6.5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167770</v>
      </c>
      <c r="D18" s="182">
        <f t="shared" si="0"/>
        <v>7.6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284910</v>
      </c>
      <c r="D20" s="182">
        <f t="shared" si="0"/>
        <v>12.9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77949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90047.02</v>
      </c>
      <c r="D27" s="182">
        <f t="shared" si="0"/>
        <v>4.0999999999999996</v>
      </c>
    </row>
    <row r="28" spans="1:4" x14ac:dyDescent="0.2">
      <c r="B28" s="187" t="s">
        <v>754</v>
      </c>
      <c r="C28" s="180">
        <f>SUM(C10:C27)</f>
        <v>2208328.02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33303</v>
      </c>
    </row>
    <row r="30" spans="1:4" x14ac:dyDescent="0.2">
      <c r="B30" s="187" t="s">
        <v>760</v>
      </c>
      <c r="C30" s="180">
        <f>SUM(C28:C29)</f>
        <v>2241631.02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661135</v>
      </c>
      <c r="D35" s="182">
        <f t="shared" ref="D35:D40" si="1">ROUND((C35/$C$41)*100,1)</f>
        <v>31.3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251284.49999999988</v>
      </c>
      <c r="D36" s="182">
        <f t="shared" si="1"/>
        <v>11.9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926134</v>
      </c>
      <c r="D37" s="182">
        <f t="shared" si="1"/>
        <v>43.8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1491</v>
      </c>
      <c r="D38" s="182">
        <f t="shared" si="1"/>
        <v>0.1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272909</v>
      </c>
      <c r="D39" s="182">
        <f t="shared" si="1"/>
        <v>12.9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2112953.5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FA0A-D6C8-476E-90A0-82B3D1136C4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Stratford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2011-11-10T12:55:47Z</cp:lastPrinted>
  <dcterms:created xsi:type="dcterms:W3CDTF">1997-12-04T19:04:30Z</dcterms:created>
  <dcterms:modified xsi:type="dcterms:W3CDTF">2025-01-10T20:32:17Z</dcterms:modified>
</cp:coreProperties>
</file>