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1BC8C0C-AD41-48CF-8267-80A777B47DDC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96526F9-373C-47F4-ADE3-59096D8334E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8" i="1" l="1"/>
  <c r="H227" i="1"/>
  <c r="F458" i="1"/>
  <c r="F462" i="1"/>
  <c r="F42" i="1"/>
  <c r="F49" i="1"/>
  <c r="J513" i="1"/>
  <c r="I513" i="1"/>
  <c r="H513" i="1"/>
  <c r="G513" i="1"/>
  <c r="G514" i="1" s="1"/>
  <c r="G535" i="1" s="1"/>
  <c r="F513" i="1"/>
  <c r="F514" i="1" s="1"/>
  <c r="F535" i="1" s="1"/>
  <c r="J512" i="1"/>
  <c r="L512" i="1" s="1"/>
  <c r="I512" i="1"/>
  <c r="H512" i="1"/>
  <c r="G512" i="1"/>
  <c r="F512" i="1"/>
  <c r="J511" i="1"/>
  <c r="I511" i="1"/>
  <c r="H511" i="1"/>
  <c r="G511" i="1"/>
  <c r="F511" i="1"/>
  <c r="J582" i="1"/>
  <c r="J588" i="1" s="1"/>
  <c r="H641" i="1" s="1"/>
  <c r="I582" i="1"/>
  <c r="I588" i="1" s="1"/>
  <c r="H640" i="1" s="1"/>
  <c r="F572" i="1"/>
  <c r="I572" i="1" s="1"/>
  <c r="H269" i="1"/>
  <c r="H268" i="1"/>
  <c r="H288" i="1"/>
  <c r="H287" i="1"/>
  <c r="H307" i="1"/>
  <c r="H306" i="1"/>
  <c r="B19" i="12"/>
  <c r="B22" i="12" s="1"/>
  <c r="B10" i="12"/>
  <c r="B13" i="12" s="1"/>
  <c r="B12" i="12"/>
  <c r="B37" i="12"/>
  <c r="B21" i="12"/>
  <c r="H200" i="1"/>
  <c r="H199" i="1"/>
  <c r="J581" i="1"/>
  <c r="H581" i="1"/>
  <c r="I581" i="1"/>
  <c r="I518" i="1"/>
  <c r="I517" i="1"/>
  <c r="L517" i="1" s="1"/>
  <c r="G540" i="1" s="1"/>
  <c r="I516" i="1"/>
  <c r="I519" i="1" s="1"/>
  <c r="H518" i="1"/>
  <c r="H519" i="1" s="1"/>
  <c r="H535" i="1" s="1"/>
  <c r="H516" i="1"/>
  <c r="H517" i="1"/>
  <c r="F518" i="1"/>
  <c r="F517" i="1"/>
  <c r="F516" i="1"/>
  <c r="F523" i="1"/>
  <c r="F522" i="1"/>
  <c r="H569" i="1"/>
  <c r="G569" i="1"/>
  <c r="J547" i="1"/>
  <c r="J550" i="1" s="1"/>
  <c r="J561" i="1" s="1"/>
  <c r="I547" i="1"/>
  <c r="I550" i="1" s="1"/>
  <c r="I561" i="1" s="1"/>
  <c r="G547" i="1"/>
  <c r="F547" i="1"/>
  <c r="G554" i="1"/>
  <c r="G553" i="1"/>
  <c r="F554" i="1"/>
  <c r="F553" i="1"/>
  <c r="F603" i="1"/>
  <c r="F602" i="1"/>
  <c r="J594" i="1"/>
  <c r="I594" i="1"/>
  <c r="H594" i="1"/>
  <c r="H595" i="1" s="1"/>
  <c r="J585" i="1"/>
  <c r="I585" i="1"/>
  <c r="H585" i="1"/>
  <c r="J583" i="1"/>
  <c r="I583" i="1"/>
  <c r="I235" i="1"/>
  <c r="H235" i="1"/>
  <c r="J235" i="1"/>
  <c r="J217" i="1"/>
  <c r="H217" i="1"/>
  <c r="H197" i="1"/>
  <c r="J232" i="1"/>
  <c r="J239" i="1" s="1"/>
  <c r="I214" i="1"/>
  <c r="I221" i="1" s="1"/>
  <c r="I249" i="1" s="1"/>
  <c r="I263" i="1" s="1"/>
  <c r="I232" i="1"/>
  <c r="I197" i="1"/>
  <c r="H196" i="1"/>
  <c r="J231" i="1"/>
  <c r="J213" i="1"/>
  <c r="J189" i="1"/>
  <c r="I189" i="1"/>
  <c r="H213" i="1"/>
  <c r="H194" i="1"/>
  <c r="J208" i="1"/>
  <c r="J190" i="1"/>
  <c r="F5" i="13" s="1"/>
  <c r="H208" i="1"/>
  <c r="H221" i="1" s="1"/>
  <c r="H226" i="1"/>
  <c r="J207" i="1"/>
  <c r="I225" i="1"/>
  <c r="I207" i="1"/>
  <c r="K233" i="1"/>
  <c r="K215" i="1"/>
  <c r="K196" i="1"/>
  <c r="K232" i="1"/>
  <c r="K226" i="1"/>
  <c r="K208" i="1"/>
  <c r="K190" i="1"/>
  <c r="G5" i="13" s="1"/>
  <c r="K218" i="1"/>
  <c r="G15" i="13" s="1"/>
  <c r="K214" i="1"/>
  <c r="G8" i="13" s="1"/>
  <c r="K200" i="1"/>
  <c r="K228" i="1"/>
  <c r="K210" i="1"/>
  <c r="K192" i="1"/>
  <c r="J214" i="1"/>
  <c r="J196" i="1"/>
  <c r="J226" i="1"/>
  <c r="J225" i="1"/>
  <c r="J195" i="1"/>
  <c r="I236" i="1"/>
  <c r="I231" i="1"/>
  <c r="I230" i="1"/>
  <c r="I218" i="1"/>
  <c r="I217" i="1"/>
  <c r="I196" i="1"/>
  <c r="I213" i="1"/>
  <c r="I212" i="1"/>
  <c r="I200" i="1"/>
  <c r="I199" i="1"/>
  <c r="I195" i="1"/>
  <c r="I194" i="1"/>
  <c r="I233" i="1"/>
  <c r="I228" i="1"/>
  <c r="I226" i="1"/>
  <c r="I239" i="1" s="1"/>
  <c r="I215" i="1"/>
  <c r="I210" i="1"/>
  <c r="I208" i="1"/>
  <c r="I192" i="1"/>
  <c r="I190" i="1"/>
  <c r="H230" i="1"/>
  <c r="H236" i="1"/>
  <c r="H233" i="1"/>
  <c r="H231" i="1"/>
  <c r="H228" i="1"/>
  <c r="H225" i="1"/>
  <c r="H239" i="1" s="1"/>
  <c r="H218" i="1"/>
  <c r="H215" i="1"/>
  <c r="H212" i="1"/>
  <c r="H210" i="1"/>
  <c r="H195" i="1"/>
  <c r="H232" i="1"/>
  <c r="H214" i="1"/>
  <c r="H190" i="1"/>
  <c r="H207" i="1"/>
  <c r="H192" i="1"/>
  <c r="H189" i="1"/>
  <c r="H203" i="1" s="1"/>
  <c r="F230" i="1"/>
  <c r="F192" i="1"/>
  <c r="F231" i="1"/>
  <c r="F213" i="1"/>
  <c r="F195" i="1"/>
  <c r="F212" i="1"/>
  <c r="F194" i="1"/>
  <c r="F225" i="1"/>
  <c r="F207" i="1"/>
  <c r="F189" i="1"/>
  <c r="F199" i="1"/>
  <c r="F236" i="1"/>
  <c r="F235" i="1"/>
  <c r="F232" i="1"/>
  <c r="F226" i="1"/>
  <c r="F218" i="1"/>
  <c r="F217" i="1"/>
  <c r="F214" i="1"/>
  <c r="F208" i="1"/>
  <c r="F233" i="1"/>
  <c r="F228" i="1"/>
  <c r="B36" i="12" s="1"/>
  <c r="F215" i="1"/>
  <c r="F210" i="1"/>
  <c r="F200" i="1"/>
  <c r="F196" i="1"/>
  <c r="F190" i="1"/>
  <c r="F197" i="1"/>
  <c r="F55" i="1"/>
  <c r="K280" i="1"/>
  <c r="K299" i="1"/>
  <c r="K318" i="1"/>
  <c r="J307" i="1"/>
  <c r="J306" i="1"/>
  <c r="J320" i="1" s="1"/>
  <c r="I307" i="1"/>
  <c r="L307" i="1" s="1"/>
  <c r="I306" i="1"/>
  <c r="H313" i="1"/>
  <c r="G306" i="1"/>
  <c r="F307" i="1"/>
  <c r="F306" i="1"/>
  <c r="J288" i="1"/>
  <c r="J287" i="1"/>
  <c r="I288" i="1"/>
  <c r="I287" i="1"/>
  <c r="G287" i="1"/>
  <c r="G301" i="1" s="1"/>
  <c r="G330" i="1" s="1"/>
  <c r="F288" i="1"/>
  <c r="L288" i="1" s="1"/>
  <c r="E102" i="2" s="1"/>
  <c r="F287" i="1"/>
  <c r="F301" i="1" s="1"/>
  <c r="F330" i="1" s="1"/>
  <c r="F344" i="1" s="1"/>
  <c r="J269" i="1"/>
  <c r="J268" i="1"/>
  <c r="I269" i="1"/>
  <c r="I268" i="1"/>
  <c r="H275" i="1"/>
  <c r="G268" i="1"/>
  <c r="F269" i="1"/>
  <c r="F268" i="1"/>
  <c r="H147" i="1"/>
  <c r="H151" i="1"/>
  <c r="H146" i="1"/>
  <c r="E80" i="2" s="1"/>
  <c r="G359" i="1"/>
  <c r="H359" i="1"/>
  <c r="F359" i="1"/>
  <c r="I351" i="1"/>
  <c r="I352" i="1"/>
  <c r="I350" i="1"/>
  <c r="G360" i="1"/>
  <c r="H360" i="1"/>
  <c r="F360" i="1"/>
  <c r="K351" i="1"/>
  <c r="K352" i="1"/>
  <c r="L352" i="1" s="1"/>
  <c r="K350" i="1"/>
  <c r="G29" i="13" s="1"/>
  <c r="H351" i="1"/>
  <c r="H352" i="1"/>
  <c r="H350" i="1"/>
  <c r="G351" i="1"/>
  <c r="G352" i="1"/>
  <c r="G350" i="1"/>
  <c r="F351" i="1"/>
  <c r="F352" i="1"/>
  <c r="F350" i="1"/>
  <c r="C37" i="10"/>
  <c r="C60" i="2"/>
  <c r="B2" i="13"/>
  <c r="F8" i="13"/>
  <c r="D39" i="13"/>
  <c r="F13" i="13"/>
  <c r="G13" i="13"/>
  <c r="L198" i="1"/>
  <c r="L216" i="1"/>
  <c r="L234" i="1"/>
  <c r="C114" i="2" s="1"/>
  <c r="E13" i="13"/>
  <c r="C13" i="13" s="1"/>
  <c r="F16" i="13"/>
  <c r="E16" i="13" s="1"/>
  <c r="C16" i="13" s="1"/>
  <c r="G16" i="13"/>
  <c r="L201" i="1"/>
  <c r="L219" i="1"/>
  <c r="L237" i="1"/>
  <c r="L191" i="1"/>
  <c r="C103" i="2" s="1"/>
  <c r="L209" i="1"/>
  <c r="L227" i="1"/>
  <c r="F6" i="13"/>
  <c r="G6" i="13"/>
  <c r="F7" i="13"/>
  <c r="G7" i="13"/>
  <c r="F12" i="13"/>
  <c r="G12" i="13"/>
  <c r="F14" i="13"/>
  <c r="G14" i="13"/>
  <c r="F15" i="13"/>
  <c r="F17" i="13"/>
  <c r="G17" i="13"/>
  <c r="L243" i="1"/>
  <c r="D17" i="13"/>
  <c r="C17" i="13" s="1"/>
  <c r="F18" i="13"/>
  <c r="G18" i="13"/>
  <c r="L244" i="1"/>
  <c r="D18" i="13"/>
  <c r="C18" i="13" s="1"/>
  <c r="F19" i="13"/>
  <c r="G19" i="13"/>
  <c r="L245" i="1"/>
  <c r="D19" i="13"/>
  <c r="C19" i="13"/>
  <c r="F29" i="13"/>
  <c r="J282" i="1"/>
  <c r="J301" i="1"/>
  <c r="K282" i="1"/>
  <c r="K301" i="1"/>
  <c r="K330" i="1" s="1"/>
  <c r="K344" i="1" s="1"/>
  <c r="K320" i="1"/>
  <c r="L268" i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289" i="1"/>
  <c r="L290" i="1"/>
  <c r="L292" i="1"/>
  <c r="L293" i="1"/>
  <c r="L294" i="1"/>
  <c r="L295" i="1"/>
  <c r="L296" i="1"/>
  <c r="L297" i="1"/>
  <c r="L298" i="1"/>
  <c r="L299" i="1"/>
  <c r="L306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H25" i="13"/>
  <c r="L333" i="1"/>
  <c r="L334" i="1"/>
  <c r="L247" i="1"/>
  <c r="L328" i="1"/>
  <c r="F22" i="13"/>
  <c r="C22" i="13" s="1"/>
  <c r="C11" i="13"/>
  <c r="C10" i="13"/>
  <c r="C9" i="13"/>
  <c r="L353" i="1"/>
  <c r="B4" i="12"/>
  <c r="B40" i="12"/>
  <c r="C40" i="12"/>
  <c r="B27" i="12"/>
  <c r="C27" i="12"/>
  <c r="B31" i="12"/>
  <c r="A31" i="12" s="1"/>
  <c r="C31" i="12"/>
  <c r="C13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6" i="1"/>
  <c r="L397" i="1"/>
  <c r="L399" i="1" s="1"/>
  <c r="C132" i="2" s="1"/>
  <c r="L398" i="1"/>
  <c r="L258" i="1"/>
  <c r="J52" i="1"/>
  <c r="G48" i="2"/>
  <c r="G51" i="2"/>
  <c r="G53" i="2"/>
  <c r="G54" i="2"/>
  <c r="G69" i="2"/>
  <c r="G70" i="2"/>
  <c r="G73" i="2" s="1"/>
  <c r="G61" i="2"/>
  <c r="G62" i="2"/>
  <c r="G88" i="2"/>
  <c r="G89" i="2"/>
  <c r="G90" i="2"/>
  <c r="G95" i="2"/>
  <c r="F2" i="11"/>
  <c r="L603" i="1"/>
  <c r="H653" i="1"/>
  <c r="L602" i="1"/>
  <c r="G653" i="1" s="1"/>
  <c r="L601" i="1"/>
  <c r="C40" i="10"/>
  <c r="F52" i="1"/>
  <c r="G52" i="1"/>
  <c r="G104" i="1" s="1"/>
  <c r="G185" i="1" s="1"/>
  <c r="G618" i="1" s="1"/>
  <c r="J618" i="1" s="1"/>
  <c r="H52" i="1"/>
  <c r="E48" i="2" s="1"/>
  <c r="E55" i="2" s="1"/>
  <c r="I52" i="1"/>
  <c r="F71" i="1"/>
  <c r="F86" i="1"/>
  <c r="F103" i="1"/>
  <c r="G103" i="1"/>
  <c r="H71" i="1"/>
  <c r="H86" i="1"/>
  <c r="H103" i="1"/>
  <c r="I103" i="1"/>
  <c r="J103" i="1"/>
  <c r="J104" i="1" s="1"/>
  <c r="F113" i="1"/>
  <c r="F128" i="1"/>
  <c r="G113" i="1"/>
  <c r="G132" i="1" s="1"/>
  <c r="G128" i="1"/>
  <c r="H113" i="1"/>
  <c r="H128" i="1"/>
  <c r="H132" i="1"/>
  <c r="I113" i="1"/>
  <c r="I128" i="1"/>
  <c r="I132" i="1"/>
  <c r="J113" i="1"/>
  <c r="J128" i="1"/>
  <c r="J132" i="1"/>
  <c r="F139" i="1"/>
  <c r="F161" i="1" s="1"/>
  <c r="F154" i="1"/>
  <c r="G139" i="1"/>
  <c r="G154" i="1"/>
  <c r="G161" i="1"/>
  <c r="H139" i="1"/>
  <c r="E77" i="2" s="1"/>
  <c r="H154" i="1"/>
  <c r="H161" i="1"/>
  <c r="I139" i="1"/>
  <c r="I154" i="1"/>
  <c r="I161" i="1"/>
  <c r="C19" i="10"/>
  <c r="L242" i="1"/>
  <c r="L324" i="1"/>
  <c r="C23" i="10"/>
  <c r="L246" i="1"/>
  <c r="C25" i="10"/>
  <c r="L260" i="1"/>
  <c r="L261" i="1"/>
  <c r="L341" i="1"/>
  <c r="L342" i="1"/>
  <c r="C26" i="10"/>
  <c r="I655" i="1"/>
  <c r="I660" i="1"/>
  <c r="I659" i="1"/>
  <c r="C42" i="10"/>
  <c r="C3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E129" i="2" s="1"/>
  <c r="E136" i="2" s="1"/>
  <c r="L339" i="1"/>
  <c r="K343" i="1"/>
  <c r="L511" i="1"/>
  <c r="F539" i="1"/>
  <c r="L518" i="1"/>
  <c r="G541" i="1" s="1"/>
  <c r="L521" i="1"/>
  <c r="H539" i="1"/>
  <c r="L522" i="1"/>
  <c r="H540" i="1"/>
  <c r="L523" i="1"/>
  <c r="H541" i="1"/>
  <c r="L526" i="1"/>
  <c r="I539" i="1"/>
  <c r="L527" i="1"/>
  <c r="I540" i="1"/>
  <c r="L528" i="1"/>
  <c r="L531" i="1"/>
  <c r="J539" i="1"/>
  <c r="L532" i="1"/>
  <c r="J540" i="1"/>
  <c r="L533" i="1"/>
  <c r="J541" i="1"/>
  <c r="E124" i="2"/>
  <c r="E123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D9" i="2"/>
  <c r="E9" i="2"/>
  <c r="E19" i="2" s="1"/>
  <c r="F9" i="2"/>
  <c r="I431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D14" i="2"/>
  <c r="D16" i="2"/>
  <c r="D17" i="2"/>
  <c r="D18" i="2"/>
  <c r="D19" i="2"/>
  <c r="E13" i="2"/>
  <c r="E14" i="2"/>
  <c r="E16" i="2"/>
  <c r="E17" i="2"/>
  <c r="E18" i="2"/>
  <c r="F13" i="2"/>
  <c r="I434" i="1"/>
  <c r="J13" i="1" s="1"/>
  <c r="G13" i="2" s="1"/>
  <c r="C14" i="2"/>
  <c r="F14" i="2"/>
  <c r="I435" i="1"/>
  <c r="J14" i="1" s="1"/>
  <c r="G14" i="2" s="1"/>
  <c r="F15" i="2"/>
  <c r="C16" i="2"/>
  <c r="F16" i="2"/>
  <c r="C17" i="2"/>
  <c r="F17" i="2"/>
  <c r="I436" i="1"/>
  <c r="J17" i="1"/>
  <c r="G17" i="2"/>
  <c r="C18" i="2"/>
  <c r="F18" i="2"/>
  <c r="I437" i="1"/>
  <c r="J18" i="1"/>
  <c r="G18" i="2"/>
  <c r="C22" i="2"/>
  <c r="D22" i="2"/>
  <c r="E22" i="2"/>
  <c r="F22" i="2"/>
  <c r="I440" i="1"/>
  <c r="J23" i="1"/>
  <c r="C23" i="2"/>
  <c r="D23" i="2"/>
  <c r="D24" i="2"/>
  <c r="D25" i="2"/>
  <c r="D28" i="2"/>
  <c r="D29" i="2"/>
  <c r="D30" i="2"/>
  <c r="D31" i="2"/>
  <c r="E23" i="2"/>
  <c r="E32" i="2" s="1"/>
  <c r="F23" i="2"/>
  <c r="I441" i="1"/>
  <c r="J24" i="1"/>
  <c r="G23" i="2"/>
  <c r="C24" i="2"/>
  <c r="E24" i="2"/>
  <c r="F24" i="2"/>
  <c r="I442" i="1"/>
  <c r="J25" i="1" s="1"/>
  <c r="G24" i="2" s="1"/>
  <c r="C25" i="2"/>
  <c r="E25" i="2"/>
  <c r="F25" i="2"/>
  <c r="C26" i="2"/>
  <c r="F26" i="2"/>
  <c r="F32" i="2" s="1"/>
  <c r="C27" i="2"/>
  <c r="F27" i="2"/>
  <c r="C28" i="2"/>
  <c r="E28" i="2"/>
  <c r="F28" i="2"/>
  <c r="C29" i="2"/>
  <c r="E29" i="2"/>
  <c r="F29" i="2"/>
  <c r="C30" i="2"/>
  <c r="E30" i="2"/>
  <c r="F30" i="2"/>
  <c r="C31" i="2"/>
  <c r="E31" i="2"/>
  <c r="F31" i="2"/>
  <c r="I443" i="1"/>
  <c r="J32" i="1" s="1"/>
  <c r="G31" i="2" s="1"/>
  <c r="C34" i="2"/>
  <c r="D34" i="2"/>
  <c r="E34" i="2"/>
  <c r="F34" i="2"/>
  <c r="F42" i="2" s="1"/>
  <c r="F43" i="2" s="1"/>
  <c r="C35" i="2"/>
  <c r="D35" i="2"/>
  <c r="D42" i="2" s="1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E41" i="2"/>
  <c r="F40" i="2"/>
  <c r="F41" i="2"/>
  <c r="I449" i="1"/>
  <c r="J41" i="1" s="1"/>
  <c r="G40" i="2" s="1"/>
  <c r="C41" i="2"/>
  <c r="C42" i="2"/>
  <c r="D41" i="2"/>
  <c r="C48" i="2"/>
  <c r="D48" i="2"/>
  <c r="C49" i="2"/>
  <c r="E49" i="2"/>
  <c r="C50" i="2"/>
  <c r="E50" i="2"/>
  <c r="C51" i="2"/>
  <c r="D51" i="2"/>
  <c r="D54" i="2" s="1"/>
  <c r="D55" i="2" s="1"/>
  <c r="E51" i="2"/>
  <c r="F51" i="2"/>
  <c r="F53" i="2"/>
  <c r="F54" i="2" s="1"/>
  <c r="D52" i="2"/>
  <c r="D53" i="2"/>
  <c r="C53" i="2"/>
  <c r="E53" i="2"/>
  <c r="C54" i="2"/>
  <c r="C55" i="2" s="1"/>
  <c r="E54" i="2"/>
  <c r="C58" i="2"/>
  <c r="C62" i="2" s="1"/>
  <c r="C59" i="2"/>
  <c r="C61" i="2"/>
  <c r="D61" i="2"/>
  <c r="D62" i="2" s="1"/>
  <c r="D73" i="2" s="1"/>
  <c r="E61" i="2"/>
  <c r="E62" i="2"/>
  <c r="E71" i="2"/>
  <c r="E72" i="2"/>
  <c r="E68" i="2"/>
  <c r="E70" i="2" s="1"/>
  <c r="E73" i="2" s="1"/>
  <c r="E69" i="2"/>
  <c r="F61" i="2"/>
  <c r="F62" i="2"/>
  <c r="C64" i="2"/>
  <c r="F64" i="2"/>
  <c r="F70" i="2" s="1"/>
  <c r="F73" i="2" s="1"/>
  <c r="C65" i="2"/>
  <c r="F65" i="2"/>
  <c r="C66" i="2"/>
  <c r="C67" i="2"/>
  <c r="C68" i="2"/>
  <c r="F68" i="2"/>
  <c r="F69" i="2"/>
  <c r="C69" i="2"/>
  <c r="D69" i="2"/>
  <c r="D70" i="2"/>
  <c r="D71" i="2"/>
  <c r="C71" i="2"/>
  <c r="C72" i="2"/>
  <c r="C77" i="2"/>
  <c r="D77" i="2"/>
  <c r="F77" i="2"/>
  <c r="C79" i="2"/>
  <c r="E79" i="2"/>
  <c r="F79" i="2"/>
  <c r="F83" i="2" s="1"/>
  <c r="C80" i="2"/>
  <c r="C81" i="2"/>
  <c r="C82" i="2"/>
  <c r="C83" i="2"/>
  <c r="D80" i="2"/>
  <c r="D83" i="2" s="1"/>
  <c r="E81" i="2"/>
  <c r="E88" i="2"/>
  <c r="E89" i="2"/>
  <c r="E90" i="2"/>
  <c r="E91" i="2"/>
  <c r="E92" i="2"/>
  <c r="E93" i="2"/>
  <c r="E94" i="2"/>
  <c r="E95" i="2"/>
  <c r="F80" i="2"/>
  <c r="D81" i="2"/>
  <c r="F81" i="2"/>
  <c r="C85" i="2"/>
  <c r="F85" i="2"/>
  <c r="F95" i="2" s="1"/>
  <c r="C86" i="2"/>
  <c r="F86" i="2"/>
  <c r="D88" i="2"/>
  <c r="D95" i="2" s="1"/>
  <c r="F88" i="2"/>
  <c r="C89" i="2"/>
  <c r="C95" i="2" s="1"/>
  <c r="D89" i="2"/>
  <c r="D90" i="2"/>
  <c r="D91" i="2"/>
  <c r="D92" i="2"/>
  <c r="D93" i="2"/>
  <c r="D94" i="2"/>
  <c r="F89" i="2"/>
  <c r="C90" i="2"/>
  <c r="C91" i="2"/>
  <c r="F91" i="2"/>
  <c r="F92" i="2"/>
  <c r="F93" i="2"/>
  <c r="F94" i="2"/>
  <c r="C92" i="2"/>
  <c r="C93" i="2"/>
  <c r="C94" i="2"/>
  <c r="E103" i="2"/>
  <c r="E104" i="2"/>
  <c r="C105" i="2"/>
  <c r="E105" i="2"/>
  <c r="D107" i="2"/>
  <c r="F107" i="2"/>
  <c r="G107" i="2"/>
  <c r="G137" i="2" s="1"/>
  <c r="E110" i="2"/>
  <c r="E111" i="2"/>
  <c r="E112" i="2"/>
  <c r="E113" i="2"/>
  <c r="E114" i="2"/>
  <c r="E115" i="2"/>
  <c r="C117" i="2"/>
  <c r="F120" i="2"/>
  <c r="G120" i="2"/>
  <c r="C122" i="2"/>
  <c r="E122" i="2"/>
  <c r="F126" i="2"/>
  <c r="D126" i="2"/>
  <c r="E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F490" i="1"/>
  <c r="B153" i="2"/>
  <c r="C153" i="2"/>
  <c r="D153" i="2"/>
  <c r="G490" i="1"/>
  <c r="H490" i="1"/>
  <c r="I490" i="1"/>
  <c r="E153" i="2" s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G155" i="2" s="1"/>
  <c r="F493" i="1"/>
  <c r="B156" i="2" s="1"/>
  <c r="G156" i="2" s="1"/>
  <c r="C156" i="2"/>
  <c r="D156" i="2"/>
  <c r="E156" i="2"/>
  <c r="G493" i="1"/>
  <c r="H493" i="1"/>
  <c r="I493" i="1"/>
  <c r="J493" i="1"/>
  <c r="F156" i="2" s="1"/>
  <c r="F19" i="1"/>
  <c r="G19" i="1"/>
  <c r="H19" i="1"/>
  <c r="I19" i="1"/>
  <c r="G610" i="1"/>
  <c r="F33" i="1"/>
  <c r="F44" i="1" s="1"/>
  <c r="H607" i="1" s="1"/>
  <c r="G33" i="1"/>
  <c r="H33" i="1"/>
  <c r="I33" i="1"/>
  <c r="F43" i="1"/>
  <c r="G43" i="1"/>
  <c r="G44" i="1"/>
  <c r="H608" i="1" s="1"/>
  <c r="J608" i="1" s="1"/>
  <c r="H43" i="1"/>
  <c r="I43" i="1"/>
  <c r="H44" i="1"/>
  <c r="H609" i="1" s="1"/>
  <c r="F169" i="1"/>
  <c r="F184" i="1" s="1"/>
  <c r="I169" i="1"/>
  <c r="I184" i="1" s="1"/>
  <c r="F175" i="1"/>
  <c r="G175" i="1"/>
  <c r="G184" i="1"/>
  <c r="H175" i="1"/>
  <c r="H184" i="1" s="1"/>
  <c r="I175" i="1"/>
  <c r="J175" i="1"/>
  <c r="J184" i="1" s="1"/>
  <c r="F180" i="1"/>
  <c r="G180" i="1"/>
  <c r="H180" i="1"/>
  <c r="I180" i="1"/>
  <c r="I203" i="1"/>
  <c r="J221" i="1"/>
  <c r="K239" i="1"/>
  <c r="F248" i="1"/>
  <c r="G248" i="1"/>
  <c r="H248" i="1"/>
  <c r="I248" i="1"/>
  <c r="J248" i="1"/>
  <c r="K248" i="1"/>
  <c r="F282" i="1"/>
  <c r="G282" i="1"/>
  <c r="H282" i="1"/>
  <c r="H330" i="1" s="1"/>
  <c r="H344" i="1" s="1"/>
  <c r="I282" i="1"/>
  <c r="H301" i="1"/>
  <c r="I301" i="1"/>
  <c r="F320" i="1"/>
  <c r="G320" i="1"/>
  <c r="H320" i="1"/>
  <c r="F329" i="1"/>
  <c r="G329" i="1"/>
  <c r="H329" i="1"/>
  <c r="I329" i="1"/>
  <c r="J329" i="1"/>
  <c r="K329" i="1"/>
  <c r="F354" i="1"/>
  <c r="G354" i="1"/>
  <c r="I354" i="1"/>
  <c r="G624" i="1" s="1"/>
  <c r="J354" i="1"/>
  <c r="I360" i="1"/>
  <c r="F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I400" i="1" s="1"/>
  <c r="F399" i="1"/>
  <c r="G399" i="1"/>
  <c r="G400" i="1" s="1"/>
  <c r="H635" i="1" s="1"/>
  <c r="J635" i="1" s="1"/>
  <c r="H399" i="1"/>
  <c r="I399" i="1"/>
  <c r="H400" i="1"/>
  <c r="L405" i="1"/>
  <c r="L406" i="1"/>
  <c r="L407" i="1"/>
  <c r="L411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H426" i="1"/>
  <c r="I426" i="1"/>
  <c r="J426" i="1"/>
  <c r="F438" i="1"/>
  <c r="G438" i="1"/>
  <c r="H438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J631" i="1" s="1"/>
  <c r="I444" i="1"/>
  <c r="F450" i="1"/>
  <c r="G450" i="1"/>
  <c r="H450" i="1"/>
  <c r="I450" i="1"/>
  <c r="I451" i="1" s="1"/>
  <c r="H632" i="1" s="1"/>
  <c r="F460" i="1"/>
  <c r="G460" i="1"/>
  <c r="H460" i="1"/>
  <c r="I460" i="1"/>
  <c r="J460" i="1"/>
  <c r="F464" i="1"/>
  <c r="G464" i="1"/>
  <c r="G466" i="1" s="1"/>
  <c r="H613" i="1" s="1"/>
  <c r="J613" i="1" s="1"/>
  <c r="H464" i="1"/>
  <c r="H466" i="1" s="1"/>
  <c r="H614" i="1" s="1"/>
  <c r="J614" i="1" s="1"/>
  <c r="I464" i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H514" i="1"/>
  <c r="I514" i="1"/>
  <c r="K514" i="1"/>
  <c r="K535" i="1"/>
  <c r="F519" i="1"/>
  <c r="G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8" i="1"/>
  <c r="L549" i="1"/>
  <c r="F550" i="1"/>
  <c r="H550" i="1"/>
  <c r="K550" i="1"/>
  <c r="L552" i="1"/>
  <c r="L553" i="1"/>
  <c r="L554" i="1"/>
  <c r="L555" i="1"/>
  <c r="F555" i="1"/>
  <c r="F561" i="1" s="1"/>
  <c r="G555" i="1"/>
  <c r="H555" i="1"/>
  <c r="I555" i="1"/>
  <c r="J555" i="1"/>
  <c r="K555" i="1"/>
  <c r="L557" i="1"/>
  <c r="L558" i="1"/>
  <c r="L559" i="1"/>
  <c r="F560" i="1"/>
  <c r="G560" i="1"/>
  <c r="H560" i="1"/>
  <c r="H561" i="1" s="1"/>
  <c r="I560" i="1"/>
  <c r="J560" i="1"/>
  <c r="K560" i="1"/>
  <c r="K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3" i="1"/>
  <c r="K584" i="1"/>
  <c r="K585" i="1"/>
  <c r="K586" i="1"/>
  <c r="K587" i="1"/>
  <c r="H588" i="1"/>
  <c r="H639" i="1"/>
  <c r="K592" i="1"/>
  <c r="K593" i="1"/>
  <c r="K594" i="1"/>
  <c r="I595" i="1"/>
  <c r="J595" i="1"/>
  <c r="F604" i="1"/>
  <c r="G604" i="1"/>
  <c r="H604" i="1"/>
  <c r="I604" i="1"/>
  <c r="J604" i="1"/>
  <c r="K604" i="1"/>
  <c r="L604" i="1"/>
  <c r="G607" i="1"/>
  <c r="G608" i="1"/>
  <c r="G609" i="1"/>
  <c r="G612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1" i="1"/>
  <c r="G633" i="1"/>
  <c r="J633" i="1" s="1"/>
  <c r="G634" i="1"/>
  <c r="H634" i="1"/>
  <c r="J634" i="1"/>
  <c r="G635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F466" i="1"/>
  <c r="H612" i="1"/>
  <c r="J612" i="1" s="1"/>
  <c r="C19" i="2"/>
  <c r="F132" i="1"/>
  <c r="F104" i="1"/>
  <c r="G344" i="1"/>
  <c r="L282" i="1"/>
  <c r="L343" i="1"/>
  <c r="H33" i="13"/>
  <c r="C25" i="13"/>
  <c r="I466" i="1"/>
  <c r="H615" i="1"/>
  <c r="J615" i="1"/>
  <c r="I44" i="1"/>
  <c r="H610" i="1" s="1"/>
  <c r="H542" i="1"/>
  <c r="L560" i="1"/>
  <c r="J542" i="1"/>
  <c r="J466" i="1"/>
  <c r="H616" i="1"/>
  <c r="J610" i="1"/>
  <c r="G22" i="2"/>
  <c r="J185" i="1"/>
  <c r="E96" i="2" l="1"/>
  <c r="L329" i="1"/>
  <c r="G32" i="2"/>
  <c r="C32" i="2"/>
  <c r="C43" i="2" s="1"/>
  <c r="I541" i="1"/>
  <c r="L529" i="1"/>
  <c r="D32" i="2"/>
  <c r="D43" i="2" s="1"/>
  <c r="G153" i="2"/>
  <c r="J33" i="1"/>
  <c r="J9" i="1"/>
  <c r="I438" i="1"/>
  <c r="G632" i="1" s="1"/>
  <c r="J632" i="1" s="1"/>
  <c r="I542" i="1"/>
  <c r="E83" i="2"/>
  <c r="C24" i="10"/>
  <c r="C96" i="2"/>
  <c r="F540" i="1"/>
  <c r="J609" i="1"/>
  <c r="F19" i="2"/>
  <c r="C29" i="10"/>
  <c r="L374" i="1"/>
  <c r="G626" i="1" s="1"/>
  <c r="J626" i="1" s="1"/>
  <c r="F122" i="2"/>
  <c r="F136" i="2" s="1"/>
  <c r="F137" i="2" s="1"/>
  <c r="G55" i="2"/>
  <c r="G96" i="2" s="1"/>
  <c r="G550" i="1"/>
  <c r="G561" i="1" s="1"/>
  <c r="L547" i="1"/>
  <c r="L550" i="1" s="1"/>
  <c r="L561" i="1" s="1"/>
  <c r="J607" i="1"/>
  <c r="K595" i="1"/>
  <c r="G638" i="1" s="1"/>
  <c r="L425" i="1"/>
  <c r="L426" i="1" s="1"/>
  <c r="G628" i="1" s="1"/>
  <c r="J628" i="1" s="1"/>
  <c r="L248" i="1"/>
  <c r="C70" i="2"/>
  <c r="C73" i="2" s="1"/>
  <c r="H249" i="1"/>
  <c r="H263" i="1" s="1"/>
  <c r="F33" i="13"/>
  <c r="I535" i="1"/>
  <c r="J624" i="1"/>
  <c r="G154" i="2"/>
  <c r="E120" i="2"/>
  <c r="J43" i="1"/>
  <c r="G37" i="2"/>
  <c r="G42" i="2" s="1"/>
  <c r="G43" i="2" s="1"/>
  <c r="C38" i="10"/>
  <c r="F48" i="2"/>
  <c r="F55" i="2" s="1"/>
  <c r="F96" i="2" s="1"/>
  <c r="I104" i="1"/>
  <c r="I185" i="1" s="1"/>
  <c r="G620" i="1" s="1"/>
  <c r="J620" i="1" s="1"/>
  <c r="D96" i="2"/>
  <c r="C39" i="10"/>
  <c r="F185" i="1"/>
  <c r="G617" i="1" s="1"/>
  <c r="J617" i="1" s="1"/>
  <c r="L351" i="1"/>
  <c r="G651" i="1" s="1"/>
  <c r="H354" i="1"/>
  <c r="G361" i="1"/>
  <c r="I359" i="1"/>
  <c r="I361" i="1" s="1"/>
  <c r="H624" i="1" s="1"/>
  <c r="F221" i="1"/>
  <c r="J330" i="1"/>
  <c r="J344" i="1" s="1"/>
  <c r="F31" i="13"/>
  <c r="G636" i="1"/>
  <c r="G621" i="1"/>
  <c r="J621" i="1" s="1"/>
  <c r="L301" i="1"/>
  <c r="L330" i="1" s="1"/>
  <c r="L344" i="1" s="1"/>
  <c r="G623" i="1" s="1"/>
  <c r="J623" i="1" s="1"/>
  <c r="E101" i="2"/>
  <c r="E107" i="2" s="1"/>
  <c r="E42" i="2"/>
  <c r="E43" i="2" s="1"/>
  <c r="L385" i="1"/>
  <c r="L320" i="1"/>
  <c r="K203" i="1"/>
  <c r="K249" i="1" s="1"/>
  <c r="K263" i="1" s="1"/>
  <c r="G31" i="13"/>
  <c r="G33" i="13" s="1"/>
  <c r="K582" i="1"/>
  <c r="K588" i="1" s="1"/>
  <c r="G637" i="1" s="1"/>
  <c r="J514" i="1"/>
  <c r="J535" i="1" s="1"/>
  <c r="J203" i="1"/>
  <c r="J249" i="1" s="1"/>
  <c r="H104" i="1"/>
  <c r="H185" i="1" s="1"/>
  <c r="G619" i="1" s="1"/>
  <c r="J619" i="1" s="1"/>
  <c r="C35" i="10"/>
  <c r="I320" i="1"/>
  <c r="I330" i="1" s="1"/>
  <c r="I344" i="1" s="1"/>
  <c r="C106" i="2"/>
  <c r="L516" i="1"/>
  <c r="L513" i="1"/>
  <c r="F541" i="1" s="1"/>
  <c r="K541" i="1" s="1"/>
  <c r="C12" i="10"/>
  <c r="F653" i="1"/>
  <c r="I653" i="1" s="1"/>
  <c r="F239" i="1"/>
  <c r="F203" i="1"/>
  <c r="B18" i="12"/>
  <c r="K221" i="1"/>
  <c r="L350" i="1"/>
  <c r="H651" i="1" s="1"/>
  <c r="K354" i="1"/>
  <c r="B9" i="12"/>
  <c r="C130" i="2" l="1"/>
  <c r="L400" i="1"/>
  <c r="F249" i="1"/>
  <c r="C36" i="10"/>
  <c r="C41" i="10"/>
  <c r="D35" i="10" s="1"/>
  <c r="E137" i="2"/>
  <c r="D31" i="13"/>
  <c r="C31" i="13" s="1"/>
  <c r="H638" i="1"/>
  <c r="J638" i="1" s="1"/>
  <c r="J263" i="1"/>
  <c r="G9" i="2"/>
  <c r="G19" i="2" s="1"/>
  <c r="J19" i="1"/>
  <c r="G611" i="1" s="1"/>
  <c r="K540" i="1"/>
  <c r="F542" i="1"/>
  <c r="L519" i="1"/>
  <c r="G539" i="1"/>
  <c r="D38" i="10"/>
  <c r="L514" i="1"/>
  <c r="L535" i="1" s="1"/>
  <c r="F651" i="1"/>
  <c r="I651" i="1" s="1"/>
  <c r="D119" i="2"/>
  <c r="D120" i="2" s="1"/>
  <c r="D137" i="2" s="1"/>
  <c r="L354" i="1"/>
  <c r="D29" i="13"/>
  <c r="C29" i="13" s="1"/>
  <c r="G616" i="1"/>
  <c r="J616" i="1" s="1"/>
  <c r="J44" i="1"/>
  <c r="H611" i="1" s="1"/>
  <c r="G542" i="1" l="1"/>
  <c r="K539" i="1"/>
  <c r="K542" i="1" s="1"/>
  <c r="D39" i="10"/>
  <c r="J611" i="1"/>
  <c r="D40" i="10"/>
  <c r="D37" i="10"/>
  <c r="G625" i="1"/>
  <c r="J625" i="1" s="1"/>
  <c r="C27" i="10"/>
  <c r="D36" i="10"/>
  <c r="D41" i="10" s="1"/>
  <c r="F263" i="1"/>
  <c r="G194" i="1"/>
  <c r="L194" i="1" s="1"/>
  <c r="G232" i="1"/>
  <c r="L232" i="1" s="1"/>
  <c r="G190" i="1"/>
  <c r="G192" i="1"/>
  <c r="G226" i="1"/>
  <c r="L226" i="1" s="1"/>
  <c r="G225" i="1"/>
  <c r="G214" i="1"/>
  <c r="L214" i="1" s="1"/>
  <c r="G212" i="1"/>
  <c r="L212" i="1" s="1"/>
  <c r="G208" i="1"/>
  <c r="L208" i="1" s="1"/>
  <c r="G200" i="1"/>
  <c r="L200" i="1" s="1"/>
  <c r="G196" i="1"/>
  <c r="L196" i="1" s="1"/>
  <c r="G236" i="1"/>
  <c r="L236" i="1" s="1"/>
  <c r="G215" i="1"/>
  <c r="L215" i="1" s="1"/>
  <c r="G217" i="1"/>
  <c r="L217" i="1" s="1"/>
  <c r="G235" i="1"/>
  <c r="L235" i="1" s="1"/>
  <c r="G195" i="1"/>
  <c r="L195" i="1" s="1"/>
  <c r="G230" i="1"/>
  <c r="L230" i="1" s="1"/>
  <c r="G210" i="1"/>
  <c r="L210" i="1" s="1"/>
  <c r="G207" i="1"/>
  <c r="G189" i="1"/>
  <c r="G197" i="1"/>
  <c r="L197" i="1" s="1"/>
  <c r="G233" i="1"/>
  <c r="L233" i="1" s="1"/>
  <c r="G199" i="1"/>
  <c r="L199" i="1" s="1"/>
  <c r="G218" i="1"/>
  <c r="L218" i="1" s="1"/>
  <c r="G231" i="1"/>
  <c r="L231" i="1" s="1"/>
  <c r="G213" i="1"/>
  <c r="L213" i="1" s="1"/>
  <c r="G228" i="1"/>
  <c r="L228" i="1" s="1"/>
  <c r="G627" i="1"/>
  <c r="J627" i="1" s="1"/>
  <c r="H636" i="1"/>
  <c r="J636" i="1" s="1"/>
  <c r="C133" i="2"/>
  <c r="C136" i="2" s="1"/>
  <c r="G652" i="1" l="1"/>
  <c r="G640" i="1"/>
  <c r="J640" i="1" s="1"/>
  <c r="G639" i="1"/>
  <c r="J639" i="1" s="1"/>
  <c r="F652" i="1"/>
  <c r="I652" i="1" s="1"/>
  <c r="H637" i="1"/>
  <c r="J637" i="1" s="1"/>
  <c r="D15" i="13"/>
  <c r="C15" i="13" s="1"/>
  <c r="C21" i="10"/>
  <c r="C116" i="2"/>
  <c r="H652" i="1"/>
  <c r="G641" i="1"/>
  <c r="J641" i="1" s="1"/>
  <c r="C112" i="2"/>
  <c r="E8" i="13"/>
  <c r="C17" i="10"/>
  <c r="C113" i="2"/>
  <c r="C18" i="10"/>
  <c r="D12" i="13"/>
  <c r="C12" i="13" s="1"/>
  <c r="C9" i="12"/>
  <c r="A13" i="12" s="1"/>
  <c r="G203" i="1"/>
  <c r="L189" i="1"/>
  <c r="C18" i="12"/>
  <c r="L190" i="1"/>
  <c r="D14" i="13"/>
  <c r="C14" i="13" s="1"/>
  <c r="C115" i="2"/>
  <c r="C20" i="10"/>
  <c r="G221" i="1"/>
  <c r="L207" i="1"/>
  <c r="L221" i="1" s="1"/>
  <c r="G650" i="1" s="1"/>
  <c r="G654" i="1" s="1"/>
  <c r="C111" i="2"/>
  <c r="C16" i="10"/>
  <c r="D7" i="13"/>
  <c r="C7" i="13" s="1"/>
  <c r="L225" i="1"/>
  <c r="L239" i="1" s="1"/>
  <c r="H650" i="1" s="1"/>
  <c r="H654" i="1" s="1"/>
  <c r="G239" i="1"/>
  <c r="C36" i="12"/>
  <c r="A40" i="12" s="1"/>
  <c r="L192" i="1"/>
  <c r="C110" i="2"/>
  <c r="D6" i="13"/>
  <c r="C6" i="13" s="1"/>
  <c r="C15" i="10"/>
  <c r="G662" i="1" l="1"/>
  <c r="C5" i="10" s="1"/>
  <c r="G657" i="1"/>
  <c r="C104" i="2"/>
  <c r="C13" i="10"/>
  <c r="C11" i="10"/>
  <c r="C102" i="2"/>
  <c r="C8" i="13"/>
  <c r="E33" i="13"/>
  <c r="D35" i="13" s="1"/>
  <c r="C19" i="12"/>
  <c r="C20" i="12"/>
  <c r="C21" i="12"/>
  <c r="C10" i="10"/>
  <c r="C101" i="2"/>
  <c r="C107" i="2" s="1"/>
  <c r="C137" i="2" s="1"/>
  <c r="L203" i="1"/>
  <c r="D5" i="13"/>
  <c r="C120" i="2"/>
  <c r="H662" i="1"/>
  <c r="C6" i="10" s="1"/>
  <c r="H657" i="1"/>
  <c r="G249" i="1"/>
  <c r="G263" i="1" s="1"/>
  <c r="C28" i="10" l="1"/>
  <c r="D10" i="10" s="1"/>
  <c r="C22" i="12"/>
  <c r="A22" i="12" s="1"/>
  <c r="C5" i="13"/>
  <c r="D33" i="13"/>
  <c r="D36" i="13" s="1"/>
  <c r="L249" i="1"/>
  <c r="L263" i="1" s="1"/>
  <c r="G622" i="1" s="1"/>
  <c r="F650" i="1"/>
  <c r="D11" i="10" l="1"/>
  <c r="I650" i="1"/>
  <c r="I654" i="1" s="1"/>
  <c r="F654" i="1"/>
  <c r="D22" i="10"/>
  <c r="D23" i="10"/>
  <c r="C30" i="10"/>
  <c r="D25" i="10"/>
  <c r="D26" i="10"/>
  <c r="D19" i="10"/>
  <c r="D24" i="10"/>
  <c r="D12" i="10"/>
  <c r="D28" i="10" s="1"/>
  <c r="D27" i="10"/>
  <c r="D21" i="10"/>
  <c r="D17" i="10"/>
  <c r="D18" i="10"/>
  <c r="D15" i="10"/>
  <c r="D20" i="10"/>
  <c r="D16" i="10"/>
  <c r="J622" i="1"/>
  <c r="H646" i="1"/>
  <c r="D13" i="10"/>
  <c r="F657" i="1" l="1"/>
  <c r="F662" i="1"/>
  <c r="C4" i="10" s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68698BD-46A4-458C-899C-B9F5CFF8E13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B1B454D-E548-4FA7-B3ED-68BB75A85AD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58DF51D-327F-44D9-B001-492F05227DB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C118D46-D5E4-4D26-922A-69B79E3E5C9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DECACBB-1F0E-4B1C-824E-FAFADEEEE8A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9C6A814-E2CA-4130-812C-A6001A71678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AF2B40D-F5C7-47F9-B39F-C8AD37E1774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E893106-1BF2-4BFE-8845-F40B5272F18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ACB2A19-2D90-4C19-A86B-18D15966EE4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4FEB516-3B3E-4186-8835-692F5C24BFD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C30885F-D634-459C-8903-6FF1513439D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F34E217-24A8-48AD-952F-E012DC9C80B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<sst xmlns="http://schemas.openxmlformats.org/spreadsheetml/2006/main" count="3862" uniqueCount="899">
  <si>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</si>
  <si>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</si>
  <si>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</si>
  <si>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</si>
  <si>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</si>
  <si>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</si>
  <si>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</si>
  <si>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</si>
  <si>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</si>
  <si>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</si>
  <si>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</si>
  <si>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</si>
  <si>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</si>
  <si>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</si>
  <si>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</si>
  <si>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</si>
  <si>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</si>
  <si>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</si>
  <si>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</si>
  <si>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</si>
  <si>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</si>
  <si>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</si>
  <si>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</si>
  <si>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</si>
  <si>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</si>
  <si>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</si>
  <si>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</si>
  <si>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</si>
  <si>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</si>
  <si>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</si>
  <si>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</si>
  <si>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</si>
  <si>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</si>
  <si>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</si>
  <si>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</si>
  <si>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</si>
  <si>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</si>
  <si>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</si>
  <si>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</si>
  <si>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</si>
  <si>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</si>
  <si>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</si>
  <si>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</si>
  <si>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</si>
  <si>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</si>
  <si>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</si>
  <si>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</si>
  <si>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</si>
  <si>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</si>
  <si>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</si>
  <si>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</si>
  <si>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</si>
  <si>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</si>
  <si>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</si>
  <si>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</si>
  <si>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</si>
  <si>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</si>
  <si>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</si>
  <si>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</si>
  <si>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</si>
  <si>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</si>
  <si>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</si>
  <si>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</si>
  <si>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</si>
  <si>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</si>
  <si>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</si>
  <si>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</si>
  <si>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</si>
  <si>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</si>
  <si>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</si>
  <si>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</si>
  <si>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</si>
  <si>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</si>
  <si>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</si>
  <si>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</si>
  <si>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</si>
  <si>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</si>
  <si>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</si>
  <si>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</si>
  <si>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</si>
  <si>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</si>
  <si>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</si>
  <si>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</si>
  <si>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</si>
  <si>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</si>
  <si>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</si>
  <si>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</si>
  <si>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</si>
  <si>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</si>
  <si>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</si>
  <si>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</si>
  <si>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</si>
  <si>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</si>
  <si>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</si>
  <si>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</si>
  <si>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</si>
  <si>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</si>
  <si>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</si>
  <si>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</si>
  <si>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</si>
  <si>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</si>
  <si>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</si>
  <si>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</si>
  <si>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</si>
  <si>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</si>
  <si>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</si>
  <si>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</si>
  <si>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</si>
  <si>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</si>
  <si>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</si>
  <si>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</si>
  <si>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</si>
  <si>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</si>
  <si>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</si>
  <si>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</si>
  <si>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</si>
  <si>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</si>
  <si>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</si>
  <si>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</si>
  <si>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</si>
  <si>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</si>
  <si>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</si>
  <si>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</si>
  <si>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</si>
  <si>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</si>
  <si>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</si>
  <si>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</si>
  <si>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</si>
  <si>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</si>
  <si>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</si>
  <si>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</si>
  <si>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</si>
  <si>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</si>
  <si>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</si>
  <si>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</si>
  <si>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</si>
  <si>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</si>
  <si>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</si>
  <si>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</si>
  <si>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</si>
  <si>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</si>
  <si>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</si>
  <si>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</si>
  <si>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</si>
  <si>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</si>
  <si>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</si>
  <si>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</si>
  <si>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</si>
  <si>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</si>
  <si>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</si>
  <si>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</si>
  <si>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</si>
  <si>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</si>
  <si>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</si>
  <si>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</si>
  <si>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</si>
  <si>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</si>
  <si>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</si>
  <si>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</si>
  <si>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</si>
  <si>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</si>
  <si>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</si>
  <si>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</si>
  <si>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</si>
  <si>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</si>
  <si>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</si>
  <si>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</si>
  <si>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</si>
  <si>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</si>
  <si>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</si>
  <si>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</si>
  <si>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</si>
  <si>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</si>
  <si>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</si>
  <si>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</si>
  <si>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</si>
  <si>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</si>
  <si>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</si>
  <si>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</si>
  <si>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</si>
  <si>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</si>
  <si>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</si>
  <si>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</si>
  <si>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</si>
  <si>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</si>
  <si>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</si>
  <si>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</si>
  <si>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</si>
  <si>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</si>
  <si>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</si>
  <si>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</si>
  <si>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</si>
  <si>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</si>
  <si>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</si>
  <si>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</si>
  <si>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</si>
  <si>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</si>
  <si>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</si>
  <si>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</si>
  <si>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</si>
  <si>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</si>
  <si>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</si>
  <si>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</si>
  <si>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</si>
  <si>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</si>
  <si>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</si>
  <si>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</si>
  <si>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</si>
  <si>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</si>
  <si>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</si>
  <si>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</si>
  <si>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</si>
  <si>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</si>
  <si>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</si>
  <si>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</si>
  <si>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</si>
  <si>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</si>
  <si>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</si>
  <si>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</si>
  <si>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</si>
  <si>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</si>
  <si>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</si>
  <si>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</si>
  <si>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</si>
  <si>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</si>
  <si>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</si>
  <si>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</si>
  <si>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</si>
  <si>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</si>
  <si>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</si>
  <si>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</si>
  <si>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</si>
  <si>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</si>
  <si>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</si>
  <si>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</si>
  <si>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</si>
  <si>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</si>
  <si>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</si>
  <si>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</si>
  <si>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</si>
  <si>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</si>
  <si>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</si>
  <si>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</si>
  <si>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</si>
  <si>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</si>
  <si>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</si>
  <si>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</si>
  <si>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</si>
  <si>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</si>
  <si>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</si>
  <si>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</si>
  <si>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</si>
  <si>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</si>
  <si>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</si>
  <si>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</si>
  <si>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</si>
  <si>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</si>
  <si>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</si>
  <si>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</si>
  <si>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</si>
  <si>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</si>
  <si>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</si>
  <si>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</si>
  <si>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</si>
  <si>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</si>
  <si>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</si>
  <si>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</si>
  <si>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</si>
  <si>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</si>
  <si>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</si>
  <si>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</si>
  <si>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</si>
  <si>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</si>
  <si>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</si>
  <si>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</si>
  <si>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</si>
  <si>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</si>
  <si>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</si>
  <si>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</si>
  <si>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</si>
  <si>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</si>
  <si>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</si>
  <si>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</si>
  <si>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</si>
  <si>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</si>
  <si>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</si>
  <si>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</si>
  <si>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</si>
  <si>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</si>
  <si>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</si>
  <si>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</si>
  <si>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</si>
  <si>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</si>
  <si>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</si>
  <si>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</si>
  <si>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</si>
  <si>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</si>
  <si>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</si>
  <si>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</si>
  <si>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</si>
  <si>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</si>
  <si>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</si>
  <si>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</si>
  <si>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</si>
  <si>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</si>
  <si>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</si>
  <si>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</si>
  <si>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</si>
  <si>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</si>
  <si>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</si>
  <si>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</si>
  <si>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</si>
  <si>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</si>
  <si>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</si>
  <si>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</si>
  <si>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</si>
  <si>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</si>
  <si>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</si>
  <si>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</si>
  <si>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</si>
  <si>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</si>
  <si>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</si>
  <si>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</si>
  <si>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</si>
  <si>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</si>
  <si>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</si>
  <si>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</si>
  <si>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</si>
  <si>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</si>
  <si>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</si>
  <si>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</si>
  <si>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</si>
  <si>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</si>
  <si>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</si>
  <si>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</si>
  <si>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</si>
  <si>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</si>
  <si>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</si>
  <si>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</si>
  <si>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</si>
  <si>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</si>
  <si>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</si>
  <si>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</si>
  <si>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</si>
  <si>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</si>
  <si>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</si>
  <si>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</si>
  <si>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</si>
  <si>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</si>
  <si>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</si>
  <si>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</si>
  <si>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</si>
  <si>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</si>
  <si>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</si>
  <si>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</si>
  <si>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</si>
  <si>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</si>
  <si>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</si>
  <si>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</si>
  <si>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</si>
  <si>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</si>
  <si>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</si>
  <si>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</si>
  <si>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</si>
  <si>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</si>
  <si>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</si>
  <si>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</si>
  <si>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</si>
  <si>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</si>
  <si>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</si>
  <si>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</si>
  <si>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</si>
  <si>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</si>
  <si>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</si>
  <si>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</si>
  <si>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</si>
  <si>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</si>
  <si>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</si>
  <si>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</si>
  <si>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</si>
  <si>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</si>
  <si>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</si>
  <si>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</si>
  <si>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</si>
  <si>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</si>
  <si>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</si>
  <si>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</si>
  <si>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</si>
  <si>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</si>
  <si>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</si>
  <si>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</si>
  <si>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</si>
  <si>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</si>
  <si>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</si>
  <si>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</si>
  <si>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</si>
  <si>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</si>
  <si>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</si>
  <si>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</si>
  <si>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</si>
  <si>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</si>
  <si>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</si>
  <si>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</si>
  <si>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</si>
  <si>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</si>
  <si>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</si>
  <si>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</si>
  <si>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</si>
  <si>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</si>
  <si>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</si>
  <si>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</si>
  <si>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</si>
  <si>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</si>
  <si>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</si>
  <si>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</si>
  <si>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</si>
  <si>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</si>
  <si>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</si>
  <si>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</si>
  <si>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</si>
  <si>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</si>
  <si>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</si>
  <si>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</si>
  <si>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</si>
  <si>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</si>
  <si>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</si>
  <si>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</si>
  <si>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</si>
  <si>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</si>
  <si>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</si>
  <si>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</si>
  <si>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</si>
  <si>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</si>
  <si>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</si>
  <si>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</si>
  <si>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</si>
  <si>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</si>
  <si>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</si>
  <si>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</si>
  <si>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</si>
  <si>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</si>
  <si>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</si>
  <si>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</si>
  <si>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</si>
  <si>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</si>
  <si>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</si>
  <si>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</si>
  <si>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</si>
  <si>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</si>
  <si>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</si>
  <si>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</si>
  <si>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</si>
  <si>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</si>
  <si>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</si>
  <si>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</si>
  <si>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</si>
  <si>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</si>
  <si>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</si>
  <si>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</si>
  <si>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</si>
  <si>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</si>
  <si>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</si>
  <si>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</si>
  <si>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</si>
  <si>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</si>
  <si>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</si>
  <si>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</si>
  <si>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</si>
  <si>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</si>
  <si>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</si>
  <si>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</si>
  <si>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</si>
  <si>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</si>
  <si>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</si>
  <si>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</si>
  <si>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</si>
  <si>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</si>
  <si>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</si>
  <si>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</si>
  <si>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</si>
  <si>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</si>
  <si>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</si>
  <si>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</si>
  <si>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</si>
  <si>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</si>
  <si>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</si>
  <si>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</si>
  <si>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</si>
  <si>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</si>
  <si>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</si>
  <si>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</si>
  <si>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</si>
  <si>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</si>
  <si>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</si>
  <si>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</si>
  <si>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</si>
  <si>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</si>
  <si>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</si>
  <si>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</si>
  <si>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</si>
  <si>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</si>
  <si>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</si>
  <si>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</si>
  <si>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</si>
  <si>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</si>
  <si>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</si>
  <si>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</si>
  <si>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</si>
  <si>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</si>
  <si>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</si>
  <si>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</si>
  <si>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</si>
  <si>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</si>
  <si>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</si>
  <si>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</si>
  <si>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</si>
  <si>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</si>
  <si>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</si>
  <si>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</si>
  <si>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</si>
  <si>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</si>
  <si>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</si>
  <si>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</si>
  <si>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</si>
  <si>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</si>
  <si>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</si>
  <si>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</si>
  <si>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</si>
  <si>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</si>
  <si>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</si>
  <si>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</si>
  <si>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</si>
  <si>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</si>
  <si>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</si>
  <si>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</si>
  <si>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</si>
  <si>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</si>
  <si>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</si>
  <si>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</si>
  <si>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</si>
  <si>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</si>
  <si>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</si>
  <si>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</si>
  <si>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</si>
  <si>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</si>
  <si>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</si>
  <si>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</si>
  <si>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</si>
  <si>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</si>
  <si>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</si>
  <si>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</si>
  <si>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</si>
  <si>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</si>
  <si>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</si>
  <si>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</si>
  <si>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</si>
  <si>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</si>
  <si>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</si>
  <si>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</si>
  <si>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</si>
  <si>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</si>
  <si>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</si>
  <si>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</si>
  <si>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</si>
  <si>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</si>
  <si>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</si>
  <si>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</si>
  <si>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</si>
  <si>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</si>
  <si>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</si>
  <si>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</si>
  <si>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</si>
  <si>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</si>
  <si>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</si>
  <si>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</si>
  <si>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</si>
  <si>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</si>
  <si>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</si>
  <si>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</si>
  <si>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</si>
  <si>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</si>
  <si>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</si>
  <si>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</si>
  <si>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</si>
  <si>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</si>
  <si>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</si>
  <si>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</si>
  <si>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</si>
  <si>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</si>
  <si>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</si>
  <si>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</si>
  <si>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</si>
  <si>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</si>
  <si>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</si>
  <si>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</si>
  <si>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</si>
  <si>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</si>
  <si>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</si>
  <si>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</si>
  <si>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</si>
  <si>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</si>
  <si>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</si>
  <si>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</si>
  <si>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</si>
  <si>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</si>
  <si>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</si>
  <si>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</si>
  <si>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</si>
  <si>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</si>
  <si>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</si>
  <si>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</si>
  <si>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</si>
  <si>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</si>
  <si>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</si>
  <si>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</si>
  <si>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</si>
  <si>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</si>
  <si>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</si>
  <si>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</si>
  <si>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</si>
  <si>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</si>
  <si>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</si>
  <si>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</si>
  <si>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</si>
  <si>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</si>
  <si>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</si>
  <si>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</si>
  <si>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</si>
  <si>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</si>
  <si>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</si>
  <si>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</si>
  <si>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</si>
  <si>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</si>
  <si>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</si>
  <si>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</si>
  <si>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</si>
  <si>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</si>
  <si>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</si>
  <si>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</si>
  <si>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</si>
  <si>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</si>
  <si>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</si>
  <si>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</si>
  <si>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</si>
  <si>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</si>
  <si>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</si>
  <si>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</si>
  <si>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</si>
  <si>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</si>
  <si>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</si>
  <si>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</si>
  <si>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</si>
  <si>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</si>
  <si>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</si>
  <si>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</si>
  <si>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</si>
  <si>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</si>
  <si>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</si>
  <si>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</si>
  <si>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</si>
  <si>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</si>
  <si>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</si>
  <si>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</si>
  <si>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</si>
  <si>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</si>
  <si>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</si>
  <si>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</si>
  <si>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</si>
  <si>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</si>
  <si>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</si>
  <si>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</si>
  <si>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</si>
  <si>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</si>
  <si>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</si>
  <si>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</si>
  <si>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</si>
  <si>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</si>
  <si>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</si>
  <si>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</si>
  <si>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</si>
  <si>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</si>
  <si>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</si>
  <si>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</si>
  <si>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</si>
  <si>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</si>
  <si>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</si>
  <si>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</si>
  <si>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</si>
  <si>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</si>
  <si>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</si>
  <si>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</si>
  <si>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</si>
  <si>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</si>
  <si>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</si>
  <si>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</si>
  <si>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</si>
  <si>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</si>
  <si>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</si>
  <si>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</si>
  <si>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</si>
  <si>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</si>
  <si>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</si>
  <si>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</si>
  <si>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</si>
  <si>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</si>
  <si>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</si>
  <si>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</si>
  <si>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</si>
  <si>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</si>
  <si>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</si>
  <si>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</si>
  <si>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</si>
  <si>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</si>
  <si>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</si>
  <si>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</si>
  <si>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</si>
  <si>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</si>
  <si>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</si>
  <si>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</si>
  <si>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</si>
  <si>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</si>
  <si>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</si>
  <si>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</si>
  <si>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</si>
  <si>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</si>
  <si>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</si>
  <si>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</si>
  <si>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</si>
  <si>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</si>
  <si>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</si>
  <si>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</si>
  <si>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</si>
  <si>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</si>
  <si>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</si>
  <si>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</si>
  <si>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</si>
  <si>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</si>
  <si>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</si>
  <si>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</si>
  <si>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</si>
  <si>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</si>
  <si>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</si>
  <si>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</si>
  <si>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</si>
  <si>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</si>
  <si>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</si>
  <si>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</si>
  <si>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</si>
  <si>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</si>
  <si>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</si>
  <si>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</si>
  <si>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</si>
  <si>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</si>
  <si>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</si>
  <si>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</si>
  <si>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</si>
  <si>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</si>
  <si>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</si>
  <si>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</si>
  <si>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</si>
  <si>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</si>
  <si>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</si>
  <si>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</si>
  <si>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</si>
  <si>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</si>
  <si>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</si>
  <si>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</si>
  <si>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</si>
  <si>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</si>
  <si>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</si>
  <si>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</si>
  <si>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</si>
  <si>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</si>
  <si>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</si>
  <si>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</si>
  <si>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</si>
  <si>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</si>
  <si>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</si>
  <si>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</si>
  <si>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</si>
  <si>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</si>
  <si>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</si>
  <si>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</si>
  <si>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</si>
  <si>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</si>
  <si>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</si>
  <si>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</si>
  <si>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</si>
  <si>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</si>
  <si>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</si>
  <si>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</si>
  <si>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</si>
  <si>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</si>
  <si>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</si>
  <si>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</si>
  <si>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</si>
  <si>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</si>
  <si>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</si>
  <si>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</si>
  <si>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</si>
  <si>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</si>
  <si>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</si>
  <si>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</si>
  <si>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</si>
  <si>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</si>
  <si>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</si>
  <si>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</si>
  <si>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</si>
  <si>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</si>
  <si>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</si>
  <si>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</si>
  <si>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</si>
  <si>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</si>
  <si>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</si>
  <si>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</si>
  <si>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</si>
  <si>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</si>
  <si>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</si>
  <si>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</si>
  <si>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</si>
  <si>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</si>
  <si>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</si>
  <si>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</si>
  <si>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</si>
  <si>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</si>
  <si>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</si>
  <si>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</si>
  <si>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</si>
  <si>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</si>
  <si>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</si>
  <si>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</si>
  <si>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</si>
  <si>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</si>
  <si>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</si>
  <si>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</si>
  <si>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</si>
  <si>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</si>
  <si>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</si>
  <si>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</si>
  <si>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</si>
  <si>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</si>
  <si>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</si>
  <si>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</si>
  <si>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</si>
  <si>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</si>
  <si>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</si>
  <si>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</si>
  <si>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</si>
  <si>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</si>
  <si>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</si>
  <si>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</si>
  <si>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</si>
  <si>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</si>
  <si>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</si>
  <si>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</si>
  <si>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</si>
  <si>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</si>
  <si>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</si>
  <si>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</si>
  <si>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</si>
  <si>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</si>
  <si>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</si>
  <si>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</si>
  <si>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</si>
  <si>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</si>
  <si>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</si>
  <si>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</si>
  <si>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</si>
  <si>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</si>
  <si>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</si>
  <si>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</si>
  <si>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</si>
  <si>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</si>
  <si>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</si>
  <si>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</si>
  <si>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</si>
  <si>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</si>
  <si>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</si>
  <si>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</si>
  <si>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</si>
  <si>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</si>
  <si>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</si>
  <si>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</si>
  <si>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</si>
  <si>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</si>
  <si>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</si>
  <si>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</si>
  <si>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</si>
  <si>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</si>
  <si>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</si>
  <si>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</si>
  <si>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</si>
  <si>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</si>
  <si>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</si>
  <si>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08/98</t>
  </si>
  <si>
    <t>08/12</t>
  </si>
  <si>
    <t>The town gave the school district an additional $18,441 in the current appropriations</t>
  </si>
  <si>
    <t>The Capital Projects and Trust Fund section is now complete</t>
  </si>
  <si>
    <t>Sunapee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</si>
</sst>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41B6-718C-443A-9D8B-62772CAC62A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515</v>
      </c>
      <c r="C2" s="21">
        <v>515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211110.21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764373.27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277028.43</v>
      </c>
      <c r="G12" s="18">
        <v>45369.72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4103.28</v>
      </c>
      <c r="H13" s="18">
        <v>93519.54</v>
      </c>
      <c r="I13" s="18">
        <v>228878.61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488138.64</v>
      </c>
      <c r="G19" s="41">
        <f>SUM(G9:G18)</f>
        <v>49473</v>
      </c>
      <c r="H19" s="41">
        <f>SUM(H9:H18)</f>
        <v>93519.54</v>
      </c>
      <c r="I19" s="41">
        <f>SUM(I9:I18)</f>
        <v>228878.61</v>
      </c>
      <c r="J19" s="41">
        <f>SUM(J9:J18)</f>
        <v>764373.27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93519.54</v>
      </c>
      <c r="I23" s="18"/>
      <c r="J23" s="67">
        <f>SUM(I440)</f>
        <v>228878.61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18441</v>
      </c>
      <c r="G24" s="18"/>
      <c r="H24" s="18"/>
      <c r="I24" s="18">
        <v>228878.61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18441</v>
      </c>
      <c r="G33" s="41">
        <f>SUM(G23:G32)</f>
        <v>0</v>
      </c>
      <c r="H33" s="41">
        <f>SUM(H23:H32)</f>
        <v>93519.54</v>
      </c>
      <c r="I33" s="41">
        <f>SUM(I23:I32)</f>
        <v>228878.61</v>
      </c>
      <c r="J33" s="41">
        <f>SUM(J23:J32)</f>
        <v>228878.61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208917.83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49473</v>
      </c>
      <c r="H41" s="18"/>
      <c r="I41" s="18"/>
      <c r="J41" s="13">
        <f>SUM(I449)</f>
        <v>535494.66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260779.81</f>
        <v>260779.81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469697.64</v>
      </c>
      <c r="G43" s="41">
        <f>SUM(G35:G42)</f>
        <v>49473</v>
      </c>
      <c r="H43" s="41">
        <f>SUM(H35:H42)</f>
        <v>0</v>
      </c>
      <c r="I43" s="41">
        <f>SUM(I35:I42)</f>
        <v>0</v>
      </c>
      <c r="J43" s="41">
        <f>SUM(J35:J42)</f>
        <v>535494.66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488138.64</v>
      </c>
      <c r="G44" s="41">
        <f>G43+G33</f>
        <v>49473</v>
      </c>
      <c r="H44" s="41">
        <f>H43+H33</f>
        <v>93519.54</v>
      </c>
      <c r="I44" s="41">
        <f>I43+I33</f>
        <v>228878.61</v>
      </c>
      <c r="J44" s="41">
        <f>J43+J33</f>
        <v>764373.27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6532022+18441</f>
        <v>6550463</v>
      </c>
      <c r="G49" s="18">
        <v>6000</v>
      </c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6550463</v>
      </c>
      <c r="G52" s="41">
        <f>SUM(G49:G51)</f>
        <v>6000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28711+15202.63</f>
        <v>43913.63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103299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37124.1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184336.73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1601.31</v>
      </c>
      <c r="G88" s="18"/>
      <c r="H88" s="18"/>
      <c r="I88" s="18"/>
      <c r="J88" s="18">
        <v>1155.43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99789.49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-5800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50325.599999999999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46126.909999999996</v>
      </c>
      <c r="G103" s="41">
        <f>SUM(G88:G102)</f>
        <v>99789.49</v>
      </c>
      <c r="H103" s="41">
        <f>SUM(H88:H102)</f>
        <v>0</v>
      </c>
      <c r="I103" s="41">
        <f>SUM(I88:I102)</f>
        <v>0</v>
      </c>
      <c r="J103" s="41">
        <f>SUM(J88:J102)</f>
        <v>1155.43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6780926.6400000006</v>
      </c>
      <c r="G104" s="41">
        <f>G52+G103</f>
        <v>105789.49</v>
      </c>
      <c r="H104" s="41">
        <f>H52+H71+H86+H103</f>
        <v>0</v>
      </c>
      <c r="I104" s="41">
        <f>I52+I103</f>
        <v>0</v>
      </c>
      <c r="J104" s="41">
        <f>J52+J103</f>
        <v>1155.43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17795.560000000001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2522764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645.44000000000005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2541205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83480.44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39147.279999999999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848.21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2160.84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6150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129625.93000000001</v>
      </c>
      <c r="G128" s="41">
        <f>SUM(G115:G127)</f>
        <v>2160.84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2670830.9300000002</v>
      </c>
      <c r="G132" s="41">
        <f>G113+SUM(G128:G129)</f>
        <v>2160.84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53028.2+22453.51</f>
        <v>75481.709999999992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19084.34+27384.42+13034</f>
        <v>59502.759999999995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49696.58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96763.36+199+42139.69+1961.74</f>
        <v>141063.78999999998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51459.53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7702.9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51459.53</v>
      </c>
      <c r="G154" s="41">
        <f>SUM(G142:G153)</f>
        <v>57399.48</v>
      </c>
      <c r="H154" s="41">
        <f>SUM(H142:H153)</f>
        <v>276048.25999999995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51459.53</v>
      </c>
      <c r="G161" s="41">
        <f>G139+G154+SUM(G155:G160)</f>
        <v>57399.48</v>
      </c>
      <c r="H161" s="41">
        <f>H139+H154+SUM(H155:H160)</f>
        <v>276048.25999999995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228878.61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228878.61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228878.61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9503217.0999999996</v>
      </c>
      <c r="G185" s="47">
        <f>G104+G132+G161+G184</f>
        <v>165349.81</v>
      </c>
      <c r="H185" s="47">
        <f>H104+H132+H161+H184</f>
        <v>276048.25999999995</v>
      </c>
      <c r="I185" s="47">
        <f>I104+I132+I161+I184</f>
        <v>228878.61</v>
      </c>
      <c r="J185" s="47">
        <f>J104+J132+J184</f>
        <v>26155.43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857745.11+39716.34+29042.4</f>
        <v>926503.85</v>
      </c>
      <c r="G189" s="18">
        <f>F189/F249*2085266.8</f>
        <v>384810.03864142206</v>
      </c>
      <c r="H189" s="18">
        <f>33574.21</f>
        <v>33574.21</v>
      </c>
      <c r="I189" s="18">
        <f>31392.45+23233.38+824.89+750</f>
        <v>56200.72</v>
      </c>
      <c r="J189" s="18">
        <f>15061.53+26968</f>
        <v>42029.53</v>
      </c>
      <c r="K189" s="18"/>
      <c r="L189" s="19">
        <f>SUM(F189:K189)</f>
        <v>1443118.3486414221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197887+126625.38+44055.9</f>
        <v>368568.28</v>
      </c>
      <c r="G190" s="18">
        <f>F190/F249*2085266.8</f>
        <v>153079.53018090804</v>
      </c>
      <c r="H190" s="18">
        <f>151249.73+1112.21</f>
        <v>152361.94</v>
      </c>
      <c r="I190" s="18">
        <f>2870.87+1018.95</f>
        <v>3889.8199999999997</v>
      </c>
      <c r="J190" s="18">
        <f>2043.48+152.99</f>
        <v>2196.4700000000003</v>
      </c>
      <c r="K190" s="18">
        <f>1068.9</f>
        <v>1068.9000000000001</v>
      </c>
      <c r="L190" s="19">
        <f>SUM(F190:K190)</f>
        <v>681164.94018090796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4625.5</f>
        <v>4625.5</v>
      </c>
      <c r="G192" s="18">
        <f>F192/F249*2085266.8</f>
        <v>1921.1348487498437</v>
      </c>
      <c r="H192" s="18">
        <f>8000</f>
        <v>8000</v>
      </c>
      <c r="I192" s="18">
        <f>1976.5</f>
        <v>1976.5</v>
      </c>
      <c r="J192" s="18"/>
      <c r="K192" s="18">
        <f>1079</f>
        <v>1079</v>
      </c>
      <c r="L192" s="19">
        <f>SUM(F192:K192)</f>
        <v>17602.134848749844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57341+47222.4+21558.98+68857.4+37663.98</f>
        <v>232643.75999999998</v>
      </c>
      <c r="G194" s="18">
        <f>F194/F249*2085266.8</f>
        <v>96625.237202506731</v>
      </c>
      <c r="H194" s="18">
        <f>400+200+3255.5+964.9+27548.67+880+1840</f>
        <v>35089.07</v>
      </c>
      <c r="I194" s="18">
        <f>1313.87+1200+255+928.95+702.62</f>
        <v>4400.4399999999996</v>
      </c>
      <c r="J194" s="18"/>
      <c r="K194" s="18"/>
      <c r="L194" s="19">
        <f t="shared" ref="L194:L200" si="0">SUM(F194:K194)</f>
        <v>368758.50720250671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26141+17013.7+18551.5+30671.49</f>
        <v>92377.69</v>
      </c>
      <c r="G195" s="18">
        <f>F195/F249*2085266.8+6350.85+6055.4</f>
        <v>50773.993920875568</v>
      </c>
      <c r="H195" s="18">
        <f>169+4559.57+5364.92+110.5+5292.07</f>
        <v>15496.06</v>
      </c>
      <c r="I195" s="18">
        <f>1122.72+3583.29+1547.79+840.21+1873.7+5856.88</f>
        <v>14824.59</v>
      </c>
      <c r="J195" s="18">
        <f>35817.16</f>
        <v>35817.160000000003</v>
      </c>
      <c r="K195" s="18"/>
      <c r="L195" s="19">
        <f t="shared" si="0"/>
        <v>209289.49392087557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4954.82+113824.55</f>
        <v>118779.37</v>
      </c>
      <c r="G196" s="18">
        <f>F196/F249*2085266.8+7810.82</f>
        <v>57144.121701340766</v>
      </c>
      <c r="H196" s="18">
        <f>13069.39+2672.74+2318.61+633.74+10812.31+4245.05+200</f>
        <v>33951.840000000004</v>
      </c>
      <c r="I196" s="18">
        <f>3425.04+4800.76+2266.09</f>
        <v>10491.89</v>
      </c>
      <c r="J196" s="18">
        <f>1529.97</f>
        <v>1529.97</v>
      </c>
      <c r="K196" s="18">
        <f>2152.64+1582.12</f>
        <v>3734.7599999999998</v>
      </c>
      <c r="L196" s="19">
        <f t="shared" si="0"/>
        <v>225631.95170134076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86939+53233.5</f>
        <v>140172.5</v>
      </c>
      <c r="G197" s="18">
        <f>F197/F249*2085266.8</f>
        <v>58218.630328913081</v>
      </c>
      <c r="H197" s="18">
        <f>405.35+5986.66+1067.22+606.08+450+1400</f>
        <v>9915.3100000000013</v>
      </c>
      <c r="I197" s="18">
        <f>2168.9+1321.67</f>
        <v>3490.57</v>
      </c>
      <c r="J197" s="18"/>
      <c r="K197" s="18"/>
      <c r="L197" s="19">
        <f t="shared" si="0"/>
        <v>211797.01032891308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87265.22+12526.67+12240.46</f>
        <v>112032.35</v>
      </c>
      <c r="G199" s="18">
        <f>F199/F249*2085266.8</f>
        <v>46531.024056283546</v>
      </c>
      <c r="H199" s="18">
        <f>7189.24+5851.28+7326.93+503.11+12540.22+5306.7+80.56+15832.13+4375+16580+2985</f>
        <v>78570.169999999984</v>
      </c>
      <c r="I199" s="18">
        <f>9309.68+22209.72+2760.9+33586.35+11098.62</f>
        <v>78965.26999999999</v>
      </c>
      <c r="J199" s="18"/>
      <c r="K199" s="18"/>
      <c r="L199" s="19">
        <f t="shared" si="0"/>
        <v>316098.81405628356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2551.99+75442.15</f>
        <v>77994.14</v>
      </c>
      <c r="G200" s="18">
        <f>F200/F249*2085266.8</f>
        <v>32393.743455253298</v>
      </c>
      <c r="H200" s="18">
        <f>764.4+10871.99</f>
        <v>11636.39</v>
      </c>
      <c r="I200" s="18">
        <f>22036.73</f>
        <v>22036.73</v>
      </c>
      <c r="J200" s="18"/>
      <c r="K200" s="18">
        <f>347.4</f>
        <v>347.4</v>
      </c>
      <c r="L200" s="19">
        <f t="shared" si="0"/>
        <v>144408.40345525328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2073697.4399999997</v>
      </c>
      <c r="G203" s="41">
        <f t="shared" si="1"/>
        <v>881497.45433625299</v>
      </c>
      <c r="H203" s="41">
        <f t="shared" si="1"/>
        <v>378594.99</v>
      </c>
      <c r="I203" s="41">
        <f t="shared" si="1"/>
        <v>196276.53</v>
      </c>
      <c r="J203" s="41">
        <f t="shared" si="1"/>
        <v>81573.13</v>
      </c>
      <c r="K203" s="41">
        <f t="shared" si="1"/>
        <v>6230.0599999999995</v>
      </c>
      <c r="L203" s="41">
        <f t="shared" si="1"/>
        <v>3617869.6043362529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1381978.08*0.42+15309.68</f>
        <v>595740.47360000003</v>
      </c>
      <c r="G207" s="18">
        <f>F207/F249*2085266.8</f>
        <v>247432.23103311993</v>
      </c>
      <c r="H207" s="18">
        <f>38156.8*0.42</f>
        <v>16025.856</v>
      </c>
      <c r="I207" s="18">
        <f>(47079.79+24244.76+3409.25)*0.42+3705.63</f>
        <v>35093.826000000001</v>
      </c>
      <c r="J207" s="18">
        <f>(22060.96)*0.42+3572.02</f>
        <v>12837.6232</v>
      </c>
      <c r="K207" s="18"/>
      <c r="L207" s="19">
        <f>SUM(F207:K207)</f>
        <v>907130.00983312004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(170419.02+168923.62)*0.42+22027.96</f>
        <v>164551.8688</v>
      </c>
      <c r="G208" s="18">
        <f>F208/F249*2085266.8</f>
        <v>68344.250260207991</v>
      </c>
      <c r="H208" s="18">
        <f>75624.88+556.11+15098.29</f>
        <v>91279.28</v>
      </c>
      <c r="I208" s="18">
        <f>(1691.17+1484.86)*0.42</f>
        <v>1333.9325999999999</v>
      </c>
      <c r="J208" s="18">
        <f>(5630.81)*0.42+413.86</f>
        <v>2778.8002000000001</v>
      </c>
      <c r="K208" s="18">
        <f>534.45</f>
        <v>534.45000000000005</v>
      </c>
      <c r="L208" s="19">
        <f>SUM(F208:K208)</f>
        <v>328822.58186020801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(26772.37+68342+1155)*0.42</f>
        <v>40433.135399999999</v>
      </c>
      <c r="G210" s="18">
        <f>F210/F249*2085266.8</f>
        <v>16793.320821783796</v>
      </c>
      <c r="H210" s="18">
        <f>(22984.35+10350)*0.42</f>
        <v>14000.427</v>
      </c>
      <c r="I210" s="18">
        <f>(15618.62+32506.52)*0.42</f>
        <v>20212.558799999999</v>
      </c>
      <c r="J210" s="18"/>
      <c r="K210" s="18">
        <f>(4729)*0.42</f>
        <v>1986.1799999999998</v>
      </c>
      <c r="L210" s="19">
        <f>SUM(F210:K210)</f>
        <v>93425.622021783784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(127810+24897.34+59136)*0.42+20924.88+6885.74+4708</f>
        <v>121492.82280000001</v>
      </c>
      <c r="G212" s="18">
        <f>F212/F249*2085266.8</f>
        <v>50460.295266256522</v>
      </c>
      <c r="H212" s="18">
        <f>(4025)*0.42+3159.75+96.49+110+3443.58</f>
        <v>8500.32</v>
      </c>
      <c r="I212" s="18">
        <f>(1968.79+912.93)*0.42+247.5+92.9+87.83</f>
        <v>1638.5523999999998</v>
      </c>
      <c r="J212" s="18"/>
      <c r="K212" s="18"/>
      <c r="L212" s="19">
        <f t="shared" ref="L212:L218" si="2">SUM(F212:K212)</f>
        <v>182091.99046625651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(69555.25+16628.64+47536)*0.42+16168.45</f>
        <v>72330.803800000009</v>
      </c>
      <c r="G213" s="18">
        <f>12503.22*0.42+F213/F249*2085266.8+3192.1</f>
        <v>38485.010678730432</v>
      </c>
      <c r="H213" s="18">
        <f>(1516+2740.04+6729.87+26189.8)*0.42+2828.12+58.25+2789.7+1750</f>
        <v>23039.868200000001</v>
      </c>
      <c r="I213" s="18">
        <f>(978.13+9598.56+3287.09+7198.1+7121.25)*0.42+3087.44</f>
        <v>14924.354599999999</v>
      </c>
      <c r="J213" s="18">
        <f>(7203.49+63366.48)*0.42+12602</f>
        <v>42241.3874</v>
      </c>
      <c r="K213" s="18"/>
      <c r="L213" s="19">
        <f t="shared" si="2"/>
        <v>191021.42467873043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2611.93+60002.53</f>
        <v>62614.46</v>
      </c>
      <c r="G214" s="18">
        <f>F214/F249*2085266.8+4117.47</f>
        <v>30123.484731737786</v>
      </c>
      <c r="H214" s="18">
        <f>6889.52+1408.93+1222.25+334.08+5699.7+2237.77</f>
        <v>17792.25</v>
      </c>
      <c r="I214" s="18">
        <f>1194.58+1805.51+2530.72+1321.67+504+110.49</f>
        <v>7466.9699999999993</v>
      </c>
      <c r="J214" s="18">
        <f>806.52</f>
        <v>806.52</v>
      </c>
      <c r="K214" s="18">
        <f>1134.76+834.02</f>
        <v>1968.78</v>
      </c>
      <c r="L214" s="19">
        <f t="shared" si="2"/>
        <v>120772.46473173778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(169164+53182.89)*0.42</f>
        <v>93385.693800000008</v>
      </c>
      <c r="G215" s="18">
        <f>F215/F249*2085266.8</f>
        <v>38786.403790695542</v>
      </c>
      <c r="H215" s="18">
        <f>(100+311.78+15856.29+3600+3155+899.5)*0.42</f>
        <v>10047.4794</v>
      </c>
      <c r="I215" s="18">
        <f>(12892.27)*0.42</f>
        <v>5414.7533999999996</v>
      </c>
      <c r="J215" s="18"/>
      <c r="K215" s="18">
        <f>(4957)*0.42</f>
        <v>2081.94</v>
      </c>
      <c r="L215" s="19">
        <f t="shared" si="2"/>
        <v>149716.27039069554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76000.24*0.42+15790.66+15429.87</f>
        <v>63140.630800000006</v>
      </c>
      <c r="G217" s="18">
        <f>F217/F249*2085266.8</f>
        <v>26224.552200178947</v>
      </c>
      <c r="H217" s="18">
        <f>(14533.3+23673.7+16288.7+105316.56)*0.42+634.19+15807.75+6689.44+101.55165+9000+16580</f>
        <v>115934.08085</v>
      </c>
      <c r="I217" s="18">
        <f>(22812.85+94218.21+1925.51+92709.82)*0.42+13990.52</f>
        <v>102890.4038</v>
      </c>
      <c r="J217" s="18">
        <f>(7302.8)*0.42+4400</f>
        <v>7467.1759999999995</v>
      </c>
      <c r="K217" s="18"/>
      <c r="L217" s="19">
        <f t="shared" si="2"/>
        <v>315656.84365017893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(13016.66+5071.86)*0.42+37721.08</f>
        <v>45318.258399999999</v>
      </c>
      <c r="G218" s="18">
        <f>F218/F249*2085266.8</f>
        <v>18822.28634674961</v>
      </c>
      <c r="H218" s="18">
        <f>(33871.83)*0.42+382.2+5436</f>
        <v>20044.368600000002</v>
      </c>
      <c r="I218" s="18">
        <f>11018.36</f>
        <v>11018.36</v>
      </c>
      <c r="J218" s="18"/>
      <c r="K218" s="18">
        <f>173.7</f>
        <v>173.7</v>
      </c>
      <c r="L218" s="19">
        <f t="shared" si="2"/>
        <v>95376.973346749612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1259008.1473999999</v>
      </c>
      <c r="G221" s="41">
        <f>SUM(G207:G220)</f>
        <v>535471.83512946055</v>
      </c>
      <c r="H221" s="41">
        <f>SUM(H207:H220)</f>
        <v>316663.93005000002</v>
      </c>
      <c r="I221" s="41">
        <f>SUM(I207:I220)</f>
        <v>199993.71159999998</v>
      </c>
      <c r="J221" s="41">
        <f>SUM(J207:J220)</f>
        <v>66131.506800000003</v>
      </c>
      <c r="K221" s="41">
        <f t="shared" si="3"/>
        <v>6745.05</v>
      </c>
      <c r="L221" s="41">
        <f t="shared" si="3"/>
        <v>2384014.1809794609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1381978.08*0.58+21354.7</f>
        <v>822901.98639999994</v>
      </c>
      <c r="G225" s="18">
        <f>F225/F249*2085266.8</f>
        <v>341780.49576878385</v>
      </c>
      <c r="H225" s="18">
        <f>(38156.8)*0.58</f>
        <v>22130.944</v>
      </c>
      <c r="I225" s="18">
        <f>(47079.79+24244.76+3409.25)*0.58+3705.63</f>
        <v>47051.233999999997</v>
      </c>
      <c r="J225" s="18">
        <f>(22060.96)*0.58</f>
        <v>12795.356799999998</v>
      </c>
      <c r="K225" s="18"/>
      <c r="L225" s="19">
        <f>SUM(F225:K225)</f>
        <v>1246660.0169687837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(170419.02+168923.62)*0.58+38811.15</f>
        <v>235629.88119999997</v>
      </c>
      <c r="G226" s="18">
        <f>F226/F249*2085266.8</f>
        <v>97865.479662761994</v>
      </c>
      <c r="H226" s="18">
        <f>133243.8+979.79+15098.28</f>
        <v>149321.87</v>
      </c>
      <c r="I226" s="18">
        <f>(1691.17+1484.86)*0.58</f>
        <v>1842.0973999999997</v>
      </c>
      <c r="J226" s="18">
        <f>(5630.81)*0.58</f>
        <v>3265.8697999999999</v>
      </c>
      <c r="K226" s="18">
        <f>941.65</f>
        <v>941.65</v>
      </c>
      <c r="L226" s="19">
        <f>SUM(F226:K226)</f>
        <v>488866.848062762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7553.3+5469.63</f>
        <v>13022.93</v>
      </c>
      <c r="I227" s="18"/>
      <c r="J227" s="18"/>
      <c r="K227" s="18"/>
      <c r="L227" s="19">
        <f>SUM(F227:K227)</f>
        <v>13022.93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(26772.37+68342+1155)*0.58</f>
        <v>55836.234599999996</v>
      </c>
      <c r="G228" s="18">
        <f>F228/F249*2085266.8</f>
        <v>23190.776372939526</v>
      </c>
      <c r="H228" s="18">
        <f>(22984.35+10350)*0.58</f>
        <v>19333.922999999999</v>
      </c>
      <c r="I228" s="18">
        <f>(15618.62+32506.52)*0.58</f>
        <v>27912.581199999997</v>
      </c>
      <c r="J228" s="18"/>
      <c r="K228" s="18">
        <f>(4729)*0.58</f>
        <v>2742.8199999999997</v>
      </c>
      <c r="L228" s="19">
        <f>SUM(F228:K228)</f>
        <v>129016.33517293952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(127810+24897.34+59136)*0.58+20924.89+10328.61+4707.99</f>
        <v>158830.62719999999</v>
      </c>
      <c r="G230" s="18">
        <f>F230/F249*2085266.8</f>
        <v>65968.014909245438</v>
      </c>
      <c r="H230" s="18">
        <f>(4025)*0.58+3159.75+144.73+110+3443.59</f>
        <v>9192.57</v>
      </c>
      <c r="I230" s="18">
        <f>(1968.79+912.93)*0.58+247.5+139.34+87.83</f>
        <v>2146.0675999999999</v>
      </c>
      <c r="J230" s="18"/>
      <c r="K230" s="18"/>
      <c r="L230" s="19">
        <f t="shared" ref="L230:L236" si="4">SUM(F230:K230)</f>
        <v>236137.27970924543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(69555.25+16628.64+47536)*0.58+22552.56</f>
        <v>100110.0962</v>
      </c>
      <c r="G231" s="18">
        <f>12503.22*0.58+F231/F249*2085266.8+4452.5</f>
        <v>53283.655141134856</v>
      </c>
      <c r="H231" s="18">
        <f>(1516+2740.04+6729.87+26189.8)*0.58+3944.79+81.25+3891.23</f>
        <v>29479.181799999998</v>
      </c>
      <c r="I231" s="18">
        <f>(978.13+9598.56+3287.09+7198.1+7121.25)*0.58+4306.53</f>
        <v>20652.745399999996</v>
      </c>
      <c r="J231" s="18">
        <f>(7203.49+63366.48)*0.58+12602</f>
        <v>53532.582599999994</v>
      </c>
      <c r="K231" s="18"/>
      <c r="L231" s="19">
        <f t="shared" si="4"/>
        <v>257058.26114113483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3643.25+83694.52</f>
        <v>87337.77</v>
      </c>
      <c r="G232" s="18">
        <f>F232/F249*2085266.8+5743.25</f>
        <v>42017.735690000787</v>
      </c>
      <c r="H232" s="18">
        <f>9609.84+1965.25+1704.86+465.99+7950.23+3121.36</f>
        <v>24817.53</v>
      </c>
      <c r="I232" s="18">
        <f>1666.23+2518.4+3529.96+1321.66</f>
        <v>9036.25</v>
      </c>
      <c r="J232" s="18">
        <f>1124.98+3254</f>
        <v>4378.9799999999996</v>
      </c>
      <c r="K232" s="18">
        <f>1582.82+1163.32</f>
        <v>2746.14</v>
      </c>
      <c r="L232" s="19">
        <f t="shared" si="4"/>
        <v>170334.40569000083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(169164+53182.89)*0.58</f>
        <v>128961.19620000001</v>
      </c>
      <c r="G233" s="18">
        <f>F233/F249*2085266.8</f>
        <v>53562.176663341459</v>
      </c>
      <c r="H233" s="18">
        <f>(100+311.78+15856.29+3600+3155+899.5)*0.58</f>
        <v>13875.0906</v>
      </c>
      <c r="I233" s="18">
        <f>(12892.27)*0.58</f>
        <v>7477.5165999999999</v>
      </c>
      <c r="J233" s="18"/>
      <c r="K233" s="18">
        <f>(4957)*0.58</f>
        <v>2875.06</v>
      </c>
      <c r="L233" s="19">
        <f t="shared" si="4"/>
        <v>206751.04006334147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76000.24*0.58+15790.67+15429.88</f>
        <v>75300.689199999993</v>
      </c>
      <c r="G235" s="18">
        <f>F235/F249*2085266.8</f>
        <v>31275.057433142574</v>
      </c>
      <c r="H235" s="18">
        <f>(14533.3+23673.7+16288.7+105316.56)*0.58+634.2+15807.74+6689.43+101.56+9000+16580+16500+0.75</f>
        <v>158004.79079999999</v>
      </c>
      <c r="I235" s="18">
        <f>(22812.85+94218.21+1925.51+92709.82)*0.58+13990.52+6000</f>
        <v>142757.02619999999</v>
      </c>
      <c r="J235" s="18">
        <f>(7302.8)*0.58+4400</f>
        <v>8635.6239999999998</v>
      </c>
      <c r="K235" s="18"/>
      <c r="L235" s="19">
        <f t="shared" si="4"/>
        <v>415973.18763314252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(13016.66+5071.86)*0.58+12573.69</f>
        <v>23065.031600000002</v>
      </c>
      <c r="G236" s="18">
        <f>F236/F249*2085266.8</f>
        <v>9579.7288929361948</v>
      </c>
      <c r="H236" s="18">
        <f>(33871.83)*0.58+127.4+1812</f>
        <v>21585.061400000002</v>
      </c>
      <c r="I236" s="18">
        <f>3672.79</f>
        <v>3672.79</v>
      </c>
      <c r="J236" s="18"/>
      <c r="K236" s="18">
        <v>57.9</v>
      </c>
      <c r="L236" s="19">
        <f t="shared" si="4"/>
        <v>57960.511892936207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1687973.5126000002</v>
      </c>
      <c r="G239" s="41">
        <f t="shared" si="5"/>
        <v>718523.12053428672</v>
      </c>
      <c r="H239" s="41">
        <f t="shared" si="5"/>
        <v>460763.89159999997</v>
      </c>
      <c r="I239" s="41">
        <f t="shared" si="5"/>
        <v>262548.30839999998</v>
      </c>
      <c r="J239" s="41">
        <f t="shared" si="5"/>
        <v>82608.413199999981</v>
      </c>
      <c r="K239" s="41">
        <f t="shared" si="5"/>
        <v>9363.57</v>
      </c>
      <c r="L239" s="41">
        <f t="shared" si="5"/>
        <v>3221780.8163342867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5020679.0999999996</v>
      </c>
      <c r="G249" s="41">
        <f t="shared" si="8"/>
        <v>2135492.41</v>
      </c>
      <c r="H249" s="41">
        <f t="shared" si="8"/>
        <v>1156022.81165</v>
      </c>
      <c r="I249" s="41">
        <f t="shared" si="8"/>
        <v>658818.54999999993</v>
      </c>
      <c r="J249" s="41">
        <f t="shared" si="8"/>
        <v>230313.05</v>
      </c>
      <c r="K249" s="41">
        <f t="shared" si="8"/>
        <v>22338.68</v>
      </c>
      <c r="L249" s="41">
        <f t="shared" si="8"/>
        <v>9223664.6016499996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270000</v>
      </c>
      <c r="L252" s="19">
        <f>SUM(F252:K252)</f>
        <v>270000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33225.980000000003</v>
      </c>
      <c r="L253" s="19">
        <f>SUM(F253:K253)</f>
        <v>33225.980000000003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328225.98</v>
      </c>
      <c r="L262" s="41">
        <f t="shared" si="9"/>
        <v>328225.98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5020679.0999999996</v>
      </c>
      <c r="G263" s="42">
        <f t="shared" si="11"/>
        <v>2135492.41</v>
      </c>
      <c r="H263" s="42">
        <f t="shared" si="11"/>
        <v>1156022.81165</v>
      </c>
      <c r="I263" s="42">
        <f t="shared" si="11"/>
        <v>658818.54999999993</v>
      </c>
      <c r="J263" s="42">
        <f t="shared" si="11"/>
        <v>230313.05</v>
      </c>
      <c r="K263" s="42">
        <f t="shared" si="11"/>
        <v>350564.66</v>
      </c>
      <c r="L263" s="42">
        <f t="shared" si="11"/>
        <v>9551890.5816500001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27626.32</f>
        <v>27626.32</v>
      </c>
      <c r="G268" s="18">
        <f>3950.08</f>
        <v>3950.08</v>
      </c>
      <c r="H268" s="18">
        <f>12445.84+5507.35-229</f>
        <v>17724.190000000002</v>
      </c>
      <c r="I268" s="18">
        <f>5011.89</f>
        <v>5011.8900000000003</v>
      </c>
      <c r="J268" s="18">
        <f>5895.14</f>
        <v>5895.14</v>
      </c>
      <c r="K268" s="18"/>
      <c r="L268" s="19">
        <f>SUM(F268:K268)</f>
        <v>60207.62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22176.51</f>
        <v>22176.51</v>
      </c>
      <c r="G269" s="18"/>
      <c r="H269" s="18">
        <f>30972.6+1298.99-1105</f>
        <v>31166.59</v>
      </c>
      <c r="I269" s="18">
        <f>1799.24</f>
        <v>1799.24</v>
      </c>
      <c r="J269" s="18">
        <f>6102.85</f>
        <v>6102.85</v>
      </c>
      <c r="K269" s="18"/>
      <c r="L269" s="19">
        <f>SUM(F269:K269)</f>
        <v>61245.189999999995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f>331.5</f>
        <v>331.5</v>
      </c>
      <c r="I275" s="18"/>
      <c r="J275" s="18"/>
      <c r="K275" s="18"/>
      <c r="L275" s="19">
        <f t="shared" si="12"/>
        <v>331.5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f>229</f>
        <v>229</v>
      </c>
      <c r="L280" s="19">
        <f>SUM(F280:K280)</f>
        <v>229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49802.83</v>
      </c>
      <c r="G282" s="42">
        <f t="shared" si="13"/>
        <v>3950.08</v>
      </c>
      <c r="H282" s="42">
        <f t="shared" si="13"/>
        <v>49222.28</v>
      </c>
      <c r="I282" s="42">
        <f t="shared" si="13"/>
        <v>6811.13</v>
      </c>
      <c r="J282" s="42">
        <f t="shared" si="13"/>
        <v>11997.990000000002</v>
      </c>
      <c r="K282" s="42">
        <f t="shared" si="13"/>
        <v>229</v>
      </c>
      <c r="L282" s="41">
        <f t="shared" si="13"/>
        <v>122013.31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14563.2</f>
        <v>14563.2</v>
      </c>
      <c r="G287" s="18">
        <f>2082.29</f>
        <v>2082.29</v>
      </c>
      <c r="H287" s="18">
        <f>6560.81+2903.2-120.71</f>
        <v>9343.3000000000011</v>
      </c>
      <c r="I287" s="18">
        <f>2642.02</f>
        <v>2642.02</v>
      </c>
      <c r="J287" s="18">
        <f>3107.63</f>
        <v>3107.63</v>
      </c>
      <c r="K287" s="18"/>
      <c r="L287" s="19">
        <f>SUM(F287:K287)</f>
        <v>31738.440000000002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11690.33</f>
        <v>11690.33</v>
      </c>
      <c r="G288" s="18"/>
      <c r="H288" s="18">
        <f>16327.19+684.77-582.5</f>
        <v>16429.46</v>
      </c>
      <c r="I288" s="18">
        <f>948.47</f>
        <v>948.47</v>
      </c>
      <c r="J288" s="18">
        <f>3217.11</f>
        <v>3217.11</v>
      </c>
      <c r="K288" s="18"/>
      <c r="L288" s="19">
        <f>SUM(F288:K288)</f>
        <v>32285.370000000003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174.75</v>
      </c>
      <c r="I294" s="18"/>
      <c r="J294" s="18"/>
      <c r="K294" s="18"/>
      <c r="L294" s="19">
        <f t="shared" si="14"/>
        <v>174.75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>
        <f>120.71</f>
        <v>120.71</v>
      </c>
      <c r="L299" s="19">
        <f>SUM(F299:K299)</f>
        <v>120.71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26253.53</v>
      </c>
      <c r="G301" s="42">
        <f t="shared" si="15"/>
        <v>2082.29</v>
      </c>
      <c r="H301" s="42">
        <f t="shared" si="15"/>
        <v>25947.510000000002</v>
      </c>
      <c r="I301" s="42">
        <f t="shared" si="15"/>
        <v>3590.49</v>
      </c>
      <c r="J301" s="42">
        <f t="shared" si="15"/>
        <v>6324.74</v>
      </c>
      <c r="K301" s="42">
        <f t="shared" si="15"/>
        <v>120.71</v>
      </c>
      <c r="L301" s="41">
        <f t="shared" si="15"/>
        <v>64319.270000000004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20313.48</f>
        <v>20313.48</v>
      </c>
      <c r="G306" s="18">
        <f>2904.47</f>
        <v>2904.47</v>
      </c>
      <c r="H306" s="18">
        <f>9151.35+4049.52-168.38</f>
        <v>13032.490000000002</v>
      </c>
      <c r="I306" s="18">
        <f>3685.22</f>
        <v>3685.22</v>
      </c>
      <c r="J306" s="18">
        <f>4334.66</f>
        <v>4334.66</v>
      </c>
      <c r="K306" s="18"/>
      <c r="L306" s="19">
        <f>SUM(F306:K306)</f>
        <v>44270.320000000007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16306.25</f>
        <v>16306.25</v>
      </c>
      <c r="G307" s="18"/>
      <c r="H307" s="18">
        <f>22773.98+955.14-812.5</f>
        <v>22916.62</v>
      </c>
      <c r="I307" s="18">
        <f>1322.97</f>
        <v>1322.97</v>
      </c>
      <c r="J307" s="18">
        <f>4487.39</f>
        <v>4487.3900000000003</v>
      </c>
      <c r="K307" s="18"/>
      <c r="L307" s="19">
        <f>SUM(F307:K307)</f>
        <v>45033.229999999996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f>243.75</f>
        <v>243.75</v>
      </c>
      <c r="I313" s="18"/>
      <c r="J313" s="18"/>
      <c r="K313" s="18"/>
      <c r="L313" s="19">
        <f t="shared" si="16"/>
        <v>243.75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>
        <f>168.38</f>
        <v>168.38</v>
      </c>
      <c r="L318" s="19">
        <f>SUM(F318:K318)</f>
        <v>168.38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36619.729999999996</v>
      </c>
      <c r="G320" s="42">
        <f t="shared" si="17"/>
        <v>2904.47</v>
      </c>
      <c r="H320" s="42">
        <f t="shared" si="17"/>
        <v>36192.86</v>
      </c>
      <c r="I320" s="42">
        <f t="shared" si="17"/>
        <v>5008.1899999999996</v>
      </c>
      <c r="J320" s="42">
        <f t="shared" si="17"/>
        <v>8822.0499999999993</v>
      </c>
      <c r="K320" s="42">
        <f t="shared" si="17"/>
        <v>168.38</v>
      </c>
      <c r="L320" s="41">
        <f t="shared" si="17"/>
        <v>89715.680000000008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112676.09</v>
      </c>
      <c r="G330" s="41">
        <f t="shared" si="20"/>
        <v>8936.84</v>
      </c>
      <c r="H330" s="41">
        <f t="shared" si="20"/>
        <v>111362.65000000001</v>
      </c>
      <c r="I330" s="41">
        <f t="shared" si="20"/>
        <v>15409.809999999998</v>
      </c>
      <c r="J330" s="41">
        <f t="shared" si="20"/>
        <v>27144.780000000002</v>
      </c>
      <c r="K330" s="41">
        <f t="shared" si="20"/>
        <v>518.08999999999992</v>
      </c>
      <c r="L330" s="41">
        <f t="shared" si="20"/>
        <v>276048.26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112676.09</v>
      </c>
      <c r="G344" s="41">
        <f>G330</f>
        <v>8936.84</v>
      </c>
      <c r="H344" s="41">
        <f>H330</f>
        <v>111362.65000000001</v>
      </c>
      <c r="I344" s="41">
        <f>I330</f>
        <v>15409.809999999998</v>
      </c>
      <c r="J344" s="41">
        <f>J330</f>
        <v>27144.780000000002</v>
      </c>
      <c r="K344" s="47">
        <f>K330+K343</f>
        <v>518.08999999999992</v>
      </c>
      <c r="L344" s="41">
        <f>L330+L343</f>
        <v>276048.26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56228.83/3</f>
        <v>18742.943333333333</v>
      </c>
      <c r="G350" s="18">
        <f>6622.42/3</f>
        <v>2207.4733333333334</v>
      </c>
      <c r="H350" s="18">
        <f>335.5/3</f>
        <v>111.83333333333333</v>
      </c>
      <c r="I350" s="18">
        <f>80712.61/3</f>
        <v>26904.203333333335</v>
      </c>
      <c r="J350" s="18"/>
      <c r="K350" s="18">
        <f>676.21/3</f>
        <v>225.40333333333334</v>
      </c>
      <c r="L350" s="13">
        <f>SUM(F350:K350)</f>
        <v>48191.856666666667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56228.83/3</f>
        <v>18742.943333333333</v>
      </c>
      <c r="G351" s="18">
        <f>6622.42/3</f>
        <v>2207.4733333333334</v>
      </c>
      <c r="H351" s="18">
        <f>335.5/3</f>
        <v>111.83333333333333</v>
      </c>
      <c r="I351" s="18">
        <f>80712.61/3</f>
        <v>26904.203333333335</v>
      </c>
      <c r="J351" s="18"/>
      <c r="K351" s="18">
        <f>676.21/3</f>
        <v>225.40333333333334</v>
      </c>
      <c r="L351" s="19">
        <f>SUM(F351:K351)</f>
        <v>48191.856666666667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56228.83/3</f>
        <v>18742.943333333333</v>
      </c>
      <c r="G352" s="18">
        <f>6622.42/3</f>
        <v>2207.4733333333334</v>
      </c>
      <c r="H352" s="18">
        <f>335.5/3</f>
        <v>111.83333333333333</v>
      </c>
      <c r="I352" s="18">
        <f>80712.61/3</f>
        <v>26904.203333333335</v>
      </c>
      <c r="J352" s="18"/>
      <c r="K352" s="18">
        <f>676.21/3</f>
        <v>225.40333333333334</v>
      </c>
      <c r="L352" s="19">
        <f>SUM(F352:K352)</f>
        <v>48191.856666666667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56228.83</v>
      </c>
      <c r="G354" s="47">
        <f t="shared" si="22"/>
        <v>6622.42</v>
      </c>
      <c r="H354" s="47">
        <f t="shared" si="22"/>
        <v>335.5</v>
      </c>
      <c r="I354" s="47">
        <f t="shared" si="22"/>
        <v>80712.61</v>
      </c>
      <c r="J354" s="47">
        <f t="shared" si="22"/>
        <v>0</v>
      </c>
      <c r="K354" s="47">
        <f t="shared" si="22"/>
        <v>676.21</v>
      </c>
      <c r="L354" s="47">
        <f t="shared" si="22"/>
        <v>144575.57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77478.44/3</f>
        <v>25826.146666666667</v>
      </c>
      <c r="G359" s="18">
        <f>77478.44/3</f>
        <v>25826.146666666667</v>
      </c>
      <c r="H359" s="18">
        <f>77478.44/3</f>
        <v>25826.146666666667</v>
      </c>
      <c r="I359" s="56">
        <f>SUM(F359:H359)</f>
        <v>77478.44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3234.17/3</f>
        <v>1078.0566666666666</v>
      </c>
      <c r="G360" s="63">
        <f>3234.17/3</f>
        <v>1078.0566666666666</v>
      </c>
      <c r="H360" s="63">
        <f>3234.17/3</f>
        <v>1078.0566666666666</v>
      </c>
      <c r="I360" s="56">
        <f>SUM(F360:H360)</f>
        <v>3234.17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26904.203333333335</v>
      </c>
      <c r="G361" s="47">
        <f>SUM(G359:G360)</f>
        <v>26904.203333333335</v>
      </c>
      <c r="H361" s="47">
        <f>SUM(H359:H360)</f>
        <v>26904.203333333335</v>
      </c>
      <c r="I361" s="47">
        <f>SUM(I359:I360)</f>
        <v>80712.61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228878.61</v>
      </c>
      <c r="I371" s="18"/>
      <c r="J371" s="18"/>
      <c r="K371" s="18"/>
      <c r="L371" s="13">
        <f t="shared" si="23"/>
        <v>228878.61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228878.61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228878.61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856.93</v>
      </c>
      <c r="I381" s="18"/>
      <c r="J381" s="24" t="s">
        <v>312</v>
      </c>
      <c r="K381" s="24" t="s">
        <v>312</v>
      </c>
      <c r="L381" s="56">
        <f t="shared" si="25"/>
        <v>856.93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856.93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856.93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298.5</v>
      </c>
      <c r="I389" s="18"/>
      <c r="J389" s="24" t="s">
        <v>312</v>
      </c>
      <c r="K389" s="24" t="s">
        <v>312</v>
      </c>
      <c r="L389" s="56">
        <f t="shared" si="26"/>
        <v>25298.5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298.5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25298.5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1155.4299999999998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26155.43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228878.61</v>
      </c>
      <c r="L407" s="56">
        <f t="shared" si="27"/>
        <v>228878.61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228878.61</v>
      </c>
      <c r="L411" s="47">
        <f t="shared" si="28"/>
        <v>228878.61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228878.61</v>
      </c>
      <c r="L426" s="47">
        <f t="shared" si="32"/>
        <v>228878.61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552351.14</v>
      </c>
      <c r="G432" s="18">
        <v>212022.13</v>
      </c>
      <c r="H432" s="18"/>
      <c r="I432" s="56">
        <f t="shared" si="33"/>
        <v>764373.27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552351.14</v>
      </c>
      <c r="G438" s="13">
        <f>SUM(G431:G437)</f>
        <v>212022.13</v>
      </c>
      <c r="H438" s="13">
        <f>SUM(H431:H437)</f>
        <v>0</v>
      </c>
      <c r="I438" s="13">
        <f>SUM(I431:I437)</f>
        <v>764373.27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228878.61</v>
      </c>
      <c r="G440" s="18"/>
      <c r="H440" s="18"/>
      <c r="I440" s="56">
        <f>SUM(F440:H440)</f>
        <v>228878.61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228878.61</v>
      </c>
      <c r="G444" s="72">
        <f>SUM(G440:G443)</f>
        <v>0</v>
      </c>
      <c r="H444" s="72">
        <f>SUM(H440:H443)</f>
        <v>0</v>
      </c>
      <c r="I444" s="72">
        <f>SUM(I440:I443)</f>
        <v>228878.61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323472.53000000003</v>
      </c>
      <c r="G449" s="18">
        <v>212022.13</v>
      </c>
      <c r="H449" s="18"/>
      <c r="I449" s="56">
        <f>SUM(F449:H449)</f>
        <v>535494.66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323472.53000000003</v>
      </c>
      <c r="G450" s="83">
        <f>SUM(G446:G449)</f>
        <v>212022.13</v>
      </c>
      <c r="H450" s="83">
        <f>SUM(H446:H449)</f>
        <v>0</v>
      </c>
      <c r="I450" s="83">
        <f>SUM(I446:I449)</f>
        <v>535494.66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552351.14</v>
      </c>
      <c r="G451" s="42">
        <f>G444+G450</f>
        <v>212022.13</v>
      </c>
      <c r="H451" s="42">
        <f>H444+H450</f>
        <v>0</v>
      </c>
      <c r="I451" s="42">
        <f>I444+I450</f>
        <v>764373.27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536812.12</v>
      </c>
      <c r="G455" s="18">
        <v>28698.76</v>
      </c>
      <c r="H455" s="18">
        <v>0</v>
      </c>
      <c r="I455" s="18"/>
      <c r="J455" s="18">
        <v>738217.84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9484776.1+18441</f>
        <v>9503217.0999999996</v>
      </c>
      <c r="G458" s="18">
        <v>165349.81</v>
      </c>
      <c r="H458" s="18">
        <v>276048.26</v>
      </c>
      <c r="I458" s="18">
        <v>228878.61</v>
      </c>
      <c r="J458" s="18">
        <f>25000+1155.43</f>
        <v>26155.43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9503217.0999999996</v>
      </c>
      <c r="G460" s="53">
        <f>SUM(G458:G459)</f>
        <v>165349.81</v>
      </c>
      <c r="H460" s="53">
        <f>SUM(H458:H459)</f>
        <v>276048.26</v>
      </c>
      <c r="I460" s="53">
        <f>SUM(I458:I459)</f>
        <v>228878.61</v>
      </c>
      <c r="J460" s="53">
        <f>SUM(J458:J459)</f>
        <v>26155.43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9321140.62+6000+208917.83+15832.13</f>
        <v>9551890.5800000001</v>
      </c>
      <c r="G462" s="18">
        <v>144575.57</v>
      </c>
      <c r="H462" s="18">
        <v>276048.26</v>
      </c>
      <c r="I462" s="18">
        <v>228878.61</v>
      </c>
      <c r="J462" s="18">
        <v>228878.61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18441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9570331.5800000001</v>
      </c>
      <c r="G464" s="53">
        <f>SUM(G462:G463)</f>
        <v>144575.57</v>
      </c>
      <c r="H464" s="53">
        <f>SUM(H462:H463)</f>
        <v>276048.26</v>
      </c>
      <c r="I464" s="53">
        <f>SUM(I462:I463)</f>
        <v>228878.61</v>
      </c>
      <c r="J464" s="53">
        <f>SUM(J462:J463)</f>
        <v>228878.61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469697.63999999873</v>
      </c>
      <c r="G466" s="53">
        <f>(G455+G460)- G464</f>
        <v>49473</v>
      </c>
      <c r="H466" s="53">
        <f>(H455+H460)- H464</f>
        <v>0</v>
      </c>
      <c r="I466" s="53">
        <f>(I455+I460)- I464</f>
        <v>0</v>
      </c>
      <c r="J466" s="53">
        <f>(J455+J460)- J464</f>
        <v>535494.66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4054000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810000</v>
      </c>
      <c r="G485" s="18"/>
      <c r="H485" s="18"/>
      <c r="I485" s="18"/>
      <c r="J485" s="18"/>
      <c r="K485" s="53">
        <f>SUM(F485:J485)</f>
        <v>810000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270000</v>
      </c>
      <c r="G487" s="18"/>
      <c r="H487" s="18"/>
      <c r="I487" s="18"/>
      <c r="J487" s="18"/>
      <c r="K487" s="53">
        <f t="shared" si="34"/>
        <v>270000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540000</v>
      </c>
      <c r="G488" s="205"/>
      <c r="H488" s="205"/>
      <c r="I488" s="205"/>
      <c r="J488" s="205"/>
      <c r="K488" s="206">
        <f t="shared" si="34"/>
        <v>540000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57713.5</v>
      </c>
      <c r="G489" s="18"/>
      <c r="H489" s="18"/>
      <c r="I489" s="18"/>
      <c r="J489" s="18"/>
      <c r="K489" s="53">
        <f t="shared" si="34"/>
        <v>57713.5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597713.5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597713.5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270000</v>
      </c>
      <c r="G491" s="205"/>
      <c r="H491" s="205"/>
      <c r="I491" s="205"/>
      <c r="J491" s="205"/>
      <c r="K491" s="206">
        <f t="shared" si="34"/>
        <v>270000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19237.5</v>
      </c>
      <c r="G492" s="18"/>
      <c r="H492" s="18"/>
      <c r="I492" s="18"/>
      <c r="J492" s="18"/>
      <c r="K492" s="53">
        <f t="shared" si="34"/>
        <v>19237.5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289237.5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289237.5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368568.28+22176.51-23349-59028</f>
        <v>308367.79000000004</v>
      </c>
      <c r="G511" s="18">
        <f>153079.53-2217.12-8936</f>
        <v>141926.41</v>
      </c>
      <c r="H511" s="18">
        <f>152361.94+32271.59</f>
        <v>184633.53</v>
      </c>
      <c r="I511" s="18">
        <f>3889.82+1799.24-6822.22</f>
        <v>-1133.1599999999999</v>
      </c>
      <c r="J511" s="18">
        <f>2196.47+6102.85-694.65</f>
        <v>7604.67</v>
      </c>
      <c r="K511" s="18">
        <v>1068.9000000000001</v>
      </c>
      <c r="L511" s="88">
        <f>SUM(F511:K511)</f>
        <v>642468.14000000013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164551.87+11690.33-19613.16-3873.64</f>
        <v>152755.39999999997</v>
      </c>
      <c r="G512" s="18">
        <f>68344.25-2217.12-296.34</f>
        <v>65830.790000000008</v>
      </c>
      <c r="H512" s="18">
        <f>91279.28+17011.96</f>
        <v>108291.23999999999</v>
      </c>
      <c r="I512" s="18">
        <f>1333.93+948.47</f>
        <v>2282.4</v>
      </c>
      <c r="J512" s="18">
        <f>2778.8+3217.11</f>
        <v>5995.91</v>
      </c>
      <c r="K512" s="18">
        <v>534.45000000000005</v>
      </c>
      <c r="L512" s="88">
        <f>SUM(F512:K512)</f>
        <v>335690.18999999994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235629.88+16306.25-27084.84-5349.31</f>
        <v>219501.98</v>
      </c>
      <c r="G513" s="18">
        <f>97865.48-2217.12-409.23</f>
        <v>95239.13</v>
      </c>
      <c r="H513" s="18">
        <f>149321.87+23729.12</f>
        <v>173050.99</v>
      </c>
      <c r="I513" s="18">
        <f>1842.1+1322.97</f>
        <v>3165.0699999999997</v>
      </c>
      <c r="J513" s="18">
        <f>3265.87+4487.39</f>
        <v>7753.26</v>
      </c>
      <c r="K513" s="18">
        <v>534.45000000000005</v>
      </c>
      <c r="L513" s="88">
        <f>SUM(F513:K513)</f>
        <v>499244.88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680625.17</v>
      </c>
      <c r="G514" s="108">
        <f t="shared" ref="G514:L514" si="35">SUM(G511:G513)</f>
        <v>302996.33</v>
      </c>
      <c r="H514" s="108">
        <f t="shared" si="35"/>
        <v>465975.76</v>
      </c>
      <c r="I514" s="108">
        <f t="shared" si="35"/>
        <v>4314.3099999999995</v>
      </c>
      <c r="J514" s="108">
        <f t="shared" si="35"/>
        <v>21353.84</v>
      </c>
      <c r="K514" s="108">
        <f t="shared" si="35"/>
        <v>2137.8000000000002</v>
      </c>
      <c r="L514" s="89">
        <f t="shared" si="35"/>
        <v>1477403.21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21558.98+68857.4+37663.98</f>
        <v>128080.35999999999</v>
      </c>
      <c r="G516" s="18"/>
      <c r="H516" s="18">
        <f>3255.5+964.9+27548.67+880</f>
        <v>32649.07</v>
      </c>
      <c r="I516" s="18">
        <f>255+928.95+702.62</f>
        <v>1886.5700000000002</v>
      </c>
      <c r="J516" s="18"/>
      <c r="K516" s="18"/>
      <c r="L516" s="88">
        <f>SUM(F516:K516)</f>
        <v>162616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20924.88+6885.74+4708</f>
        <v>32518.620000000003</v>
      </c>
      <c r="G517" s="18"/>
      <c r="H517" s="18">
        <f>3159.75+96.49+3443.58+110</f>
        <v>6809.82</v>
      </c>
      <c r="I517" s="18">
        <f>247.5+92.9+87.83</f>
        <v>428.22999999999996</v>
      </c>
      <c r="J517" s="18"/>
      <c r="K517" s="18"/>
      <c r="L517" s="88">
        <f>SUM(F517:K517)</f>
        <v>39756.670000000006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20924.89+10328.61+4708</f>
        <v>35961.5</v>
      </c>
      <c r="G518" s="18"/>
      <c r="H518" s="18">
        <f>3159.75+144.73+3443.58+110</f>
        <v>6858.0599999999995</v>
      </c>
      <c r="I518" s="18">
        <f>247.5+139.34+87.83</f>
        <v>474.67</v>
      </c>
      <c r="J518" s="18"/>
      <c r="K518" s="18"/>
      <c r="L518" s="88">
        <f>SUM(F518:K518)</f>
        <v>43294.229999999996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196560.47999999998</v>
      </c>
      <c r="G519" s="89">
        <f t="shared" ref="G519:L519" si="36">SUM(G516:G518)</f>
        <v>0</v>
      </c>
      <c r="H519" s="89">
        <f t="shared" si="36"/>
        <v>46316.95</v>
      </c>
      <c r="I519" s="89">
        <f t="shared" si="36"/>
        <v>2789.4700000000003</v>
      </c>
      <c r="J519" s="89">
        <f t="shared" si="36"/>
        <v>0</v>
      </c>
      <c r="K519" s="89">
        <f t="shared" si="36"/>
        <v>0</v>
      </c>
      <c r="L519" s="89">
        <f t="shared" si="36"/>
        <v>245666.90000000002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23349</v>
      </c>
      <c r="G521" s="18">
        <v>2217.12</v>
      </c>
      <c r="H521" s="18"/>
      <c r="I521" s="18"/>
      <c r="J521" s="18"/>
      <c r="K521" s="18"/>
      <c r="L521" s="88">
        <f>SUM(F521:K521)</f>
        <v>25566.12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46698*0.42</f>
        <v>19613.16</v>
      </c>
      <c r="G522" s="18">
        <v>2217.12</v>
      </c>
      <c r="H522" s="18"/>
      <c r="I522" s="18"/>
      <c r="J522" s="18"/>
      <c r="K522" s="18"/>
      <c r="L522" s="88">
        <f>SUM(F522:K522)</f>
        <v>21830.28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46698*0.58</f>
        <v>27084.839999999997</v>
      </c>
      <c r="G523" s="18">
        <v>2217.12</v>
      </c>
      <c r="H523" s="18"/>
      <c r="I523" s="18"/>
      <c r="J523" s="18"/>
      <c r="K523" s="18"/>
      <c r="L523" s="88">
        <f>SUM(F523:K523)</f>
        <v>29301.959999999995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70047</v>
      </c>
      <c r="G524" s="89">
        <f t="shared" ref="G524:L524" si="37">SUM(G521:G523)</f>
        <v>6651.36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76698.359999999986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14226.17</v>
      </c>
      <c r="I532" s="18"/>
      <c r="J532" s="18"/>
      <c r="K532" s="18"/>
      <c r="L532" s="88">
        <f>SUM(F532:K532)</f>
        <v>14226.17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19645.66</v>
      </c>
      <c r="I533" s="18"/>
      <c r="J533" s="18"/>
      <c r="K533" s="18"/>
      <c r="L533" s="88">
        <f>SUM(F533:K533)</f>
        <v>19645.66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33871.83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33871.83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947232.65</v>
      </c>
      <c r="G535" s="89">
        <f t="shared" ref="G535:L535" si="40">G514+G519+G524+G529+G534</f>
        <v>309647.69</v>
      </c>
      <c r="H535" s="89">
        <f t="shared" si="40"/>
        <v>546164.54</v>
      </c>
      <c r="I535" s="89">
        <f t="shared" si="40"/>
        <v>7103.78</v>
      </c>
      <c r="J535" s="89">
        <f t="shared" si="40"/>
        <v>21353.84</v>
      </c>
      <c r="K535" s="89">
        <f t="shared" si="40"/>
        <v>2137.8000000000002</v>
      </c>
      <c r="L535" s="89">
        <f t="shared" si="40"/>
        <v>1833640.2999999998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642468.14000000013</v>
      </c>
      <c r="G539" s="87">
        <f>L516</f>
        <v>162616</v>
      </c>
      <c r="H539" s="87">
        <f>L521</f>
        <v>25566.12</v>
      </c>
      <c r="I539" s="87">
        <f>L526</f>
        <v>0</v>
      </c>
      <c r="J539" s="87">
        <f>L531</f>
        <v>0</v>
      </c>
      <c r="K539" s="87">
        <f>SUM(F539:J539)</f>
        <v>830650.26000000013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335690.18999999994</v>
      </c>
      <c r="G540" s="87">
        <f>L517</f>
        <v>39756.670000000006</v>
      </c>
      <c r="H540" s="87">
        <f>L522</f>
        <v>21830.28</v>
      </c>
      <c r="I540" s="87">
        <f>L527</f>
        <v>0</v>
      </c>
      <c r="J540" s="87">
        <f>L532</f>
        <v>14226.17</v>
      </c>
      <c r="K540" s="87">
        <f>SUM(F540:J540)</f>
        <v>411503.30999999988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499244.88</v>
      </c>
      <c r="G541" s="87">
        <f>L518</f>
        <v>43294.229999999996</v>
      </c>
      <c r="H541" s="87">
        <f>L523</f>
        <v>29301.959999999995</v>
      </c>
      <c r="I541" s="87">
        <f>L528</f>
        <v>0</v>
      </c>
      <c r="J541" s="87">
        <f>L533</f>
        <v>19645.66</v>
      </c>
      <c r="K541" s="87">
        <f>SUM(F541:J541)</f>
        <v>591486.73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1477403.21</v>
      </c>
      <c r="G542" s="89">
        <f t="shared" si="41"/>
        <v>245666.90000000002</v>
      </c>
      <c r="H542" s="89">
        <f t="shared" si="41"/>
        <v>76698.359999999986</v>
      </c>
      <c r="I542" s="89">
        <f t="shared" si="41"/>
        <v>0</v>
      </c>
      <c r="J542" s="89">
        <f t="shared" si="41"/>
        <v>33871.83</v>
      </c>
      <c r="K542" s="89">
        <f t="shared" si="41"/>
        <v>1833640.3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53028.2+5999.8</f>
        <v>59028</v>
      </c>
      <c r="G547" s="18">
        <f>4515.64+4421.2</f>
        <v>8936.84</v>
      </c>
      <c r="H547" s="18"/>
      <c r="I547" s="18">
        <f>564.9+6257.32</f>
        <v>6822.2199999999993</v>
      </c>
      <c r="J547" s="18">
        <f>694.65</f>
        <v>694.65</v>
      </c>
      <c r="K547" s="18"/>
      <c r="L547" s="88">
        <f>SUM(F547:K547)</f>
        <v>75481.709999999992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59028</v>
      </c>
      <c r="G550" s="108">
        <f t="shared" si="42"/>
        <v>8936.84</v>
      </c>
      <c r="H550" s="108">
        <f t="shared" si="42"/>
        <v>0</v>
      </c>
      <c r="I550" s="108">
        <f t="shared" si="42"/>
        <v>6822.2199999999993</v>
      </c>
      <c r="J550" s="108">
        <f t="shared" si="42"/>
        <v>694.65</v>
      </c>
      <c r="K550" s="108">
        <f t="shared" si="42"/>
        <v>0</v>
      </c>
      <c r="L550" s="89">
        <f t="shared" si="42"/>
        <v>75481.709999999992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9222.95*0.42</f>
        <v>3873.6390000000001</v>
      </c>
      <c r="G553" s="18">
        <f>705.57*0.42</f>
        <v>296.33940000000001</v>
      </c>
      <c r="H553" s="18"/>
      <c r="I553" s="18"/>
      <c r="J553" s="18"/>
      <c r="K553" s="18"/>
      <c r="L553" s="88">
        <f>SUM(F553:K553)</f>
        <v>4169.9784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9222.95*0.58</f>
        <v>5349.3109999999997</v>
      </c>
      <c r="G554" s="18">
        <f>705.57*0.58</f>
        <v>409.23059999999998</v>
      </c>
      <c r="H554" s="18"/>
      <c r="I554" s="18"/>
      <c r="J554" s="18"/>
      <c r="K554" s="18"/>
      <c r="L554" s="88">
        <f>SUM(F554:K554)</f>
        <v>5758.5415999999996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9222.9500000000007</v>
      </c>
      <c r="G555" s="89">
        <f t="shared" si="43"/>
        <v>705.56999999999994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9928.52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68250.95</v>
      </c>
      <c r="G561" s="89">
        <f t="shared" ref="G561:L561" si="45">G550+G555+G560</f>
        <v>9642.41</v>
      </c>
      <c r="H561" s="89">
        <f t="shared" si="45"/>
        <v>0</v>
      </c>
      <c r="I561" s="89">
        <f t="shared" si="45"/>
        <v>6822.2199999999993</v>
      </c>
      <c r="J561" s="89">
        <f t="shared" si="45"/>
        <v>694.65</v>
      </c>
      <c r="K561" s="89">
        <f t="shared" si="45"/>
        <v>0</v>
      </c>
      <c r="L561" s="89">
        <f t="shared" si="45"/>
        <v>85410.23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f>13022.93*0.42</f>
        <v>5469.6305999999995</v>
      </c>
      <c r="H569" s="18">
        <f>13022.93*0.58</f>
        <v>7553.2993999999999</v>
      </c>
      <c r="I569" s="87">
        <f t="shared" si="46"/>
        <v>13022.93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151249.73</f>
        <v>151249.73000000001</v>
      </c>
      <c r="G572" s="18">
        <v>75624.88</v>
      </c>
      <c r="H572" s="18">
        <v>133243.79999999999</v>
      </c>
      <c r="I572" s="87">
        <f t="shared" si="46"/>
        <v>360118.41000000003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13022.93</v>
      </c>
      <c r="I574" s="87">
        <f t="shared" si="46"/>
        <v>13022.93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75442.15+764.4+10871.99+22036.73+347.4+32393.74</f>
        <v>141856.40999999997</v>
      </c>
      <c r="I581" s="18">
        <f>37721.08+382.2+5436+11018.36+173.7+18822.29</f>
        <v>73553.63</v>
      </c>
      <c r="J581" s="18">
        <f>12573.69+127.4+1812+3672.79+57.9+9579.73</f>
        <v>27823.510000000002</v>
      </c>
      <c r="K581" s="104">
        <f t="shared" ref="K581:K587" si="47">SUM(H581:J581)</f>
        <v>243233.55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f>33871.83*0.42</f>
        <v>14226.168600000001</v>
      </c>
      <c r="J582" s="18">
        <f>33871.83*0.58</f>
        <v>19645.661400000001</v>
      </c>
      <c r="K582" s="104">
        <f t="shared" si="47"/>
        <v>33871.83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>
        <f>13016.66*0.42</f>
        <v>5466.9971999999998</v>
      </c>
      <c r="J583" s="18">
        <f>13016.66*0.58</f>
        <v>7549.6627999999992</v>
      </c>
      <c r="K583" s="104">
        <f t="shared" si="47"/>
        <v>13016.66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2551.99</f>
        <v>2551.9899999999998</v>
      </c>
      <c r="I585" s="18">
        <f>5071.86*0.42</f>
        <v>2130.1812</v>
      </c>
      <c r="J585" s="18">
        <f>5071.86*0.58</f>
        <v>2941.6787999999997</v>
      </c>
      <c r="K585" s="104">
        <f t="shared" si="47"/>
        <v>7623.8499999999995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144408.39999999997</v>
      </c>
      <c r="I588" s="108">
        <f>SUM(I581:I587)</f>
        <v>95376.977000000014</v>
      </c>
      <c r="J588" s="108">
        <f>SUM(J581:J587)</f>
        <v>57960.513000000006</v>
      </c>
      <c r="K588" s="108">
        <f>SUM(K581:K587)</f>
        <v>297745.88999999996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81573.13+11997.99</f>
        <v>93571.12000000001</v>
      </c>
      <c r="I594" s="18">
        <f>66131.51+6324.74</f>
        <v>72456.25</v>
      </c>
      <c r="J594" s="18">
        <f>82608.41+8822.05</f>
        <v>91430.46</v>
      </c>
      <c r="K594" s="104">
        <f>SUM(H594:J594)</f>
        <v>257457.83000000002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93571.12000000001</v>
      </c>
      <c r="I595" s="108">
        <f>SUM(I592:I594)</f>
        <v>72456.25</v>
      </c>
      <c r="J595" s="108">
        <f>SUM(J592:J594)</f>
        <v>91430.46</v>
      </c>
      <c r="K595" s="108">
        <f>SUM(K592:K594)</f>
        <v>257457.83000000002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4625.5</v>
      </c>
      <c r="G601" s="18"/>
      <c r="H601" s="18"/>
      <c r="I601" s="18"/>
      <c r="J601" s="18"/>
      <c r="K601" s="18"/>
      <c r="L601" s="88">
        <f>SUM(F601:K601)</f>
        <v>4625.5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1155*0.42</f>
        <v>485.09999999999997</v>
      </c>
      <c r="G602" s="18"/>
      <c r="H602" s="18"/>
      <c r="I602" s="18"/>
      <c r="J602" s="18"/>
      <c r="K602" s="18"/>
      <c r="L602" s="88">
        <f>SUM(F602:K602)</f>
        <v>485.09999999999997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1155*0.58</f>
        <v>669.9</v>
      </c>
      <c r="G603" s="18"/>
      <c r="H603" s="18"/>
      <c r="I603" s="18"/>
      <c r="J603" s="18"/>
      <c r="K603" s="18"/>
      <c r="L603" s="88">
        <f>SUM(F603:K603)</f>
        <v>669.9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5780.5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5780.5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488138.64</v>
      </c>
      <c r="H607" s="109">
        <f>SUM(F44)</f>
        <v>488138.64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49473</v>
      </c>
      <c r="H608" s="109">
        <f>SUM(G44)</f>
        <v>49473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93519.54</v>
      </c>
      <c r="H609" s="109">
        <f>SUM(H44)</f>
        <v>93519.54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228878.61</v>
      </c>
      <c r="H610" s="109">
        <f>SUM(I44)</f>
        <v>228878.61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764373.27</v>
      </c>
      <c r="H611" s="109">
        <f>SUM(J44)</f>
        <v>764373.27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469697.64</v>
      </c>
      <c r="H612" s="109">
        <f>F466</f>
        <v>469697.63999999873</v>
      </c>
      <c r="I612" s="121" t="s">
        <v>106</v>
      </c>
      <c r="J612" s="109">
        <f t="shared" ref="J612:J645" si="49">G612-H612</f>
        <v>1.280568540096283E-9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49473</v>
      </c>
      <c r="H613" s="109">
        <f>G466</f>
        <v>49473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535494.66</v>
      </c>
      <c r="H616" s="109">
        <f>J466</f>
        <v>535494.66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9503217.0999999996</v>
      </c>
      <c r="H617" s="104">
        <f>SUM(F458)</f>
        <v>9503217.0999999996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165349.81</v>
      </c>
      <c r="H618" s="104">
        <f>SUM(G458)</f>
        <v>165349.81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276048.25999999995</v>
      </c>
      <c r="H619" s="104">
        <f>SUM(H458)</f>
        <v>276048.26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228878.61</v>
      </c>
      <c r="H620" s="104">
        <f>SUM(I458)</f>
        <v>228878.61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26155.43</v>
      </c>
      <c r="H621" s="104">
        <f>SUM(J458)</f>
        <v>26155.43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9551890.5816500001</v>
      </c>
      <c r="H622" s="104">
        <f>SUM(F462)</f>
        <v>9551890.5800000001</v>
      </c>
      <c r="I622" s="140" t="s">
        <v>120</v>
      </c>
      <c r="J622" s="109">
        <f t="shared" si="49"/>
        <v>1.6499999910593033E-3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276048.26</v>
      </c>
      <c r="H623" s="104">
        <f>SUM(H462)</f>
        <v>276048.26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80712.61</v>
      </c>
      <c r="H624" s="104">
        <f>I361</f>
        <v>80712.61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144575.57</v>
      </c>
      <c r="H625" s="104">
        <f>SUM(G462)</f>
        <v>144575.57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228878.61</v>
      </c>
      <c r="H626" s="104">
        <f>SUM(I462)</f>
        <v>228878.61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26155.43</v>
      </c>
      <c r="H627" s="164">
        <f>SUM(J458)</f>
        <v>26155.43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228878.61</v>
      </c>
      <c r="H628" s="164">
        <f>SUM(J462)</f>
        <v>228878.61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552351.14</v>
      </c>
      <c r="H629" s="104">
        <f>SUM(F451)</f>
        <v>552351.14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212022.13</v>
      </c>
      <c r="H630" s="104">
        <f>SUM(G451)</f>
        <v>212022.13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764373.27</v>
      </c>
      <c r="H632" s="104">
        <f>SUM(I451)</f>
        <v>764373.27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1155.43</v>
      </c>
      <c r="H634" s="104">
        <f>H400</f>
        <v>1155.4299999999998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26155.43</v>
      </c>
      <c r="H636" s="104">
        <f>L400</f>
        <v>26155.43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297745.88999999996</v>
      </c>
      <c r="H637" s="104">
        <f>L200+L218+L236</f>
        <v>297745.88869493909</v>
      </c>
      <c r="I637" s="140" t="s">
        <v>420</v>
      </c>
      <c r="J637" s="109">
        <f t="shared" si="49"/>
        <v>1.3050608686171472E-3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257457.83000000002</v>
      </c>
      <c r="H638" s="104">
        <f>(J249+J330)-(J247+J328)</f>
        <v>257457.83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144408.40345525328</v>
      </c>
      <c r="H639" s="104">
        <f>H588</f>
        <v>144408.39999999997</v>
      </c>
      <c r="I639" s="140" t="s">
        <v>412</v>
      </c>
      <c r="J639" s="109">
        <f t="shared" si="49"/>
        <v>3.4552533179521561E-3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95376.973346749612</v>
      </c>
      <c r="H640" s="104">
        <f>I588</f>
        <v>95376.977000000014</v>
      </c>
      <c r="I640" s="140" t="s">
        <v>413</v>
      </c>
      <c r="J640" s="109">
        <f t="shared" si="49"/>
        <v>-3.6532504018396139E-3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57960.511892936207</v>
      </c>
      <c r="H641" s="104">
        <f>J588</f>
        <v>57960.513000000006</v>
      </c>
      <c r="I641" s="140" t="s">
        <v>414</v>
      </c>
      <c r="J641" s="109">
        <f t="shared" si="49"/>
        <v>-1.1070637992816046E-3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1.650005578994751E-3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3788074.7710029194</v>
      </c>
      <c r="G650" s="19">
        <f>(L221+L301+L351)</f>
        <v>2496525.3076461274</v>
      </c>
      <c r="H650" s="19">
        <f>(L239+L320+L352)</f>
        <v>3359688.3530009533</v>
      </c>
      <c r="I650" s="19">
        <f>SUM(F650:H650)</f>
        <v>9644288.4316499997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33263.16333333333</v>
      </c>
      <c r="G651" s="19">
        <f>(L351/IF(SUM(L350:L352)=0,1,SUM(L350:L352))*(SUM(G89:G102)))</f>
        <v>33263.16333333333</v>
      </c>
      <c r="H651" s="19">
        <f>(L352/IF(SUM(L350:L352)=0,1,SUM(L350:L352))*(SUM(G89:G102)))</f>
        <v>33263.16333333333</v>
      </c>
      <c r="I651" s="19">
        <f>SUM(F651:H651)</f>
        <v>99789.489999999991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144408.40345525328</v>
      </c>
      <c r="G652" s="19">
        <f>(L218+L298)-(J218+J298)</f>
        <v>95376.973346749612</v>
      </c>
      <c r="H652" s="19">
        <f>(L236+L317)-(J236+J317)</f>
        <v>57960.511892936207</v>
      </c>
      <c r="I652" s="19">
        <f>SUM(F652:H652)</f>
        <v>297745.88869493909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249446.35000000003</v>
      </c>
      <c r="G653" s="200">
        <f>SUM(G565:G577)+SUM(I592:I594)+L602</f>
        <v>154035.86060000001</v>
      </c>
      <c r="H653" s="200">
        <f>SUM(H565:H577)+SUM(J592:J594)+L603</f>
        <v>245920.38939999996</v>
      </c>
      <c r="I653" s="19">
        <f>SUM(F653:H653)</f>
        <v>649402.6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3360956.854214333</v>
      </c>
      <c r="G654" s="19">
        <f>G650-SUM(G651:G653)</f>
        <v>2213849.3103660443</v>
      </c>
      <c r="H654" s="19">
        <f>H650-SUM(H651:H653)</f>
        <v>3022544.2883746838</v>
      </c>
      <c r="I654" s="19">
        <f>I650-SUM(I651:I653)</f>
        <v>8597350.4529550597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198.37</v>
      </c>
      <c r="G655" s="249">
        <v>104.31</v>
      </c>
      <c r="H655" s="249">
        <v>145.66999999999999</v>
      </c>
      <c r="I655" s="19">
        <f>SUM(F655:H655)</f>
        <v>448.35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16942.87</v>
      </c>
      <c r="G657" s="19">
        <f>ROUND(G654/G655,2)</f>
        <v>21223.75</v>
      </c>
      <c r="H657" s="19">
        <f>ROUND(H654/H655,2)</f>
        <v>20749.259999999998</v>
      </c>
      <c r="I657" s="19">
        <f>ROUND(I654/I655,2)</f>
        <v>19175.53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-3.15</v>
      </c>
      <c r="I660" s="19">
        <f>SUM(F660:H660)</f>
        <v>-3.15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16942.87</v>
      </c>
      <c r="G662" s="19">
        <f>ROUND((G654+G659)/(G655+G660),2)</f>
        <v>21223.75</v>
      </c>
      <c r="H662" s="19">
        <f>ROUND((H654+H659)/(H655+H660),2)</f>
        <v>21207.86</v>
      </c>
      <c r="I662" s="19">
        <f>ROUND((I654+I659)/(I655+I660),2)</f>
        <v>19311.21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8299-B909-437C-AAA7-14DC358E9180}">
  <sheetPr>
    <tabColor indexed="20"/>
  </sheetPr>
  <dimension ref="A1:C52"/>
  <sheetViews>
    <sheetView topLeftCell="A10" workbookViewId="0">
      <selection activeCell="B19" sqref="B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Sunapee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2407649.31</v>
      </c>
      <c r="C9" s="230">
        <f>'DOE25'!G189+'DOE25'!G207+'DOE25'!G225+'DOE25'!G268+'DOE25'!G287+'DOE25'!G306</f>
        <v>982959.60544332583</v>
      </c>
    </row>
    <row r="10" spans="1:3" x14ac:dyDescent="0.2">
      <c r="A10" t="s">
        <v>810</v>
      </c>
      <c r="B10" s="241">
        <f>857745.11+1381978.08+27626.32+14563.2+20313.48</f>
        <v>2302226.19</v>
      </c>
      <c r="C10" s="241">
        <v>939919.01</v>
      </c>
    </row>
    <row r="11" spans="1:3" x14ac:dyDescent="0.2">
      <c r="A11" t="s">
        <v>811</v>
      </c>
      <c r="B11" s="241">
        <v>39716.339999999997</v>
      </c>
      <c r="C11" s="241">
        <v>26825.8</v>
      </c>
    </row>
    <row r="12" spans="1:3" x14ac:dyDescent="0.2">
      <c r="A12" t="s">
        <v>812</v>
      </c>
      <c r="B12" s="241">
        <f>65706.78</f>
        <v>65706.78</v>
      </c>
      <c r="C12" s="241">
        <v>16214.8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2407649.3099999996</v>
      </c>
      <c r="C13" s="232">
        <f>SUM(C10:C12)</f>
        <v>982959.6100000001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818923.12</v>
      </c>
      <c r="C18" s="230">
        <f>'DOE25'!G190+'DOE25'!G208+'DOE25'!G226+'DOE25'!G269+'DOE25'!G288+'DOE25'!G307</f>
        <v>319289.26010387798</v>
      </c>
    </row>
    <row r="19" spans="1:3" x14ac:dyDescent="0.2">
      <c r="A19" t="s">
        <v>810</v>
      </c>
      <c r="B19" s="241">
        <f>368306.02+22176.51+11690.33+16306.25</f>
        <v>418479.11000000004</v>
      </c>
      <c r="C19" s="241">
        <f>B19/B22*C18</f>
        <v>163160.47518701068</v>
      </c>
    </row>
    <row r="20" spans="1:3" x14ac:dyDescent="0.2">
      <c r="A20" t="s">
        <v>811</v>
      </c>
      <c r="B20" s="241">
        <v>295549</v>
      </c>
      <c r="C20" s="241">
        <f>B20/B22*C18</f>
        <v>115231.35594760228</v>
      </c>
    </row>
    <row r="21" spans="1:3" x14ac:dyDescent="0.2">
      <c r="A21" t="s">
        <v>812</v>
      </c>
      <c r="B21" s="241">
        <f>70047+34848.01</f>
        <v>104895.01000000001</v>
      </c>
      <c r="C21" s="241">
        <f>B21/B22*C18</f>
        <v>40897.428969265005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818923.12000000011</v>
      </c>
      <c r="C22" s="232">
        <f>SUM(C19:C21)</f>
        <v>319289.26010387798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100894.87</v>
      </c>
      <c r="C36" s="236">
        <f>'DOE25'!G192+'DOE25'!G210+'DOE25'!G228+'DOE25'!G271+'DOE25'!G290+'DOE25'!G309</f>
        <v>41905.232043473166</v>
      </c>
    </row>
    <row r="37" spans="1:3" x14ac:dyDescent="0.2">
      <c r="A37" t="s">
        <v>810</v>
      </c>
      <c r="B37" s="241">
        <f>32552.87+68342</f>
        <v>100894.87</v>
      </c>
      <c r="C37" s="241">
        <v>41905.230000000003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Error</v>
      </c>
      <c r="B40" s="232">
        <f>SUM(B37:B39)</f>
        <v>100894.87</v>
      </c>
      <c r="C40" s="232">
        <f>SUM(C37:C39)</f>
        <v>41905.230000000003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0B52-F64B-4A12-BB03-CC41D3CE5ED7}">
  <sheetPr>
    <tabColor indexed="11"/>
  </sheetPr>
  <dimension ref="A1:I51"/>
  <sheetViews>
    <sheetView workbookViewId="0">
      <pane ySplit="4" topLeftCell="A5" activePane="bottomLeft" state="frozen"/>
      <selection pane="bottomLeft" activeCell="E12" sqref="E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Sunapee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5348829.7675906774</v>
      </c>
      <c r="D5" s="20">
        <f>SUM('DOE25'!L189:L192)+SUM('DOE25'!L207:L210)+SUM('DOE25'!L225:L228)-F5-G5</f>
        <v>5264573.117590677</v>
      </c>
      <c r="E5" s="244"/>
      <c r="F5" s="256">
        <f>SUM('DOE25'!J189:J192)+SUM('DOE25'!J207:J210)+SUM('DOE25'!J225:J228)</f>
        <v>75903.649999999994</v>
      </c>
      <c r="G5" s="53">
        <f>SUM('DOE25'!K189:K192)+SUM('DOE25'!K207:K210)+SUM('DOE25'!K225:K228)</f>
        <v>8353</v>
      </c>
      <c r="H5" s="260"/>
    </row>
    <row r="6" spans="1:9" x14ac:dyDescent="0.2">
      <c r="A6" s="32">
        <v>2100</v>
      </c>
      <c r="B6" t="s">
        <v>832</v>
      </c>
      <c r="C6" s="246">
        <f t="shared" si="0"/>
        <v>786987.77737800858</v>
      </c>
      <c r="D6" s="20">
        <f>'DOE25'!L194+'DOE25'!L212+'DOE25'!L230-F6-G6</f>
        <v>786987.77737800858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657369.17974074092</v>
      </c>
      <c r="D7" s="20">
        <f>'DOE25'!L195+'DOE25'!L213+'DOE25'!L231-F7-G7</f>
        <v>525778.04974074091</v>
      </c>
      <c r="E7" s="244"/>
      <c r="F7" s="256">
        <f>'DOE25'!J195+'DOE25'!J213+'DOE25'!J231</f>
        <v>131591.13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275687.65212307934</v>
      </c>
      <c r="D8" s="244"/>
      <c r="E8" s="20">
        <f>'DOE25'!L196+'DOE25'!L214+'DOE25'!L232-F8-G8-D9-D11</f>
        <v>260522.50212307935</v>
      </c>
      <c r="F8" s="256">
        <f>'DOE25'!J196+'DOE25'!J214+'DOE25'!J232</f>
        <v>6715.4699999999993</v>
      </c>
      <c r="G8" s="53">
        <f>'DOE25'!K196+'DOE25'!K214+'DOE25'!K232</f>
        <v>8449.68</v>
      </c>
      <c r="H8" s="260"/>
    </row>
    <row r="9" spans="1:9" x14ac:dyDescent="0.2">
      <c r="A9" s="32">
        <v>2310</v>
      </c>
      <c r="B9" t="s">
        <v>849</v>
      </c>
      <c r="C9" s="246">
        <f t="shared" si="0"/>
        <v>50558.09</v>
      </c>
      <c r="D9" s="245">
        <v>50558.09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11510.42</v>
      </c>
      <c r="D10" s="244"/>
      <c r="E10" s="245">
        <v>11510.42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190493.08</v>
      </c>
      <c r="D11" s="245">
        <v>190493.08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568264.32078295015</v>
      </c>
      <c r="D12" s="20">
        <f>'DOE25'!L197+'DOE25'!L215+'DOE25'!L233-F12-G12</f>
        <v>563307.32078295015</v>
      </c>
      <c r="E12" s="244"/>
      <c r="F12" s="256">
        <f>'DOE25'!J197+'DOE25'!J215+'DOE25'!J233</f>
        <v>0</v>
      </c>
      <c r="G12" s="53">
        <f>'DOE25'!K197+'DOE25'!K215+'DOE25'!K233</f>
        <v>4957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1047728.8453396051</v>
      </c>
      <c r="D14" s="20">
        <f>'DOE25'!L199+'DOE25'!L217+'DOE25'!L235-F14-G14</f>
        <v>1031626.0453396051</v>
      </c>
      <c r="E14" s="244"/>
      <c r="F14" s="256">
        <f>'DOE25'!J199+'DOE25'!J217+'DOE25'!J235</f>
        <v>16102.8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297745.88869493909</v>
      </c>
      <c r="D15" s="20">
        <f>'DOE25'!L200+'DOE25'!L218+'DOE25'!L236-F15-G15</f>
        <v>297166.88869493909</v>
      </c>
      <c r="E15" s="244"/>
      <c r="F15" s="256">
        <f>'DOE25'!J200+'DOE25'!J218+'DOE25'!J236</f>
        <v>0</v>
      </c>
      <c r="G15" s="53">
        <f>'DOE25'!K200+'DOE25'!K218+'DOE25'!K236</f>
        <v>578.99999999999989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303225.98</v>
      </c>
      <c r="D25" s="244"/>
      <c r="E25" s="244"/>
      <c r="F25" s="259"/>
      <c r="G25" s="257"/>
      <c r="H25" s="258">
        <f>'DOE25'!L252+'DOE25'!L253+'DOE25'!L333+'DOE25'!L334</f>
        <v>303225.98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67097.13</v>
      </c>
      <c r="D29" s="20">
        <f>'DOE25'!L350+'DOE25'!L351+'DOE25'!L352-'DOE25'!I359-F29-G29</f>
        <v>66420.92</v>
      </c>
      <c r="E29" s="244"/>
      <c r="F29" s="256">
        <f>'DOE25'!J350+'DOE25'!J351+'DOE25'!J352</f>
        <v>0</v>
      </c>
      <c r="G29" s="53">
        <f>'DOE25'!K350+'DOE25'!K351+'DOE25'!K352</f>
        <v>676.21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276048.26000000007</v>
      </c>
      <c r="D31" s="20">
        <f>'DOE25'!L282+'DOE25'!L301+'DOE25'!L320+'DOE25'!L325+'DOE25'!L326+'DOE25'!L327-F31-G31</f>
        <v>248385.39</v>
      </c>
      <c r="E31" s="244"/>
      <c r="F31" s="256">
        <f>'DOE25'!J282+'DOE25'!J301+'DOE25'!J320+'DOE25'!J325+'DOE25'!J326+'DOE25'!J327</f>
        <v>27144.780000000002</v>
      </c>
      <c r="G31" s="53">
        <f>'DOE25'!K282+'DOE25'!K301+'DOE25'!K320+'DOE25'!K325+'DOE25'!K326+'DOE25'!K327</f>
        <v>518.08999999999992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9025296.6795269214</v>
      </c>
      <c r="E33" s="247">
        <f>SUM(E5:E31)</f>
        <v>272032.92212307936</v>
      </c>
      <c r="F33" s="247">
        <f>SUM(F5:F31)</f>
        <v>257457.83</v>
      </c>
      <c r="G33" s="247">
        <f>SUM(G5:G31)</f>
        <v>23532.98</v>
      </c>
      <c r="H33" s="247">
        <f>SUM(H5:H31)</f>
        <v>303225.98</v>
      </c>
    </row>
    <row r="35" spans="2:8" ht="12" thickBot="1" x14ac:dyDescent="0.25">
      <c r="B35" s="254" t="s">
        <v>878</v>
      </c>
      <c r="D35" s="255">
        <f>E33</f>
        <v>272032.92212307936</v>
      </c>
      <c r="E35" s="250"/>
    </row>
    <row r="36" spans="2:8" ht="12" thickTop="1" x14ac:dyDescent="0.2">
      <c r="B36" t="s">
        <v>846</v>
      </c>
      <c r="D36" s="20">
        <f>D33</f>
        <v>9025296.6795269214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5FD3-CC07-4DB6-87F0-0000568CC473}">
  <sheetPr transitionEvaluation="1" codeName="Sheet2">
    <tabColor indexed="10"/>
  </sheetPr>
  <dimension ref="A1:I156"/>
  <sheetViews>
    <sheetView zoomScale="75" workbookViewId="0">
      <pane ySplit="2" topLeftCell="A78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211110.21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764373.27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277028.43</v>
      </c>
      <c r="D12" s="95">
        <f>'DOE25'!G12</f>
        <v>45369.72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4103.28</v>
      </c>
      <c r="E13" s="95">
        <f>'DOE25'!H13</f>
        <v>93519.54</v>
      </c>
      <c r="F13" s="95">
        <f>'DOE25'!I13</f>
        <v>228878.61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488138.64</v>
      </c>
      <c r="D19" s="41">
        <f>SUM(D9:D18)</f>
        <v>49473</v>
      </c>
      <c r="E19" s="41">
        <f>SUM(E9:E18)</f>
        <v>93519.54</v>
      </c>
      <c r="F19" s="41">
        <f>SUM(F9:F18)</f>
        <v>228878.61</v>
      </c>
      <c r="G19" s="41">
        <f>SUM(G9:G18)</f>
        <v>764373.27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93519.54</v>
      </c>
      <c r="F22" s="95">
        <f>'DOE25'!I23</f>
        <v>0</v>
      </c>
      <c r="G22" s="95">
        <f>'DOE25'!J23</f>
        <v>228878.61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18441</v>
      </c>
      <c r="D23" s="95">
        <f>'DOE25'!G24</f>
        <v>0</v>
      </c>
      <c r="E23" s="95">
        <f>'DOE25'!H24</f>
        <v>0</v>
      </c>
      <c r="F23" s="95">
        <f>'DOE25'!I24</f>
        <v>228878.61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18441</v>
      </c>
      <c r="D32" s="41">
        <f>SUM(D22:D31)</f>
        <v>0</v>
      </c>
      <c r="E32" s="41">
        <f>SUM(E22:E31)</f>
        <v>93519.54</v>
      </c>
      <c r="F32" s="41">
        <f>SUM(F22:F31)</f>
        <v>228878.61</v>
      </c>
      <c r="G32" s="41">
        <f>SUM(G22:G31)</f>
        <v>228878.61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208917.83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49473</v>
      </c>
      <c r="E40" s="95">
        <f>'DOE25'!H41</f>
        <v>0</v>
      </c>
      <c r="F40" s="95">
        <f>'DOE25'!I41</f>
        <v>0</v>
      </c>
      <c r="G40" s="95">
        <f>'DOE25'!J41</f>
        <v>535494.66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260779.81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469697.64</v>
      </c>
      <c r="D42" s="41">
        <f>SUM(D34:D41)</f>
        <v>49473</v>
      </c>
      <c r="E42" s="41">
        <f>SUM(E34:E41)</f>
        <v>0</v>
      </c>
      <c r="F42" s="41">
        <f>SUM(F34:F41)</f>
        <v>0</v>
      </c>
      <c r="G42" s="41">
        <f>SUM(G34:G41)</f>
        <v>535494.66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488138.64</v>
      </c>
      <c r="D43" s="41">
        <f>D42+D32</f>
        <v>49473</v>
      </c>
      <c r="E43" s="41">
        <f>E42+E32</f>
        <v>93519.54</v>
      </c>
      <c r="F43" s="41">
        <f>F42+F32</f>
        <v>228878.61</v>
      </c>
      <c r="G43" s="41">
        <f>G42+G32</f>
        <v>764373.27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6550463</v>
      </c>
      <c r="D48" s="95">
        <f>'DOE25'!G52</f>
        <v>6000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184336.73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1601.31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1155.43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99789.49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44525.599999999999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230463.64</v>
      </c>
      <c r="D54" s="130">
        <f>SUM(D49:D53)</f>
        <v>99789.49</v>
      </c>
      <c r="E54" s="130">
        <f>SUM(E49:E53)</f>
        <v>0</v>
      </c>
      <c r="F54" s="130">
        <f>SUM(F49:F53)</f>
        <v>0</v>
      </c>
      <c r="G54" s="130">
        <f>SUM(G49:G53)</f>
        <v>1155.43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6780926.6399999997</v>
      </c>
      <c r="D55" s="22">
        <f>D48+D54</f>
        <v>105789.49</v>
      </c>
      <c r="E55" s="22">
        <f>E48+E54</f>
        <v>0</v>
      </c>
      <c r="F55" s="22">
        <f>F48+F54</f>
        <v>0</v>
      </c>
      <c r="G55" s="22">
        <f>G48+G54</f>
        <v>1155.43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17795.560000000001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2522764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645.44000000000005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2541205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83480.44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39147.279999999999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848.21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6150</v>
      </c>
      <c r="D69" s="95">
        <f>SUM('DOE25'!G123:G127)</f>
        <v>2160.84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129625.93000000001</v>
      </c>
      <c r="D70" s="130">
        <f>SUM(D64:D69)</f>
        <v>2160.84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2670830.9300000002</v>
      </c>
      <c r="D73" s="130">
        <f>SUM(D71:D72)+D70+D62</f>
        <v>2160.84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51459.53</v>
      </c>
      <c r="D80" s="95">
        <f>SUM('DOE25'!G145:G153)</f>
        <v>57399.48</v>
      </c>
      <c r="E80" s="95">
        <f>SUM('DOE25'!H145:H153)</f>
        <v>276048.25999999995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51459.53</v>
      </c>
      <c r="D83" s="131">
        <f>SUM(D77:D82)</f>
        <v>57399.48</v>
      </c>
      <c r="E83" s="131">
        <f>SUM(E77:E82)</f>
        <v>276048.25999999995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228878.61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228878.61</v>
      </c>
      <c r="G95" s="86">
        <f>SUM(G85:G94)</f>
        <v>25000</v>
      </c>
    </row>
    <row r="96" spans="1:7" ht="12.75" thickTop="1" thickBot="1" x14ac:dyDescent="0.25">
      <c r="A96" s="33" t="s">
        <v>796</v>
      </c>
      <c r="C96" s="86">
        <f>C55+C73+C83+C95</f>
        <v>9503217.0999999996</v>
      </c>
      <c r="D96" s="86">
        <f>D55+D73+D83+D95</f>
        <v>165349.81</v>
      </c>
      <c r="E96" s="86">
        <f>E55+E73+E83+E95</f>
        <v>276048.25999999995</v>
      </c>
      <c r="F96" s="86">
        <f>F55+F73+F83+F95</f>
        <v>228878.61</v>
      </c>
      <c r="G96" s="86">
        <f>G55+G73+G95</f>
        <v>26155.43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3596908.3754433263</v>
      </c>
      <c r="D101" s="24" t="s">
        <v>312</v>
      </c>
      <c r="E101" s="95">
        <f>('DOE25'!L268)+('DOE25'!L287)+('DOE25'!L306)</f>
        <v>136216.38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1498854.370103878</v>
      </c>
      <c r="D102" s="24" t="s">
        <v>312</v>
      </c>
      <c r="E102" s="95">
        <f>('DOE25'!L269)+('DOE25'!L288)+('DOE25'!L307)</f>
        <v>138563.78999999998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13022.93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240044.09204347315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5348829.7675906774</v>
      </c>
      <c r="D107" s="86">
        <f>SUM(D101:D106)</f>
        <v>0</v>
      </c>
      <c r="E107" s="86">
        <f>SUM(E101:E106)</f>
        <v>274780.17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786987.77737800858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657369.17974074092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516738.82212307933</v>
      </c>
      <c r="D112" s="24" t="s">
        <v>312</v>
      </c>
      <c r="E112" s="95">
        <f>+('DOE25'!L275)+('DOE25'!L294)+('DOE25'!L313)</f>
        <v>750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568264.32078295015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1047728.8453396051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297745.88869493909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518.08999999999992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144575.57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3874834.8340593236</v>
      </c>
      <c r="D120" s="86">
        <f>SUM(D110:D119)</f>
        <v>144575.57</v>
      </c>
      <c r="E120" s="86">
        <f>SUM(E110:E119)</f>
        <v>1268.0899999999999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228878.61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33225.980000000003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228878.61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856.93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25298.5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-1155.4300000000003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328225.98</v>
      </c>
      <c r="D136" s="141">
        <f>SUM(D122:D135)</f>
        <v>0</v>
      </c>
      <c r="E136" s="141">
        <f>SUM(E122:E135)</f>
        <v>0</v>
      </c>
      <c r="F136" s="141">
        <f>SUM(F122:F135)</f>
        <v>228878.61</v>
      </c>
      <c r="G136" s="141">
        <f>SUM(G122:G135)</f>
        <v>228878.61</v>
      </c>
    </row>
    <row r="137" spans="1:9" ht="12.75" thickTop="1" thickBot="1" x14ac:dyDescent="0.25">
      <c r="A137" s="33" t="s">
        <v>267</v>
      </c>
      <c r="C137" s="86">
        <f>(C107+C120+C136)</f>
        <v>9551890.5816500019</v>
      </c>
      <c r="D137" s="86">
        <f>(D107+D120+D136)</f>
        <v>144575.57</v>
      </c>
      <c r="E137" s="86">
        <f>(E107+E120+E136)</f>
        <v>276048.26</v>
      </c>
      <c r="F137" s="86">
        <f>(F107+F120+F136)</f>
        <v>228878.61</v>
      </c>
      <c r="G137" s="86">
        <f>(G107+G120+G136)</f>
        <v>228878.61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4054000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810000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270000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270000</v>
      </c>
    </row>
    <row r="151" spans="1:7" x14ac:dyDescent="0.2">
      <c r="A151" s="22" t="s">
        <v>35</v>
      </c>
      <c r="B151" s="137">
        <f>'DOE25'!F488</f>
        <v>540000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540000</v>
      </c>
    </row>
    <row r="152" spans="1:7" x14ac:dyDescent="0.2">
      <c r="A152" s="22" t="s">
        <v>36</v>
      </c>
      <c r="B152" s="137">
        <f>'DOE25'!F489</f>
        <v>57713.5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57713.5</v>
      </c>
    </row>
    <row r="153" spans="1:7" x14ac:dyDescent="0.2">
      <c r="A153" s="22" t="s">
        <v>37</v>
      </c>
      <c r="B153" s="137">
        <f>'DOE25'!F490</f>
        <v>597713.5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597713.5</v>
      </c>
    </row>
    <row r="154" spans="1:7" x14ac:dyDescent="0.2">
      <c r="A154" s="22" t="s">
        <v>38</v>
      </c>
      <c r="B154" s="137">
        <f>'DOE25'!F491</f>
        <v>270000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270000</v>
      </c>
    </row>
    <row r="155" spans="1:7" x14ac:dyDescent="0.2">
      <c r="A155" s="22" t="s">
        <v>39</v>
      </c>
      <c r="B155" s="137">
        <f>'DOE25'!F492</f>
        <v>19237.5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19237.5</v>
      </c>
    </row>
    <row r="156" spans="1:7" x14ac:dyDescent="0.2">
      <c r="A156" s="22" t="s">
        <v>269</v>
      </c>
      <c r="B156" s="137">
        <f>'DOE25'!F493</f>
        <v>289237.5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289237.5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EA08-FE5E-4104-89A5-8F2CE050E48A}">
  <sheetPr codeName="Sheet3">
    <tabColor indexed="43"/>
  </sheetPr>
  <dimension ref="A1:D42"/>
  <sheetViews>
    <sheetView topLeftCell="A19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Sunapee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16943</v>
      </c>
    </row>
    <row r="5" spans="1:4" x14ac:dyDescent="0.2">
      <c r="B5" t="s">
        <v>735</v>
      </c>
      <c r="C5" s="179">
        <f>IF('DOE25'!G655+'DOE25'!G660=0,0,ROUND('DOE25'!G662,0))</f>
        <v>21224</v>
      </c>
    </row>
    <row r="6" spans="1:4" x14ac:dyDescent="0.2">
      <c r="B6" t="s">
        <v>62</v>
      </c>
      <c r="C6" s="179">
        <f>IF('DOE25'!H655+'DOE25'!H660=0,0,ROUND('DOE25'!H662,0))</f>
        <v>21208</v>
      </c>
    </row>
    <row r="7" spans="1:4" x14ac:dyDescent="0.2">
      <c r="B7" t="s">
        <v>736</v>
      </c>
      <c r="C7" s="179">
        <f>IF('DOE25'!I655+'DOE25'!I660=0,0,ROUND('DOE25'!I662,0))</f>
        <v>19311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3733125</v>
      </c>
      <c r="D10" s="182">
        <f>ROUND((C10/$C$28)*100,1)</f>
        <v>39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1637418</v>
      </c>
      <c r="D11" s="182">
        <f>ROUND((C11/$C$28)*100,1)</f>
        <v>17.100000000000001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13023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240044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786988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657369</v>
      </c>
      <c r="D16" s="182">
        <f t="shared" si="0"/>
        <v>6.9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518007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568264</v>
      </c>
      <c r="D18" s="182">
        <f t="shared" si="0"/>
        <v>5.9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1047729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297746</v>
      </c>
      <c r="D21" s="182">
        <f t="shared" si="0"/>
        <v>3.1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33226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44786.509999999995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9577725.5099999998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228879</v>
      </c>
    </row>
    <row r="30" spans="1:4" x14ac:dyDescent="0.2">
      <c r="B30" s="187" t="s">
        <v>760</v>
      </c>
      <c r="C30" s="180">
        <f>SUM(C28:C29)</f>
        <v>9806604.5099999998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6556463</v>
      </c>
      <c r="D35" s="182">
        <f t="shared" ref="D35:D40" si="1">ROUND((C35/$C$41)*100,1)</f>
        <v>66.599999999999994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231619.0700000003</v>
      </c>
      <c r="D36" s="182">
        <f t="shared" si="1"/>
        <v>2.4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2541205</v>
      </c>
      <c r="D37" s="182">
        <f t="shared" si="1"/>
        <v>25.8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131787</v>
      </c>
      <c r="D38" s="182">
        <f t="shared" si="1"/>
        <v>1.3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384907</v>
      </c>
      <c r="D39" s="182">
        <f t="shared" si="1"/>
        <v>3.9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9845981.0700000003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EDDC-3CF8-4419-BCA5-FA3D9D5D1B57}">
  <sheetPr>
    <tabColor indexed="17"/>
  </sheetPr>
  <dimension ref="A1:IV90"/>
  <sheetViews>
    <sheetView workbookViewId="0">
      <pane ySplit="3" topLeftCell="A4" activePane="bottomLeft" state="frozen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Sunapee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19</v>
      </c>
      <c r="B6" s="220">
        <v>6</v>
      </c>
      <c r="C6" s="280" t="s">
        <v>896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2011-10-31T13:46:51Z</cp:lastPrinted>
  <dcterms:created xsi:type="dcterms:W3CDTF">1997-12-04T19:04:30Z</dcterms:created>
  <dcterms:modified xsi:type="dcterms:W3CDTF">2025-01-10T20:31:43Z</dcterms:modified>
</cp:coreProperties>
</file>